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740" activeTab="0"/>
  </bookViews>
  <sheets>
    <sheet name="2009_okresy" sheetId="1" r:id="rId1"/>
    <sheet name="2009_cizi" sheetId="2" r:id="rId2"/>
    <sheet name="2008" sheetId="3" r:id="rId3"/>
  </sheets>
  <definedNames>
    <definedName name="_xlnm.Print_Area" localSheetId="2">'2008'!$A$1:$P$130</definedName>
    <definedName name="_xlnm.Print_Area" localSheetId="1">'2009_cizi'!$A$1:$P$81</definedName>
    <definedName name="_xlnm.Print_Area" localSheetId="0">'2009_okresy'!$A$1:$P$133</definedName>
  </definedNames>
  <calcPr fullCalcOnLoad="1"/>
</workbook>
</file>

<file path=xl/sharedStrings.xml><?xml version="1.0" encoding="utf-8"?>
<sst xmlns="http://schemas.openxmlformats.org/spreadsheetml/2006/main" count="504" uniqueCount="62">
  <si>
    <t>leden</t>
  </si>
  <si>
    <t>únor</t>
  </si>
  <si>
    <t>březen</t>
  </si>
  <si>
    <t>DE</t>
  </si>
  <si>
    <t>DO</t>
  </si>
  <si>
    <t>změna v %</t>
  </si>
  <si>
    <t>poplatky celkem</t>
  </si>
  <si>
    <t>Období</t>
  </si>
  <si>
    <t>+ / -</t>
  </si>
  <si>
    <t>odesláno k hospitalizaci</t>
  </si>
  <si>
    <t>odesláno na další vyšetření</t>
  </si>
  <si>
    <t>poplatky nezaplatilo</t>
  </si>
  <si>
    <t>okres Žďár nad Sázavou</t>
  </si>
  <si>
    <t>okres Havlíčkův Brod</t>
  </si>
  <si>
    <t>okres Jihlava</t>
  </si>
  <si>
    <t>okres Pelhřimov</t>
  </si>
  <si>
    <t>okres Třebíč</t>
  </si>
  <si>
    <t>kraj celkem</t>
  </si>
  <si>
    <t>celkem ošetřeno</t>
  </si>
  <si>
    <t>dotace kraje na 1 ošetření</t>
  </si>
  <si>
    <t>následně hospitalizováno</t>
  </si>
  <si>
    <t>dále ambulantně vyšetřeno</t>
  </si>
  <si>
    <t>průměrný počet ošetření za den</t>
  </si>
  <si>
    <t>obyvatelé - pomocné hodnoty pro výpočet</t>
  </si>
  <si>
    <t>duben</t>
  </si>
  <si>
    <t>květen</t>
  </si>
  <si>
    <t>červen</t>
  </si>
  <si>
    <t>červenec</t>
  </si>
  <si>
    <t xml:space="preserve">Pololetí </t>
  </si>
  <si>
    <t>Pololetí</t>
  </si>
  <si>
    <t>srpen</t>
  </si>
  <si>
    <t>září</t>
  </si>
  <si>
    <t>říjen</t>
  </si>
  <si>
    <t>listopad</t>
  </si>
  <si>
    <t>prosinec</t>
  </si>
  <si>
    <t>Za  1 - 12</t>
  </si>
  <si>
    <t>okres</t>
  </si>
  <si>
    <t>počet obyvatel</t>
  </si>
  <si>
    <t>HB</t>
  </si>
  <si>
    <t>JI</t>
  </si>
  <si>
    <t>PE</t>
  </si>
  <si>
    <t>TR</t>
  </si>
  <si>
    <t>ZR</t>
  </si>
  <si>
    <t>celkem</t>
  </si>
  <si>
    <t>ošetření na 1000 obyvatel</t>
  </si>
  <si>
    <t>2009-2008</t>
  </si>
  <si>
    <t>2008-2007</t>
  </si>
  <si>
    <t>obyvatelé okresu na počet vyšetření</t>
  </si>
  <si>
    <t>celkem ošetření (průměrná hodnota)</t>
  </si>
  <si>
    <t>obyvatelé kraje na počet vyšetření</t>
  </si>
  <si>
    <t>Počet obyvatel k 1. 1. 2009 - pomocné hodnoty pro výpočet</t>
  </si>
  <si>
    <t>Náměšť nad Oslavou</t>
  </si>
  <si>
    <t>Velké Meziříčí</t>
  </si>
  <si>
    <t>-</t>
  </si>
  <si>
    <t>Ošetření LSPP dle okresů - rok 2009</t>
  </si>
  <si>
    <t>Ošetření LSPP - Náměšť nad Oslavou, Velké Meziříčí - rok 2009</t>
  </si>
  <si>
    <t>Za  1 - 9</t>
  </si>
  <si>
    <t>Za 7 - 9</t>
  </si>
  <si>
    <t>Za 1 - 9</t>
  </si>
  <si>
    <t>Ošetření LSPP dle okresů - rok 2008 (včetně hodnot, které poskytl Žďár nad Sázavou)</t>
  </si>
  <si>
    <t>Počet stran: 5</t>
  </si>
  <si>
    <t>ZK-06-2009-09, př.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</si>
</sst>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mmm/yyyy"/>
    <numFmt numFmtId="166" formatCode="d/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000"/>
    <numFmt numFmtId="171" formatCode="0.0"/>
    <numFmt numFmtId="172" formatCode="#,##0.0"/>
    <numFmt numFmtId="173" formatCode="#,##0.00\ &quot;Kč&quot;"/>
    <numFmt numFmtId="174" formatCode="0.0000"/>
    <numFmt numFmtId="175" formatCode="0.0%"/>
    <numFmt numFmtId="176" formatCode="0.0000%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0"/>
    </font>
    <font>
      <b/>
      <sz val="10.2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0" fontId="7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vertical="center"/>
    </xf>
    <xf numFmtId="10" fontId="7" fillId="2" borderId="12" xfId="0" applyNumberFormat="1" applyFont="1" applyFill="1" applyBorder="1" applyAlignment="1">
      <alignment vertical="center"/>
    </xf>
    <xf numFmtId="164" fontId="8" fillId="2" borderId="12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2" borderId="14" xfId="0" applyNumberFormat="1" applyFont="1" applyFill="1" applyBorder="1" applyAlignment="1">
      <alignment vertical="center"/>
    </xf>
    <xf numFmtId="10" fontId="8" fillId="0" borderId="15" xfId="0" applyNumberFormat="1" applyFont="1" applyBorder="1" applyAlignment="1">
      <alignment vertical="center"/>
    </xf>
    <xf numFmtId="3" fontId="8" fillId="2" borderId="11" xfId="0" applyNumberFormat="1" applyFont="1" applyFill="1" applyBorder="1" applyAlignment="1">
      <alignment vertical="center"/>
    </xf>
    <xf numFmtId="10" fontId="8" fillId="2" borderId="16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164" fontId="7" fillId="2" borderId="18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1" fillId="2" borderId="19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/>
    </xf>
    <xf numFmtId="3" fontId="7" fillId="2" borderId="1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10" fontId="7" fillId="3" borderId="20" xfId="0" applyNumberFormat="1" applyFont="1" applyFill="1" applyBorder="1" applyAlignment="1">
      <alignment vertical="center"/>
    </xf>
    <xf numFmtId="164" fontId="8" fillId="3" borderId="20" xfId="0" applyNumberFormat="1" applyFont="1" applyFill="1" applyBorder="1" applyAlignment="1">
      <alignment vertical="center"/>
    </xf>
    <xf numFmtId="3" fontId="8" fillId="3" borderId="21" xfId="0" applyNumberFormat="1" applyFont="1" applyFill="1" applyBorder="1" applyAlignment="1">
      <alignment vertical="center"/>
    </xf>
    <xf numFmtId="3" fontId="8" fillId="3" borderId="22" xfId="0" applyNumberFormat="1" applyFont="1" applyFill="1" applyBorder="1" applyAlignment="1">
      <alignment vertical="center"/>
    </xf>
    <xf numFmtId="10" fontId="8" fillId="3" borderId="23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3" fontId="8" fillId="3" borderId="25" xfId="0" applyNumberFormat="1" applyFont="1" applyFill="1" applyBorder="1" applyAlignment="1">
      <alignment vertical="center"/>
    </xf>
    <xf numFmtId="10" fontId="7" fillId="3" borderId="25" xfId="0" applyNumberFormat="1" applyFont="1" applyFill="1" applyBorder="1" applyAlignment="1">
      <alignment vertical="center"/>
    </xf>
    <xf numFmtId="164" fontId="8" fillId="3" borderId="25" xfId="0" applyNumberFormat="1" applyFont="1" applyFill="1" applyBorder="1" applyAlignment="1">
      <alignment vertical="center"/>
    </xf>
    <xf numFmtId="3" fontId="8" fillId="3" borderId="26" xfId="0" applyNumberFormat="1" applyFont="1" applyFill="1" applyBorder="1" applyAlignment="1">
      <alignment vertical="center"/>
    </xf>
    <xf numFmtId="3" fontId="8" fillId="3" borderId="27" xfId="0" applyNumberFormat="1" applyFont="1" applyFill="1" applyBorder="1" applyAlignment="1">
      <alignment vertical="center"/>
    </xf>
    <xf numFmtId="3" fontId="8" fillId="3" borderId="24" xfId="0" applyNumberFormat="1" applyFont="1" applyFill="1" applyBorder="1" applyAlignment="1">
      <alignment vertical="center"/>
    </xf>
    <xf numFmtId="10" fontId="8" fillId="3" borderId="26" xfId="0" applyNumberFormat="1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10" fontId="7" fillId="0" borderId="20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164" fontId="8" fillId="0" borderId="28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10" fontId="8" fillId="0" borderId="23" xfId="0" applyNumberFormat="1" applyFont="1" applyBorder="1" applyAlignment="1">
      <alignment vertical="center"/>
    </xf>
    <xf numFmtId="164" fontId="8" fillId="3" borderId="29" xfId="0" applyNumberFormat="1" applyFont="1" applyFill="1" applyBorder="1" applyAlignment="1">
      <alignment vertical="center"/>
    </xf>
    <xf numFmtId="3" fontId="8" fillId="3" borderId="30" xfId="0" applyNumberFormat="1" applyFont="1" applyFill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0" fontId="7" fillId="0" borderId="7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10" fontId="8" fillId="0" borderId="1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7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10" fontId="7" fillId="0" borderId="33" xfId="0" applyNumberFormat="1" applyFont="1" applyBorder="1" applyAlignment="1">
      <alignment vertical="center"/>
    </xf>
    <xf numFmtId="164" fontId="8" fillId="0" borderId="33" xfId="0" applyNumberFormat="1" applyFont="1" applyBorder="1" applyAlignment="1">
      <alignment vertical="center"/>
    </xf>
    <xf numFmtId="164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10" fontId="8" fillId="0" borderId="35" xfId="0" applyNumberFormat="1" applyFont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10" fontId="7" fillId="3" borderId="29" xfId="0" applyNumberFormat="1" applyFont="1" applyFill="1" applyBorder="1" applyAlignment="1">
      <alignment vertical="center"/>
    </xf>
    <xf numFmtId="3" fontId="8" fillId="3" borderId="38" xfId="0" applyNumberFormat="1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10" fontId="8" fillId="3" borderId="30" xfId="0" applyNumberFormat="1" applyFont="1" applyFill="1" applyBorder="1" applyAlignment="1">
      <alignment vertical="center"/>
    </xf>
    <xf numFmtId="0" fontId="8" fillId="3" borderId="29" xfId="0" applyFont="1" applyFill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/>
    </xf>
    <xf numFmtId="3" fontId="1" fillId="2" borderId="4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72" fontId="8" fillId="0" borderId="7" xfId="0" applyNumberFormat="1" applyFont="1" applyBorder="1" applyAlignment="1">
      <alignment vertical="center"/>
    </xf>
    <xf numFmtId="172" fontId="8" fillId="0" borderId="20" xfId="0" applyNumberFormat="1" applyFont="1" applyBorder="1" applyAlignment="1">
      <alignment vertical="center"/>
    </xf>
    <xf numFmtId="172" fontId="8" fillId="3" borderId="25" xfId="0" applyNumberFormat="1" applyFont="1" applyFill="1" applyBorder="1" applyAlignment="1">
      <alignment vertical="center"/>
    </xf>
    <xf numFmtId="172" fontId="8" fillId="0" borderId="33" xfId="0" applyNumberFormat="1" applyFont="1" applyBorder="1" applyAlignment="1">
      <alignment vertical="center"/>
    </xf>
    <xf numFmtId="172" fontId="8" fillId="3" borderId="29" xfId="0" applyNumberFormat="1" applyFont="1" applyFill="1" applyBorder="1" applyAlignment="1">
      <alignment vertical="center"/>
    </xf>
    <xf numFmtId="172" fontId="8" fillId="2" borderId="12" xfId="0" applyNumberFormat="1" applyFont="1" applyFill="1" applyBorder="1" applyAlignment="1">
      <alignment vertical="center"/>
    </xf>
    <xf numFmtId="172" fontId="0" fillId="0" borderId="0" xfId="0" applyNumberFormat="1" applyAlignment="1">
      <alignment/>
    </xf>
    <xf numFmtId="172" fontId="7" fillId="2" borderId="1" xfId="0" applyNumberFormat="1" applyFont="1" applyFill="1" applyBorder="1" applyAlignment="1">
      <alignment horizontal="center" vertical="center" wrapText="1"/>
    </xf>
    <xf numFmtId="172" fontId="8" fillId="0" borderId="7" xfId="0" applyNumberFormat="1" applyFont="1" applyFill="1" applyBorder="1" applyAlignment="1">
      <alignment vertical="center"/>
    </xf>
    <xf numFmtId="171" fontId="8" fillId="0" borderId="7" xfId="0" applyNumberFormat="1" applyFont="1" applyBorder="1" applyAlignment="1">
      <alignment vertical="center"/>
    </xf>
    <xf numFmtId="171" fontId="8" fillId="0" borderId="20" xfId="0" applyNumberFormat="1" applyFont="1" applyBorder="1" applyAlignment="1">
      <alignment vertical="center"/>
    </xf>
    <xf numFmtId="171" fontId="8" fillId="3" borderId="25" xfId="0" applyNumberFormat="1" applyFont="1" applyFill="1" applyBorder="1" applyAlignment="1">
      <alignment vertical="center"/>
    </xf>
    <xf numFmtId="171" fontId="8" fillId="0" borderId="33" xfId="0" applyNumberFormat="1" applyFont="1" applyBorder="1" applyAlignment="1">
      <alignment vertical="center"/>
    </xf>
    <xf numFmtId="0" fontId="10" fillId="0" borderId="0" xfId="0" applyFont="1" applyFill="1" applyAlignment="1">
      <alignment/>
    </xf>
    <xf numFmtId="3" fontId="8" fillId="3" borderId="2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3" fontId="3" fillId="0" borderId="0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2" borderId="40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Border="1" applyAlignment="1">
      <alignment vertical="center"/>
    </xf>
    <xf numFmtId="2" fontId="8" fillId="0" borderId="23" xfId="0" applyNumberFormat="1" applyFont="1" applyBorder="1" applyAlignment="1">
      <alignment vertical="center"/>
    </xf>
    <xf numFmtId="2" fontId="8" fillId="3" borderId="30" xfId="0" applyNumberFormat="1" applyFont="1" applyFill="1" applyBorder="1" applyAlignment="1">
      <alignment vertical="center"/>
    </xf>
    <xf numFmtId="2" fontId="8" fillId="0" borderId="35" xfId="0" applyNumberFormat="1" applyFont="1" applyBorder="1" applyAlignment="1">
      <alignment vertical="center"/>
    </xf>
    <xf numFmtId="2" fontId="7" fillId="2" borderId="16" xfId="0" applyNumberFormat="1" applyFont="1" applyFill="1" applyBorder="1" applyAlignment="1">
      <alignment vertical="center"/>
    </xf>
    <xf numFmtId="2" fontId="1" fillId="2" borderId="19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Počet ošetřených pacientů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575"/>
          <c:w val="0.9292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'2009_okresy'!$B$96:$L$96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('2009_okresy'!$A$98:$A$103,'2009_okresy'!$A$105:$A$107)</c:f>
              <c:strCache/>
            </c:strRef>
          </c:cat>
          <c:val>
            <c:numRef>
              <c:f>('2009_okresy'!$D$98:$D$103,'2009_okresy'!$D$105:$D$107)</c:f>
              <c:numCache/>
            </c:numRef>
          </c:val>
        </c:ser>
        <c:ser>
          <c:idx val="1"/>
          <c:order val="1"/>
          <c:tx>
            <c:strRef>
              <c:f>'2009_okresy'!$N$96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('2009_okresy'!$A$98:$A$103,'2009_okresy'!$A$105:$A$107)</c:f>
              <c:strCache/>
            </c:strRef>
          </c:cat>
          <c:val>
            <c:numRef>
              <c:f>('2009_okresy'!$N$98:$N$103,'2009_okresy'!$N$105:$N$107)</c:f>
              <c:numCache/>
            </c:numRef>
          </c:val>
        </c:ser>
        <c:axId val="1701486"/>
        <c:axId val="15313375"/>
      </c:bar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13375"/>
        <c:crosses val="autoZero"/>
        <c:auto val="1"/>
        <c:lblOffset val="100"/>
        <c:noMultiLvlLbl val="0"/>
      </c:catAx>
      <c:valAx>
        <c:axId val="15313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1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95"/>
          <c:y val="0.4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117</xdr:row>
      <xdr:rowOff>0</xdr:rowOff>
    </xdr:from>
    <xdr:to>
      <xdr:col>15</xdr:col>
      <xdr:colOff>600075</xdr:colOff>
      <xdr:row>132</xdr:row>
      <xdr:rowOff>142875</xdr:rowOff>
    </xdr:to>
    <xdr:graphicFrame>
      <xdr:nvGraphicFramePr>
        <xdr:cNvPr id="1" name="Chart 4"/>
        <xdr:cNvGraphicFramePr/>
      </xdr:nvGraphicFramePr>
      <xdr:xfrm>
        <a:off x="85725" y="25584150"/>
        <a:ext cx="112871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"/>
  <sheetViews>
    <sheetView tabSelected="1" view="pageBreakPreview" zoomScaleNormal="75" zoomScaleSheetLayoutView="100" workbookViewId="0" topLeftCell="A1">
      <selection activeCell="G5" sqref="G5"/>
    </sheetView>
  </sheetViews>
  <sheetFormatPr defaultColWidth="9.00390625" defaultRowHeight="12.75"/>
  <cols>
    <col min="1" max="1" width="8.875" style="0" customWidth="1"/>
    <col min="2" max="3" width="7.375" style="0" customWidth="1"/>
    <col min="4" max="4" width="9.25390625" style="0" customWidth="1"/>
    <col min="6" max="6" width="9.75390625" style="0" customWidth="1"/>
    <col min="7" max="7" width="8.375" style="0" customWidth="1"/>
    <col min="8" max="8" width="9.125" style="112" customWidth="1"/>
    <col min="9" max="9" width="9.375" style="9" customWidth="1"/>
    <col min="10" max="11" width="10.75390625" style="0" customWidth="1"/>
    <col min="12" max="12" width="12.00390625" style="0" customWidth="1"/>
    <col min="13" max="13" width="10.125" style="36" customWidth="1"/>
    <col min="14" max="14" width="10.375" style="2" customWidth="1"/>
    <col min="15" max="15" width="8.875" style="0" customWidth="1"/>
    <col min="16" max="16" width="9.625" style="0" customWidth="1"/>
    <col min="18" max="18" width="10.375" style="0" bestFit="1" customWidth="1"/>
    <col min="19" max="19" width="13.875" style="0" customWidth="1"/>
  </cols>
  <sheetData>
    <row r="1" spans="1:15" ht="18.75" customHeight="1">
      <c r="A1" s="34" t="s">
        <v>54</v>
      </c>
      <c r="B1" s="119"/>
      <c r="C1" s="119"/>
      <c r="D1" s="119"/>
      <c r="E1" s="119"/>
      <c r="F1" s="119"/>
      <c r="G1" s="119"/>
      <c r="O1" s="81" t="s">
        <v>61</v>
      </c>
    </row>
    <row r="2" spans="1:15" ht="18.75" customHeight="1">
      <c r="A2" s="34"/>
      <c r="O2" s="81" t="s">
        <v>60</v>
      </c>
    </row>
    <row r="3" ht="16.5" thickBot="1">
      <c r="A3" s="8" t="s">
        <v>13</v>
      </c>
    </row>
    <row r="4" spans="1:16" ht="15" customHeight="1">
      <c r="A4" s="140" t="s">
        <v>7</v>
      </c>
      <c r="B4" s="142">
        <v>2009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01"/>
      <c r="N4" s="6">
        <v>2008</v>
      </c>
      <c r="O4" s="144" t="s">
        <v>45</v>
      </c>
      <c r="P4" s="145"/>
    </row>
    <row r="5" spans="1:28" s="1" customFormat="1" ht="52.5" customHeight="1" thickBot="1">
      <c r="A5" s="141"/>
      <c r="B5" s="3" t="s">
        <v>3</v>
      </c>
      <c r="C5" s="3" t="s">
        <v>4</v>
      </c>
      <c r="D5" s="3" t="s">
        <v>18</v>
      </c>
      <c r="E5" s="23" t="s">
        <v>10</v>
      </c>
      <c r="F5" s="10" t="s">
        <v>9</v>
      </c>
      <c r="G5" s="10" t="s">
        <v>11</v>
      </c>
      <c r="H5" s="113" t="s">
        <v>44</v>
      </c>
      <c r="I5" s="10" t="s">
        <v>21</v>
      </c>
      <c r="J5" s="23" t="s">
        <v>20</v>
      </c>
      <c r="K5" s="3" t="s">
        <v>19</v>
      </c>
      <c r="L5" s="5" t="s">
        <v>6</v>
      </c>
      <c r="M5" s="38" t="s">
        <v>22</v>
      </c>
      <c r="N5" s="33" t="s">
        <v>18</v>
      </c>
      <c r="O5" s="7" t="s">
        <v>8</v>
      </c>
      <c r="P5" s="4" t="s">
        <v>5</v>
      </c>
      <c r="S5" s="104" t="s">
        <v>50</v>
      </c>
      <c r="U5" s="2"/>
      <c r="V5" s="2"/>
      <c r="W5" s="2"/>
      <c r="X5" s="2"/>
      <c r="Y5" s="2"/>
      <c r="Z5" s="2"/>
      <c r="AA5" s="2"/>
      <c r="AB5" s="2"/>
    </row>
    <row r="6" spans="1:25" s="15" customFormat="1" ht="20.25" customHeight="1">
      <c r="A6" s="11" t="s">
        <v>0</v>
      </c>
      <c r="B6" s="12">
        <v>273</v>
      </c>
      <c r="C6" s="12">
        <v>337</v>
      </c>
      <c r="D6" s="12">
        <f aca="true" t="shared" si="0" ref="D6:D13">SUM(B6:C6)</f>
        <v>610</v>
      </c>
      <c r="E6" s="12">
        <v>91</v>
      </c>
      <c r="F6" s="12">
        <v>34</v>
      </c>
      <c r="G6" s="12">
        <v>4</v>
      </c>
      <c r="H6" s="106">
        <f>(D6/T7)*1000</f>
        <v>6.3489420164656165</v>
      </c>
      <c r="I6" s="13">
        <f aca="true" t="shared" si="1" ref="I6:I20">+E6/D6</f>
        <v>0.14918032786885246</v>
      </c>
      <c r="J6" s="13">
        <f aca="true" t="shared" si="2" ref="J6:J20">+F6/D6</f>
        <v>0.05573770491803279</v>
      </c>
      <c r="K6" s="24">
        <f aca="true" t="shared" si="3" ref="K6:K13">+(4000000/12)/D6</f>
        <v>546.4480874316939</v>
      </c>
      <c r="L6" s="14">
        <f>(D6-G6)*90</f>
        <v>54540</v>
      </c>
      <c r="M6" s="39">
        <f>+D6/31</f>
        <v>19.677419354838708</v>
      </c>
      <c r="N6" s="20">
        <v>452</v>
      </c>
      <c r="O6" s="28">
        <f aca="true" t="shared" si="4" ref="O6:O20">+D6-N6</f>
        <v>158</v>
      </c>
      <c r="P6" s="30">
        <f aca="true" t="shared" si="5" ref="P6:P20">+D6/N6</f>
        <v>1.3495575221238938</v>
      </c>
      <c r="S6" s="17" t="s">
        <v>36</v>
      </c>
      <c r="T6" s="105" t="s">
        <v>38</v>
      </c>
      <c r="U6" s="105" t="s">
        <v>39</v>
      </c>
      <c r="V6" s="105" t="s">
        <v>40</v>
      </c>
      <c r="W6" s="105" t="s">
        <v>41</v>
      </c>
      <c r="X6" s="105" t="s">
        <v>42</v>
      </c>
      <c r="Y6" s="105" t="s">
        <v>43</v>
      </c>
    </row>
    <row r="7" spans="1:25" s="15" customFormat="1" ht="20.25" customHeight="1">
      <c r="A7" s="16" t="s">
        <v>1</v>
      </c>
      <c r="B7" s="12">
        <v>211</v>
      </c>
      <c r="C7" s="12">
        <v>235</v>
      </c>
      <c r="D7" s="12">
        <f t="shared" si="0"/>
        <v>446</v>
      </c>
      <c r="E7" s="12">
        <v>82</v>
      </c>
      <c r="F7" s="12">
        <v>40</v>
      </c>
      <c r="G7" s="12">
        <v>18</v>
      </c>
      <c r="H7" s="106">
        <f>(D7/T7)*1000</f>
        <v>4.642013343186337</v>
      </c>
      <c r="I7" s="13">
        <f t="shared" si="1"/>
        <v>0.18385650224215247</v>
      </c>
      <c r="J7" s="13">
        <f t="shared" si="2"/>
        <v>0.08968609865470852</v>
      </c>
      <c r="K7" s="24">
        <f t="shared" si="3"/>
        <v>747.3841554559043</v>
      </c>
      <c r="L7" s="14">
        <f aca="true" t="shared" si="6" ref="L7:L13">(D7-G7)*90</f>
        <v>38520</v>
      </c>
      <c r="M7" s="39">
        <f>+D7/28</f>
        <v>15.928571428571429</v>
      </c>
      <c r="N7" s="20">
        <v>432</v>
      </c>
      <c r="O7" s="28">
        <f t="shared" si="4"/>
        <v>14</v>
      </c>
      <c r="P7" s="30">
        <f t="shared" si="5"/>
        <v>1.0324074074074074</v>
      </c>
      <c r="S7" s="17" t="s">
        <v>37</v>
      </c>
      <c r="T7" s="21">
        <v>96079</v>
      </c>
      <c r="U7" s="21">
        <v>112031</v>
      </c>
      <c r="V7" s="21">
        <v>73227</v>
      </c>
      <c r="W7" s="21">
        <v>114028</v>
      </c>
      <c r="X7" s="21">
        <v>120046</v>
      </c>
      <c r="Y7" s="21">
        <f>SUM(T7:X7)</f>
        <v>515411</v>
      </c>
    </row>
    <row r="8" spans="1:26" s="15" customFormat="1" ht="20.25" customHeight="1">
      <c r="A8" s="16" t="s">
        <v>2</v>
      </c>
      <c r="B8" s="12">
        <v>274</v>
      </c>
      <c r="C8" s="12">
        <v>315</v>
      </c>
      <c r="D8" s="12">
        <f t="shared" si="0"/>
        <v>589</v>
      </c>
      <c r="E8" s="12">
        <v>113</v>
      </c>
      <c r="F8" s="12">
        <v>51</v>
      </c>
      <c r="G8" s="12">
        <v>23</v>
      </c>
      <c r="H8" s="106">
        <f>(D8/T7)*1000</f>
        <v>6.130371881472538</v>
      </c>
      <c r="I8" s="13">
        <f t="shared" si="1"/>
        <v>0.19185059422750425</v>
      </c>
      <c r="J8" s="13">
        <f t="shared" si="2"/>
        <v>0.0865874363327674</v>
      </c>
      <c r="K8" s="24">
        <f t="shared" si="3"/>
        <v>565.9309564233163</v>
      </c>
      <c r="L8" s="14">
        <f t="shared" si="6"/>
        <v>50940</v>
      </c>
      <c r="M8" s="39">
        <f>+D8/31</f>
        <v>19</v>
      </c>
      <c r="N8" s="20">
        <v>594</v>
      </c>
      <c r="O8" s="28">
        <f t="shared" si="4"/>
        <v>-5</v>
      </c>
      <c r="P8" s="30">
        <f t="shared" si="5"/>
        <v>0.9915824915824916</v>
      </c>
      <c r="Z8"/>
    </row>
    <row r="9" spans="1:26" s="15" customFormat="1" ht="20.25" customHeight="1">
      <c r="A9" s="16" t="s">
        <v>24</v>
      </c>
      <c r="B9" s="12">
        <v>227</v>
      </c>
      <c r="C9" s="12">
        <v>322</v>
      </c>
      <c r="D9" s="12">
        <f t="shared" si="0"/>
        <v>549</v>
      </c>
      <c r="E9" s="12">
        <v>124</v>
      </c>
      <c r="F9" s="12">
        <v>49</v>
      </c>
      <c r="G9" s="12">
        <v>18</v>
      </c>
      <c r="H9" s="106">
        <f>(D9/T7)*1000</f>
        <v>5.714047814819055</v>
      </c>
      <c r="I9" s="13">
        <f t="shared" si="1"/>
        <v>0.22586520947176686</v>
      </c>
      <c r="J9" s="13">
        <f t="shared" si="2"/>
        <v>0.08925318761384335</v>
      </c>
      <c r="K9" s="24">
        <f t="shared" si="3"/>
        <v>607.164541590771</v>
      </c>
      <c r="L9" s="14">
        <f t="shared" si="6"/>
        <v>47790</v>
      </c>
      <c r="M9" s="39">
        <f>+D9/30</f>
        <v>18.3</v>
      </c>
      <c r="N9" s="20">
        <v>514</v>
      </c>
      <c r="O9" s="28">
        <f t="shared" si="4"/>
        <v>35</v>
      </c>
      <c r="P9" s="30">
        <f t="shared" si="5"/>
        <v>1.0680933852140078</v>
      </c>
      <c r="T9"/>
      <c r="U9"/>
      <c r="V9"/>
      <c r="W9"/>
      <c r="X9"/>
      <c r="Y9"/>
      <c r="Z9"/>
    </row>
    <row r="10" spans="1:26" s="15" customFormat="1" ht="20.25" customHeight="1">
      <c r="A10" s="16" t="s">
        <v>25</v>
      </c>
      <c r="B10" s="12">
        <v>281</v>
      </c>
      <c r="C10" s="12">
        <v>352</v>
      </c>
      <c r="D10" s="12">
        <f t="shared" si="0"/>
        <v>633</v>
      </c>
      <c r="E10" s="12">
        <v>135</v>
      </c>
      <c r="F10" s="12">
        <v>54</v>
      </c>
      <c r="G10" s="12">
        <v>28</v>
      </c>
      <c r="H10" s="106">
        <f>(D10/T7)*1000</f>
        <v>6.58832835479137</v>
      </c>
      <c r="I10" s="13">
        <f t="shared" si="1"/>
        <v>0.2132701421800948</v>
      </c>
      <c r="J10" s="13">
        <f t="shared" si="2"/>
        <v>0.08530805687203792</v>
      </c>
      <c r="K10" s="24">
        <f t="shared" si="3"/>
        <v>526.592943654555</v>
      </c>
      <c r="L10" s="14">
        <f t="shared" si="6"/>
        <v>54450</v>
      </c>
      <c r="M10" s="39">
        <f>+D10/31</f>
        <v>20.419354838709676</v>
      </c>
      <c r="N10" s="20">
        <v>547</v>
      </c>
      <c r="O10" s="28">
        <f t="shared" si="4"/>
        <v>86</v>
      </c>
      <c r="P10" s="30">
        <f t="shared" si="5"/>
        <v>1.1572212065813527</v>
      </c>
      <c r="T10"/>
      <c r="U10"/>
      <c r="V10"/>
      <c r="W10"/>
      <c r="X10"/>
      <c r="Y10"/>
      <c r="Z10"/>
    </row>
    <row r="11" spans="1:26" s="15" customFormat="1" ht="20.25" customHeight="1" thickBot="1">
      <c r="A11" s="57" t="s">
        <v>26</v>
      </c>
      <c r="B11" s="58">
        <v>200</v>
      </c>
      <c r="C11" s="58">
        <v>289</v>
      </c>
      <c r="D11" s="58">
        <f t="shared" si="0"/>
        <v>489</v>
      </c>
      <c r="E11" s="58">
        <v>84</v>
      </c>
      <c r="F11" s="58">
        <v>34</v>
      </c>
      <c r="G11" s="58">
        <v>15</v>
      </c>
      <c r="H11" s="107">
        <f>(D11/T7)*1000</f>
        <v>5.089561714838831</v>
      </c>
      <c r="I11" s="60">
        <f t="shared" si="1"/>
        <v>0.17177914110429449</v>
      </c>
      <c r="J11" s="60">
        <f t="shared" si="2"/>
        <v>0.06952965235173825</v>
      </c>
      <c r="K11" s="61">
        <f t="shared" si="3"/>
        <v>681.6632583503749</v>
      </c>
      <c r="L11" s="14">
        <f t="shared" si="6"/>
        <v>42660</v>
      </c>
      <c r="M11" s="63">
        <f>+D11/30</f>
        <v>16.3</v>
      </c>
      <c r="N11" s="59">
        <v>526</v>
      </c>
      <c r="O11" s="65">
        <f t="shared" si="4"/>
        <v>-37</v>
      </c>
      <c r="P11" s="66">
        <f t="shared" si="5"/>
        <v>0.9296577946768061</v>
      </c>
      <c r="T11"/>
      <c r="U11" s="102"/>
      <c r="V11" s="102"/>
      <c r="W11"/>
      <c r="X11"/>
      <c r="Y11"/>
      <c r="Z11"/>
    </row>
    <row r="12" spans="1:26" s="15" customFormat="1" ht="19.5" customHeight="1" thickBot="1" thickTop="1">
      <c r="A12" s="48" t="s">
        <v>28</v>
      </c>
      <c r="B12" s="49">
        <f aca="true" t="shared" si="7" ref="B12:G12">SUM(B6:B11)</f>
        <v>1466</v>
      </c>
      <c r="C12" s="49">
        <f t="shared" si="7"/>
        <v>1850</v>
      </c>
      <c r="D12" s="49">
        <f t="shared" si="7"/>
        <v>3316</v>
      </c>
      <c r="E12" s="49">
        <f t="shared" si="7"/>
        <v>629</v>
      </c>
      <c r="F12" s="49">
        <f t="shared" si="7"/>
        <v>262</v>
      </c>
      <c r="G12" s="49">
        <f t="shared" si="7"/>
        <v>106</v>
      </c>
      <c r="H12" s="108">
        <f>(D12/T7)*1000</f>
        <v>34.513265125573746</v>
      </c>
      <c r="I12" s="43">
        <f t="shared" si="1"/>
        <v>0.189686369119421</v>
      </c>
      <c r="J12" s="43">
        <f t="shared" si="2"/>
        <v>0.0790108564535585</v>
      </c>
      <c r="K12" s="67">
        <f>+(4000000/2)/D12</f>
        <v>603.1363088057901</v>
      </c>
      <c r="L12" s="67">
        <f t="shared" si="6"/>
        <v>288900</v>
      </c>
      <c r="M12" s="68">
        <f>+D12/(31+28+31+30+31+30)</f>
        <v>18.320441988950275</v>
      </c>
      <c r="N12" s="50">
        <f>SUM(N6:N11)</f>
        <v>3065</v>
      </c>
      <c r="O12" s="46">
        <f t="shared" si="4"/>
        <v>251</v>
      </c>
      <c r="P12" s="47">
        <f t="shared" si="5"/>
        <v>1.0818923327895595</v>
      </c>
      <c r="T12" s="102"/>
      <c r="U12" s="102"/>
      <c r="V12" s="102"/>
      <c r="W12"/>
      <c r="X12"/>
      <c r="Y12"/>
      <c r="Z12"/>
    </row>
    <row r="13" spans="1:26" s="15" customFormat="1" ht="20.25" customHeight="1" thickTop="1">
      <c r="A13" s="11" t="s">
        <v>27</v>
      </c>
      <c r="B13" s="12">
        <v>298</v>
      </c>
      <c r="C13" s="12">
        <v>419</v>
      </c>
      <c r="D13" s="12">
        <f t="shared" si="0"/>
        <v>717</v>
      </c>
      <c r="E13" s="12">
        <v>102</v>
      </c>
      <c r="F13" s="12">
        <v>36</v>
      </c>
      <c r="G13" s="12">
        <v>17</v>
      </c>
      <c r="H13" s="106">
        <f>(D13/T7)*1000</f>
        <v>7.462608894763684</v>
      </c>
      <c r="I13" s="13">
        <f t="shared" si="1"/>
        <v>0.14225941422594143</v>
      </c>
      <c r="J13" s="13">
        <f t="shared" si="2"/>
        <v>0.0502092050209205</v>
      </c>
      <c r="K13" s="24">
        <f t="shared" si="3"/>
        <v>464.9000464900046</v>
      </c>
      <c r="L13" s="14">
        <f t="shared" si="6"/>
        <v>63000</v>
      </c>
      <c r="M13" s="39">
        <f>+D13/31</f>
        <v>23.129032258064516</v>
      </c>
      <c r="N13" s="20">
        <v>527</v>
      </c>
      <c r="O13" s="28">
        <f t="shared" si="4"/>
        <v>190</v>
      </c>
      <c r="P13" s="30">
        <f t="shared" si="5"/>
        <v>1.3605313092979128</v>
      </c>
      <c r="T13" s="102"/>
      <c r="U13" s="102"/>
      <c r="V13" s="102"/>
      <c r="W13"/>
      <c r="X13"/>
      <c r="Y13"/>
      <c r="Z13"/>
    </row>
    <row r="14" spans="1:26" s="15" customFormat="1" ht="20.25" customHeight="1">
      <c r="A14" s="11" t="s">
        <v>30</v>
      </c>
      <c r="B14" s="12">
        <v>218</v>
      </c>
      <c r="C14" s="12">
        <v>326</v>
      </c>
      <c r="D14" s="12">
        <f>SUM(B14:C14)</f>
        <v>544</v>
      </c>
      <c r="E14" s="12">
        <v>106</v>
      </c>
      <c r="F14" s="12">
        <v>31</v>
      </c>
      <c r="G14" s="12">
        <v>17</v>
      </c>
      <c r="H14" s="106">
        <f>(D14/T7)*1000</f>
        <v>5.66200730648737</v>
      </c>
      <c r="I14" s="13">
        <f aca="true" t="shared" si="8" ref="I14:I19">+E14/D14</f>
        <v>0.1948529411764706</v>
      </c>
      <c r="J14" s="13">
        <f aca="true" t="shared" si="9" ref="J14:J19">+F14/D14</f>
        <v>0.05698529411764706</v>
      </c>
      <c r="K14" s="24">
        <f>+(4000000/12)/D14</f>
        <v>612.7450980392157</v>
      </c>
      <c r="L14" s="14">
        <f aca="true" t="shared" si="10" ref="L14:L19">+(D14-G14)*90</f>
        <v>47430</v>
      </c>
      <c r="M14" s="39">
        <f>+D14/31</f>
        <v>17.548387096774192</v>
      </c>
      <c r="N14" s="27">
        <v>487</v>
      </c>
      <c r="O14" s="28">
        <f aca="true" t="shared" si="11" ref="O14:O19">+D14-N14</f>
        <v>57</v>
      </c>
      <c r="P14" s="30">
        <f aca="true" t="shared" si="12" ref="P14:P19">+D14/N14</f>
        <v>1.1170431211498972</v>
      </c>
      <c r="T14" s="102"/>
      <c r="U14" s="102"/>
      <c r="V14" s="102"/>
      <c r="W14"/>
      <c r="X14"/>
      <c r="Y14"/>
      <c r="Z14"/>
    </row>
    <row r="15" spans="1:26" s="15" customFormat="1" ht="20.25" customHeight="1" thickBot="1">
      <c r="A15" s="11" t="s">
        <v>31</v>
      </c>
      <c r="B15" s="12">
        <v>193</v>
      </c>
      <c r="C15" s="12">
        <v>255</v>
      </c>
      <c r="D15" s="12">
        <f>SUM(B15:C15)</f>
        <v>448</v>
      </c>
      <c r="E15" s="12">
        <v>82</v>
      </c>
      <c r="F15" s="12">
        <v>37</v>
      </c>
      <c r="G15" s="12">
        <v>14</v>
      </c>
      <c r="H15" s="106">
        <f>(D15/T7)*1000</f>
        <v>4.66282954651901</v>
      </c>
      <c r="I15" s="13">
        <f t="shared" si="8"/>
        <v>0.18303571428571427</v>
      </c>
      <c r="J15" s="13">
        <f t="shared" si="9"/>
        <v>0.08258928571428571</v>
      </c>
      <c r="K15" s="24">
        <f>+(4000000/12)/D15</f>
        <v>744.047619047619</v>
      </c>
      <c r="L15" s="14">
        <f t="shared" si="10"/>
        <v>39060</v>
      </c>
      <c r="M15" s="39">
        <f>+D15/30</f>
        <v>14.933333333333334</v>
      </c>
      <c r="N15" s="27">
        <v>415</v>
      </c>
      <c r="O15" s="28">
        <f t="shared" si="11"/>
        <v>33</v>
      </c>
      <c r="P15" s="30">
        <f t="shared" si="12"/>
        <v>1.0795180722891566</v>
      </c>
      <c r="T15" s="102"/>
      <c r="U15" s="102"/>
      <c r="V15" s="102"/>
      <c r="W15"/>
      <c r="X15"/>
      <c r="Y15"/>
      <c r="Z15"/>
    </row>
    <row r="16" spans="1:26" s="15" customFormat="1" ht="20.25" customHeight="1" hidden="1">
      <c r="A16" s="11" t="s">
        <v>32</v>
      </c>
      <c r="B16" s="12"/>
      <c r="C16" s="12"/>
      <c r="D16" s="12">
        <f>SUM(B16:C16)</f>
        <v>0</v>
      </c>
      <c r="E16" s="12"/>
      <c r="F16" s="12"/>
      <c r="G16" s="12"/>
      <c r="H16" s="106">
        <f>(D16/T7)*1000</f>
        <v>0</v>
      </c>
      <c r="I16" s="13" t="e">
        <f t="shared" si="8"/>
        <v>#DIV/0!</v>
      </c>
      <c r="J16" s="13" t="e">
        <f t="shared" si="9"/>
        <v>#DIV/0!</v>
      </c>
      <c r="K16" s="24" t="e">
        <f>+(4000000/12)/D16</f>
        <v>#DIV/0!</v>
      </c>
      <c r="L16" s="14">
        <f t="shared" si="10"/>
        <v>0</v>
      </c>
      <c r="M16" s="39">
        <f>+D16/31</f>
        <v>0</v>
      </c>
      <c r="N16" s="27"/>
      <c r="O16" s="28">
        <f t="shared" si="11"/>
        <v>0</v>
      </c>
      <c r="P16" s="30" t="e">
        <f t="shared" si="12"/>
        <v>#DIV/0!</v>
      </c>
      <c r="T16" s="102"/>
      <c r="U16" s="102"/>
      <c r="V16" s="102"/>
      <c r="W16"/>
      <c r="X16"/>
      <c r="Y16"/>
      <c r="Z16"/>
    </row>
    <row r="17" spans="1:26" s="15" customFormat="1" ht="20.25" customHeight="1" hidden="1">
      <c r="A17" s="11" t="s">
        <v>33</v>
      </c>
      <c r="B17" s="12"/>
      <c r="C17" s="12"/>
      <c r="D17" s="12">
        <f>SUM(B17:C17)</f>
        <v>0</v>
      </c>
      <c r="E17" s="12"/>
      <c r="F17" s="12"/>
      <c r="G17" s="12"/>
      <c r="H17" s="106">
        <f>(D17/T7)*1000</f>
        <v>0</v>
      </c>
      <c r="I17" s="13" t="e">
        <f t="shared" si="8"/>
        <v>#DIV/0!</v>
      </c>
      <c r="J17" s="13" t="e">
        <f t="shared" si="9"/>
        <v>#DIV/0!</v>
      </c>
      <c r="K17" s="24" t="e">
        <f>+(4000000/12)/D17</f>
        <v>#DIV/0!</v>
      </c>
      <c r="L17" s="14">
        <f t="shared" si="10"/>
        <v>0</v>
      </c>
      <c r="M17" s="39">
        <f>+D17/30</f>
        <v>0</v>
      </c>
      <c r="N17" s="27"/>
      <c r="O17" s="28">
        <f t="shared" si="11"/>
        <v>0</v>
      </c>
      <c r="P17" s="30" t="e">
        <f t="shared" si="12"/>
        <v>#DIV/0!</v>
      </c>
      <c r="T17"/>
      <c r="U17" s="102"/>
      <c r="V17" s="102"/>
      <c r="W17"/>
      <c r="X17"/>
      <c r="Y17"/>
      <c r="Z17"/>
    </row>
    <row r="18" spans="1:26" s="15" customFormat="1" ht="20.25" customHeight="1" hidden="1" thickBot="1">
      <c r="A18" s="82" t="s">
        <v>34</v>
      </c>
      <c r="B18" s="83"/>
      <c r="C18" s="83"/>
      <c r="D18" s="83">
        <f>SUM(B18:C18)</f>
        <v>0</v>
      </c>
      <c r="E18" s="83"/>
      <c r="F18" s="83"/>
      <c r="G18" s="83"/>
      <c r="H18" s="109">
        <f>(D18/T7)*1000</f>
        <v>0</v>
      </c>
      <c r="I18" s="85" t="e">
        <f t="shared" si="8"/>
        <v>#DIV/0!</v>
      </c>
      <c r="J18" s="85" t="e">
        <f t="shared" si="9"/>
        <v>#DIV/0!</v>
      </c>
      <c r="K18" s="86" t="e">
        <f>+(4000000/12)/D18</f>
        <v>#DIV/0!</v>
      </c>
      <c r="L18" s="87">
        <f t="shared" si="10"/>
        <v>0</v>
      </c>
      <c r="M18" s="88">
        <f>+D18/31</f>
        <v>0</v>
      </c>
      <c r="N18" s="89"/>
      <c r="O18" s="90">
        <f t="shared" si="11"/>
        <v>0</v>
      </c>
      <c r="P18" s="91" t="e">
        <f t="shared" si="12"/>
        <v>#DIV/0!</v>
      </c>
      <c r="T18"/>
      <c r="U18"/>
      <c r="V18"/>
      <c r="W18"/>
      <c r="X18"/>
      <c r="Y18"/>
      <c r="Z18"/>
    </row>
    <row r="19" spans="1:26" s="15" customFormat="1" ht="20.25" customHeight="1" thickBot="1" thickTop="1">
      <c r="A19" s="92" t="s">
        <v>57</v>
      </c>
      <c r="B19" s="98">
        <f aca="true" t="shared" si="13" ref="B19:G19">SUM(B13:B18)</f>
        <v>709</v>
      </c>
      <c r="C19" s="98">
        <f t="shared" si="13"/>
        <v>1000</v>
      </c>
      <c r="D19" s="98">
        <f t="shared" si="13"/>
        <v>1709</v>
      </c>
      <c r="E19" s="98">
        <f t="shared" si="13"/>
        <v>290</v>
      </c>
      <c r="F19" s="98">
        <f t="shared" si="13"/>
        <v>104</v>
      </c>
      <c r="G19" s="98">
        <f t="shared" si="13"/>
        <v>48</v>
      </c>
      <c r="H19" s="110">
        <f>(D19/T7)*1000</f>
        <v>17.787445747770064</v>
      </c>
      <c r="I19" s="94">
        <f t="shared" si="8"/>
        <v>0.16968987712112346</v>
      </c>
      <c r="J19" s="94">
        <f t="shared" si="9"/>
        <v>0.060854300760678756</v>
      </c>
      <c r="K19" s="67">
        <f>+(4000000/4)/D19</f>
        <v>585.1375073142189</v>
      </c>
      <c r="L19" s="67">
        <f t="shared" si="10"/>
        <v>149490</v>
      </c>
      <c r="M19" s="68">
        <f>+D19/(31+31+30)</f>
        <v>18.57608695652174</v>
      </c>
      <c r="N19" s="95">
        <f>SUM(N13:N18)</f>
        <v>1429</v>
      </c>
      <c r="O19" s="96">
        <f t="shared" si="11"/>
        <v>280</v>
      </c>
      <c r="P19" s="97">
        <f t="shared" si="12"/>
        <v>1.1959412176347095</v>
      </c>
      <c r="T19"/>
      <c r="U19"/>
      <c r="V19"/>
      <c r="W19"/>
      <c r="X19"/>
      <c r="Y19"/>
      <c r="Z19"/>
    </row>
    <row r="20" spans="1:16" s="15" customFormat="1" ht="13.5" thickBot="1" thickTop="1">
      <c r="A20" s="18" t="s">
        <v>56</v>
      </c>
      <c r="B20" s="19">
        <f aca="true" t="shared" si="14" ref="B20:G20">+B19+B12</f>
        <v>2175</v>
      </c>
      <c r="C20" s="19">
        <f t="shared" si="14"/>
        <v>2850</v>
      </c>
      <c r="D20" s="19">
        <f t="shared" si="14"/>
        <v>5025</v>
      </c>
      <c r="E20" s="19">
        <f t="shared" si="14"/>
        <v>919</v>
      </c>
      <c r="F20" s="19">
        <f t="shared" si="14"/>
        <v>366</v>
      </c>
      <c r="G20" s="19">
        <f t="shared" si="14"/>
        <v>154</v>
      </c>
      <c r="H20" s="111">
        <f>(D20/T7)*1000</f>
        <v>52.30071087334382</v>
      </c>
      <c r="I20" s="25">
        <f t="shared" si="1"/>
        <v>0.18288557213930348</v>
      </c>
      <c r="J20" s="25">
        <f t="shared" si="2"/>
        <v>0.07283582089552239</v>
      </c>
      <c r="K20" s="26">
        <f>+(3000000)/D20</f>
        <v>597.0149253731344</v>
      </c>
      <c r="L20" s="35">
        <f>+(D20-G20)*90</f>
        <v>438390</v>
      </c>
      <c r="M20" s="40">
        <f>+D20/273</f>
        <v>18.406593406593405</v>
      </c>
      <c r="N20" s="29">
        <f>SUM(N12,N19)</f>
        <v>4494</v>
      </c>
      <c r="O20" s="31">
        <f t="shared" si="4"/>
        <v>531</v>
      </c>
      <c r="P20" s="32">
        <f t="shared" si="5"/>
        <v>1.1181575433911883</v>
      </c>
    </row>
    <row r="21" spans="1:10" ht="16.5" thickBot="1">
      <c r="A21" s="8" t="s">
        <v>14</v>
      </c>
      <c r="J21" s="41"/>
    </row>
    <row r="22" spans="1:16" ht="14.25" customHeight="1">
      <c r="A22" s="140" t="s">
        <v>7</v>
      </c>
      <c r="B22" s="142">
        <v>2009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37"/>
      <c r="N22" s="6">
        <v>2008</v>
      </c>
      <c r="O22" s="144" t="s">
        <v>45</v>
      </c>
      <c r="P22" s="145"/>
    </row>
    <row r="23" spans="1:26" s="1" customFormat="1" ht="49.5" customHeight="1" thickBot="1">
      <c r="A23" s="141"/>
      <c r="B23" s="3" t="s">
        <v>3</v>
      </c>
      <c r="C23" s="3" t="s">
        <v>4</v>
      </c>
      <c r="D23" s="3" t="s">
        <v>18</v>
      </c>
      <c r="E23" s="23" t="s">
        <v>10</v>
      </c>
      <c r="F23" s="10" t="s">
        <v>9</v>
      </c>
      <c r="G23" s="10" t="s">
        <v>11</v>
      </c>
      <c r="H23" s="113" t="s">
        <v>44</v>
      </c>
      <c r="I23" s="10" t="s">
        <v>21</v>
      </c>
      <c r="J23" s="23" t="s">
        <v>20</v>
      </c>
      <c r="K23" s="3" t="s">
        <v>19</v>
      </c>
      <c r="L23" s="5" t="s">
        <v>6</v>
      </c>
      <c r="M23" s="38" t="s">
        <v>22</v>
      </c>
      <c r="N23" s="33" t="s">
        <v>18</v>
      </c>
      <c r="O23" s="7" t="s">
        <v>8</v>
      </c>
      <c r="P23" s="4" t="s">
        <v>5</v>
      </c>
      <c r="T23"/>
      <c r="U23"/>
      <c r="V23"/>
      <c r="W23"/>
      <c r="X23"/>
      <c r="Y23"/>
      <c r="Z23"/>
    </row>
    <row r="24" spans="1:26" s="15" customFormat="1" ht="20.25" customHeight="1">
      <c r="A24" s="11" t="s">
        <v>0</v>
      </c>
      <c r="B24" s="20">
        <v>326</v>
      </c>
      <c r="C24" s="20">
        <v>350</v>
      </c>
      <c r="D24" s="20">
        <f aca="true" t="shared" si="15" ref="D24:D36">SUM(B24:C24)</f>
        <v>676</v>
      </c>
      <c r="E24" s="20">
        <v>110</v>
      </c>
      <c r="F24" s="20">
        <v>37</v>
      </c>
      <c r="G24" s="20">
        <v>98</v>
      </c>
      <c r="H24" s="106">
        <f>(D24/U7)*1000</f>
        <v>6.034044148494613</v>
      </c>
      <c r="I24" s="13">
        <f aca="true" t="shared" si="16" ref="I24:I38">+E24/D24</f>
        <v>0.16272189349112426</v>
      </c>
      <c r="J24" s="13">
        <f aca="true" t="shared" si="17" ref="J24:J38">+F24/D24</f>
        <v>0.05473372781065089</v>
      </c>
      <c r="K24" s="24">
        <f aca="true" t="shared" si="18" ref="K24:K36">+(4000000/12)/D24</f>
        <v>493.09664694280076</v>
      </c>
      <c r="L24" s="14">
        <f aca="true" t="shared" si="19" ref="L24:L37">+(D24-G24)*90</f>
        <v>52020</v>
      </c>
      <c r="M24" s="39">
        <f>+D24/31</f>
        <v>21.806451612903224</v>
      </c>
      <c r="N24" s="27">
        <v>412</v>
      </c>
      <c r="O24" s="28">
        <f aca="true" t="shared" si="20" ref="O24:O38">+D24-N24</f>
        <v>264</v>
      </c>
      <c r="P24" s="30">
        <f aca="true" t="shared" si="21" ref="P24:P38">+D24/N24</f>
        <v>1.6407766990291262</v>
      </c>
      <c r="T24"/>
      <c r="U24"/>
      <c r="V24"/>
      <c r="W24"/>
      <c r="X24"/>
      <c r="Y24"/>
      <c r="Z24"/>
    </row>
    <row r="25" spans="1:26" s="15" customFormat="1" ht="20.25" customHeight="1">
      <c r="A25" s="16" t="s">
        <v>1</v>
      </c>
      <c r="B25" s="21">
        <v>380</v>
      </c>
      <c r="C25" s="21">
        <v>348</v>
      </c>
      <c r="D25" s="20">
        <f t="shared" si="15"/>
        <v>728</v>
      </c>
      <c r="E25" s="20">
        <v>99</v>
      </c>
      <c r="F25" s="20">
        <v>37</v>
      </c>
      <c r="G25" s="20">
        <v>53</v>
      </c>
      <c r="H25" s="106">
        <f>(D25/U7)*1000</f>
        <v>6.498201390686506</v>
      </c>
      <c r="I25" s="13">
        <f t="shared" si="16"/>
        <v>0.13598901098901098</v>
      </c>
      <c r="J25" s="13">
        <f t="shared" si="17"/>
        <v>0.050824175824175824</v>
      </c>
      <c r="K25" s="24">
        <f t="shared" si="18"/>
        <v>457.87545787545787</v>
      </c>
      <c r="L25" s="14">
        <f t="shared" si="19"/>
        <v>60750</v>
      </c>
      <c r="M25" s="39">
        <f>+D25/28</f>
        <v>26</v>
      </c>
      <c r="N25" s="27">
        <v>498</v>
      </c>
      <c r="O25" s="28">
        <f t="shared" si="20"/>
        <v>230</v>
      </c>
      <c r="P25" s="30">
        <f t="shared" si="21"/>
        <v>1.461847389558233</v>
      </c>
      <c r="T25" s="102"/>
      <c r="U25" s="102"/>
      <c r="V25"/>
      <c r="W25"/>
      <c r="X25"/>
      <c r="Y25"/>
      <c r="Z25"/>
    </row>
    <row r="26" spans="1:26" s="15" customFormat="1" ht="20.25" customHeight="1">
      <c r="A26" s="16" t="s">
        <v>2</v>
      </c>
      <c r="B26" s="21">
        <v>484</v>
      </c>
      <c r="C26" s="21">
        <v>386</v>
      </c>
      <c r="D26" s="20">
        <f t="shared" si="15"/>
        <v>870</v>
      </c>
      <c r="E26" s="20">
        <v>131</v>
      </c>
      <c r="F26" s="20">
        <v>33</v>
      </c>
      <c r="G26" s="20">
        <v>66</v>
      </c>
      <c r="H26" s="106">
        <f>(D26/U7)*1000</f>
        <v>7.76570770590283</v>
      </c>
      <c r="I26" s="13">
        <f t="shared" si="16"/>
        <v>0.15057471264367817</v>
      </c>
      <c r="J26" s="13">
        <f t="shared" si="17"/>
        <v>0.03793103448275862</v>
      </c>
      <c r="K26" s="24">
        <f t="shared" si="18"/>
        <v>383.14176245210723</v>
      </c>
      <c r="L26" s="14">
        <f t="shared" si="19"/>
        <v>72360</v>
      </c>
      <c r="M26" s="39">
        <f>+D26/31</f>
        <v>28.06451612903226</v>
      </c>
      <c r="N26" s="27">
        <v>777</v>
      </c>
      <c r="O26" s="28">
        <f t="shared" si="20"/>
        <v>93</v>
      </c>
      <c r="P26" s="30">
        <f t="shared" si="21"/>
        <v>1.1196911196911197</v>
      </c>
      <c r="T26" s="102"/>
      <c r="U26" s="102"/>
      <c r="V26"/>
      <c r="W26"/>
      <c r="X26"/>
      <c r="Y26"/>
      <c r="Z26"/>
    </row>
    <row r="27" spans="1:26" s="15" customFormat="1" ht="20.25" customHeight="1">
      <c r="A27" s="16" t="s">
        <v>24</v>
      </c>
      <c r="B27" s="21">
        <v>338</v>
      </c>
      <c r="C27" s="21">
        <v>369</v>
      </c>
      <c r="D27" s="20">
        <f t="shared" si="15"/>
        <v>707</v>
      </c>
      <c r="E27" s="20">
        <v>105</v>
      </c>
      <c r="F27" s="20">
        <v>30</v>
      </c>
      <c r="G27" s="20">
        <v>48</v>
      </c>
      <c r="H27" s="106">
        <f>(D27/U7)*1000</f>
        <v>6.310753273647473</v>
      </c>
      <c r="I27" s="13">
        <f t="shared" si="16"/>
        <v>0.1485148514851485</v>
      </c>
      <c r="J27" s="13">
        <f t="shared" si="17"/>
        <v>0.042432814710042434</v>
      </c>
      <c r="K27" s="24">
        <f t="shared" si="18"/>
        <v>471.47571900047143</v>
      </c>
      <c r="L27" s="14">
        <f t="shared" si="19"/>
        <v>59310</v>
      </c>
      <c r="M27" s="39">
        <f>+D27/30</f>
        <v>23.566666666666666</v>
      </c>
      <c r="N27" s="27">
        <v>607</v>
      </c>
      <c r="O27" s="28">
        <f t="shared" si="20"/>
        <v>100</v>
      </c>
      <c r="P27" s="30">
        <f t="shared" si="21"/>
        <v>1.1647446457990116</v>
      </c>
      <c r="T27" s="102"/>
      <c r="U27" s="102"/>
      <c r="V27" s="102"/>
      <c r="W27"/>
      <c r="X27"/>
      <c r="Y27"/>
      <c r="Z27"/>
    </row>
    <row r="28" spans="1:26" s="15" customFormat="1" ht="20.25" customHeight="1">
      <c r="A28" s="16" t="s">
        <v>25</v>
      </c>
      <c r="B28" s="21">
        <v>435</v>
      </c>
      <c r="C28" s="21">
        <v>452</v>
      </c>
      <c r="D28" s="20">
        <f t="shared" si="15"/>
        <v>887</v>
      </c>
      <c r="E28" s="20">
        <v>144</v>
      </c>
      <c r="F28" s="20">
        <v>42</v>
      </c>
      <c r="G28" s="20">
        <v>133</v>
      </c>
      <c r="H28" s="106">
        <f>(D28/U7)*1000</f>
        <v>7.917451419696334</v>
      </c>
      <c r="I28" s="13">
        <f t="shared" si="16"/>
        <v>0.16234498308906425</v>
      </c>
      <c r="J28" s="13">
        <f t="shared" si="17"/>
        <v>0.04735062006764374</v>
      </c>
      <c r="K28" s="24">
        <f t="shared" si="18"/>
        <v>375.7985719654265</v>
      </c>
      <c r="L28" s="14">
        <f t="shared" si="19"/>
        <v>67860</v>
      </c>
      <c r="M28" s="39">
        <f>+D28/31</f>
        <v>28.612903225806452</v>
      </c>
      <c r="N28" s="27">
        <v>672</v>
      </c>
      <c r="O28" s="28">
        <f t="shared" si="20"/>
        <v>215</v>
      </c>
      <c r="P28" s="30">
        <f t="shared" si="21"/>
        <v>1.3199404761904763</v>
      </c>
      <c r="T28" s="102"/>
      <c r="U28" s="102"/>
      <c r="V28" s="102"/>
      <c r="W28"/>
      <c r="X28"/>
      <c r="Y28"/>
      <c r="Z28"/>
    </row>
    <row r="29" spans="1:26" s="15" customFormat="1" ht="20.25" customHeight="1" thickBot="1">
      <c r="A29" s="57" t="s">
        <v>26</v>
      </c>
      <c r="B29" s="59">
        <v>336</v>
      </c>
      <c r="C29" s="59">
        <v>362</v>
      </c>
      <c r="D29" s="59">
        <f t="shared" si="15"/>
        <v>698</v>
      </c>
      <c r="E29" s="59">
        <v>113</v>
      </c>
      <c r="F29" s="59">
        <v>36</v>
      </c>
      <c r="G29" s="59">
        <v>77</v>
      </c>
      <c r="H29" s="107">
        <f>(D29/U7)*1000</f>
        <v>6.230418366345029</v>
      </c>
      <c r="I29" s="60">
        <f t="shared" si="16"/>
        <v>0.16189111747851004</v>
      </c>
      <c r="J29" s="60">
        <f t="shared" si="17"/>
        <v>0.05157593123209169</v>
      </c>
      <c r="K29" s="61">
        <f t="shared" si="18"/>
        <v>477.55491881566377</v>
      </c>
      <c r="L29" s="62">
        <f t="shared" si="19"/>
        <v>55890</v>
      </c>
      <c r="M29" s="63">
        <f>+D29/30</f>
        <v>23.266666666666666</v>
      </c>
      <c r="N29" s="69">
        <v>726</v>
      </c>
      <c r="O29" s="65">
        <f t="shared" si="20"/>
        <v>-28</v>
      </c>
      <c r="P29" s="66">
        <f t="shared" si="21"/>
        <v>0.9614325068870524</v>
      </c>
      <c r="T29" s="102"/>
      <c r="U29" s="102"/>
      <c r="V29" s="102"/>
      <c r="W29"/>
      <c r="X29"/>
      <c r="Y29"/>
      <c r="Z29"/>
    </row>
    <row r="30" spans="1:26" s="15" customFormat="1" ht="20.25" customHeight="1" thickBot="1" thickTop="1">
      <c r="A30" s="48" t="s">
        <v>28</v>
      </c>
      <c r="B30" s="50">
        <f aca="true" t="shared" si="22" ref="B30:G30">SUM(B24:B29)</f>
        <v>2299</v>
      </c>
      <c r="C30" s="50">
        <f t="shared" si="22"/>
        <v>2267</v>
      </c>
      <c r="D30" s="50">
        <f t="shared" si="22"/>
        <v>4566</v>
      </c>
      <c r="E30" s="50">
        <f t="shared" si="22"/>
        <v>702</v>
      </c>
      <c r="F30" s="50">
        <f t="shared" si="22"/>
        <v>215</v>
      </c>
      <c r="G30" s="50">
        <f t="shared" si="22"/>
        <v>475</v>
      </c>
      <c r="H30" s="108">
        <f>(D30/U7)*1000</f>
        <v>40.756576304772786</v>
      </c>
      <c r="I30" s="43">
        <f>+E30/D30</f>
        <v>0.15374507227332457</v>
      </c>
      <c r="J30" s="43">
        <f t="shared" si="17"/>
        <v>0.047087166009636444</v>
      </c>
      <c r="K30" s="67">
        <f>+(4000000/2)/D30</f>
        <v>438.02014892685065</v>
      </c>
      <c r="L30" s="52">
        <f>(D30-G30)*90</f>
        <v>368190</v>
      </c>
      <c r="M30" s="68">
        <f>+D30/(31+28+31+30+31+30)</f>
        <v>25.226519337016576</v>
      </c>
      <c r="N30" s="45">
        <f>SUM(N24:N29)</f>
        <v>3692</v>
      </c>
      <c r="O30" s="46">
        <f t="shared" si="20"/>
        <v>874</v>
      </c>
      <c r="P30" s="47">
        <f t="shared" si="21"/>
        <v>1.2367280606717226</v>
      </c>
      <c r="T30" s="102"/>
      <c r="U30" s="102"/>
      <c r="V30" s="102"/>
      <c r="W30"/>
      <c r="X30"/>
      <c r="Y30"/>
      <c r="Z30"/>
    </row>
    <row r="31" spans="1:26" s="15" customFormat="1" ht="20.25" customHeight="1" thickTop="1">
      <c r="A31" s="16" t="s">
        <v>27</v>
      </c>
      <c r="B31" s="20">
        <v>459</v>
      </c>
      <c r="C31" s="20">
        <v>456</v>
      </c>
      <c r="D31" s="20">
        <f t="shared" si="15"/>
        <v>915</v>
      </c>
      <c r="E31" s="20">
        <v>118</v>
      </c>
      <c r="F31" s="20">
        <v>46</v>
      </c>
      <c r="G31" s="20">
        <v>76</v>
      </c>
      <c r="H31" s="106">
        <f>(D31/U7)*1000</f>
        <v>8.167382242415046</v>
      </c>
      <c r="I31" s="13">
        <f t="shared" si="16"/>
        <v>0.12896174863387977</v>
      </c>
      <c r="J31" s="13">
        <f t="shared" si="17"/>
        <v>0.05027322404371585</v>
      </c>
      <c r="K31" s="24">
        <f t="shared" si="18"/>
        <v>364.2987249544626</v>
      </c>
      <c r="L31" s="14">
        <f t="shared" si="19"/>
        <v>75510</v>
      </c>
      <c r="M31" s="39">
        <f>+D31/31</f>
        <v>29.516129032258064</v>
      </c>
      <c r="N31" s="27">
        <v>646</v>
      </c>
      <c r="O31" s="28">
        <f t="shared" si="20"/>
        <v>269</v>
      </c>
      <c r="P31" s="30">
        <f t="shared" si="21"/>
        <v>1.41640866873065</v>
      </c>
      <c r="T31" s="102"/>
      <c r="U31" s="102"/>
      <c r="V31" s="102"/>
      <c r="W31"/>
      <c r="X31"/>
      <c r="Y31"/>
      <c r="Z31"/>
    </row>
    <row r="32" spans="1:26" s="15" customFormat="1" ht="20.25" customHeight="1">
      <c r="A32" s="11" t="s">
        <v>30</v>
      </c>
      <c r="B32" s="12">
        <v>387</v>
      </c>
      <c r="C32" s="12">
        <v>418</v>
      </c>
      <c r="D32" s="12">
        <f t="shared" si="15"/>
        <v>805</v>
      </c>
      <c r="E32" s="12">
        <v>111</v>
      </c>
      <c r="F32" s="12">
        <v>31</v>
      </c>
      <c r="G32" s="12">
        <v>46</v>
      </c>
      <c r="H32" s="106">
        <f>(D32/U7)*1000</f>
        <v>7.185511153162963</v>
      </c>
      <c r="I32" s="13">
        <f t="shared" si="16"/>
        <v>0.13788819875776398</v>
      </c>
      <c r="J32" s="13">
        <f t="shared" si="17"/>
        <v>0.03850931677018633</v>
      </c>
      <c r="K32" s="24">
        <f>+(4000000/12)/D32</f>
        <v>414.0786749482401</v>
      </c>
      <c r="L32" s="14">
        <f t="shared" si="19"/>
        <v>68310</v>
      </c>
      <c r="M32" s="39">
        <f>+D32/31</f>
        <v>25.967741935483872</v>
      </c>
      <c r="N32" s="27">
        <v>617</v>
      </c>
      <c r="O32" s="28">
        <f t="shared" si="20"/>
        <v>188</v>
      </c>
      <c r="P32" s="30">
        <f t="shared" si="21"/>
        <v>1.3047001620745542</v>
      </c>
      <c r="T32"/>
      <c r="U32" s="102"/>
      <c r="V32" s="102"/>
      <c r="W32"/>
      <c r="X32"/>
      <c r="Y32"/>
      <c r="Z32"/>
    </row>
    <row r="33" spans="1:26" s="15" customFormat="1" ht="20.25" customHeight="1" thickBot="1">
      <c r="A33" s="11" t="s">
        <v>31</v>
      </c>
      <c r="B33" s="12">
        <v>309</v>
      </c>
      <c r="C33" s="12">
        <v>344</v>
      </c>
      <c r="D33" s="12">
        <f t="shared" si="15"/>
        <v>653</v>
      </c>
      <c r="E33" s="12">
        <v>87</v>
      </c>
      <c r="F33" s="12">
        <v>41</v>
      </c>
      <c r="G33" s="12">
        <v>66</v>
      </c>
      <c r="H33" s="106">
        <f>(D33/U7)*1000</f>
        <v>5.828743829832814</v>
      </c>
      <c r="I33" s="13">
        <f t="shared" si="16"/>
        <v>0.1332312404287902</v>
      </c>
      <c r="J33" s="13">
        <f t="shared" si="17"/>
        <v>0.06278713629402756</v>
      </c>
      <c r="K33" s="24">
        <f t="shared" si="18"/>
        <v>510.46452271567125</v>
      </c>
      <c r="L33" s="14">
        <f t="shared" si="19"/>
        <v>52830</v>
      </c>
      <c r="M33" s="39">
        <f>+D33/30</f>
        <v>21.766666666666666</v>
      </c>
      <c r="N33" s="27">
        <v>500</v>
      </c>
      <c r="O33" s="28">
        <f t="shared" si="20"/>
        <v>153</v>
      </c>
      <c r="P33" s="30">
        <f t="shared" si="21"/>
        <v>1.306</v>
      </c>
      <c r="T33"/>
      <c r="U33" s="102"/>
      <c r="V33" s="102"/>
      <c r="W33"/>
      <c r="X33"/>
      <c r="Y33"/>
      <c r="Z33"/>
    </row>
    <row r="34" spans="1:26" s="15" customFormat="1" ht="21" customHeight="1" hidden="1">
      <c r="A34" s="11" t="s">
        <v>32</v>
      </c>
      <c r="B34" s="12"/>
      <c r="C34" s="12"/>
      <c r="D34" s="12">
        <f t="shared" si="15"/>
        <v>0</v>
      </c>
      <c r="E34" s="12"/>
      <c r="F34" s="12"/>
      <c r="G34" s="12"/>
      <c r="H34" s="106">
        <f>(D34/U7)*1000</f>
        <v>0</v>
      </c>
      <c r="I34" s="13" t="e">
        <f t="shared" si="16"/>
        <v>#DIV/0!</v>
      </c>
      <c r="J34" s="13" t="e">
        <f t="shared" si="17"/>
        <v>#DIV/0!</v>
      </c>
      <c r="K34" s="24" t="e">
        <f t="shared" si="18"/>
        <v>#DIV/0!</v>
      </c>
      <c r="L34" s="14">
        <f t="shared" si="19"/>
        <v>0</v>
      </c>
      <c r="M34" s="39">
        <f>+D34/31</f>
        <v>0</v>
      </c>
      <c r="N34" s="27"/>
      <c r="O34" s="28">
        <f t="shared" si="20"/>
        <v>0</v>
      </c>
      <c r="P34" s="30" t="e">
        <f t="shared" si="21"/>
        <v>#DIV/0!</v>
      </c>
      <c r="T34"/>
      <c r="U34"/>
      <c r="V34"/>
      <c r="W34"/>
      <c r="X34"/>
      <c r="Y34"/>
      <c r="Z34"/>
    </row>
    <row r="35" spans="1:26" s="15" customFormat="1" ht="21" customHeight="1" hidden="1">
      <c r="A35" s="11" t="s">
        <v>33</v>
      </c>
      <c r="B35" s="12"/>
      <c r="C35" s="12"/>
      <c r="D35" s="12">
        <f t="shared" si="15"/>
        <v>0</v>
      </c>
      <c r="E35" s="12"/>
      <c r="F35" s="12"/>
      <c r="G35" s="12"/>
      <c r="H35" s="106">
        <f>(D35/U7)*1000</f>
        <v>0</v>
      </c>
      <c r="I35" s="13" t="e">
        <f t="shared" si="16"/>
        <v>#DIV/0!</v>
      </c>
      <c r="J35" s="13" t="e">
        <f t="shared" si="17"/>
        <v>#DIV/0!</v>
      </c>
      <c r="K35" s="24" t="e">
        <f t="shared" si="18"/>
        <v>#DIV/0!</v>
      </c>
      <c r="L35" s="14">
        <f t="shared" si="19"/>
        <v>0</v>
      </c>
      <c r="M35" s="39">
        <f>+D35/30</f>
        <v>0</v>
      </c>
      <c r="N35" s="27"/>
      <c r="O35" s="28">
        <f t="shared" si="20"/>
        <v>0</v>
      </c>
      <c r="P35" s="30" t="e">
        <f t="shared" si="21"/>
        <v>#DIV/0!</v>
      </c>
      <c r="T35"/>
      <c r="U35"/>
      <c r="V35"/>
      <c r="W35"/>
      <c r="X35"/>
      <c r="Y35"/>
      <c r="Z35"/>
    </row>
    <row r="36" spans="1:26" s="15" customFormat="1" ht="21" customHeight="1" hidden="1" thickBot="1">
      <c r="A36" s="82" t="s">
        <v>34</v>
      </c>
      <c r="B36" s="83"/>
      <c r="C36" s="83"/>
      <c r="D36" s="83">
        <f t="shared" si="15"/>
        <v>0</v>
      </c>
      <c r="E36" s="83"/>
      <c r="F36" s="83"/>
      <c r="G36" s="83"/>
      <c r="H36" s="109">
        <f>(D36/U7)*1000</f>
        <v>0</v>
      </c>
      <c r="I36" s="85" t="e">
        <f t="shared" si="16"/>
        <v>#DIV/0!</v>
      </c>
      <c r="J36" s="85" t="e">
        <f t="shared" si="17"/>
        <v>#DIV/0!</v>
      </c>
      <c r="K36" s="86" t="e">
        <f t="shared" si="18"/>
        <v>#DIV/0!</v>
      </c>
      <c r="L36" s="87">
        <f t="shared" si="19"/>
        <v>0</v>
      </c>
      <c r="M36" s="88">
        <f>+D36/31</f>
        <v>0</v>
      </c>
      <c r="N36" s="27"/>
      <c r="O36" s="90">
        <f t="shared" si="20"/>
        <v>0</v>
      </c>
      <c r="P36" s="91" t="e">
        <f t="shared" si="21"/>
        <v>#DIV/0!</v>
      </c>
      <c r="T36"/>
      <c r="U36"/>
      <c r="V36"/>
      <c r="W36"/>
      <c r="X36"/>
      <c r="Y36"/>
      <c r="Z36"/>
    </row>
    <row r="37" spans="1:26" s="15" customFormat="1" ht="20.25" customHeight="1" thickBot="1" thickTop="1">
      <c r="A37" s="92" t="s">
        <v>57</v>
      </c>
      <c r="B37" s="98">
        <f aca="true" t="shared" si="23" ref="B37:G37">SUM(B31:B36)</f>
        <v>1155</v>
      </c>
      <c r="C37" s="98">
        <f t="shared" si="23"/>
        <v>1218</v>
      </c>
      <c r="D37" s="98">
        <f t="shared" si="23"/>
        <v>2373</v>
      </c>
      <c r="E37" s="98">
        <f t="shared" si="23"/>
        <v>316</v>
      </c>
      <c r="F37" s="98">
        <f t="shared" si="23"/>
        <v>118</v>
      </c>
      <c r="G37" s="98">
        <f t="shared" si="23"/>
        <v>188</v>
      </c>
      <c r="H37" s="110">
        <f>(D37/U7)*1000</f>
        <v>21.181637225410824</v>
      </c>
      <c r="I37" s="94">
        <f t="shared" si="16"/>
        <v>0.13316477033291194</v>
      </c>
      <c r="J37" s="94">
        <f t="shared" si="17"/>
        <v>0.049726085124315214</v>
      </c>
      <c r="K37" s="67">
        <f>+(4000000/4)/D37</f>
        <v>421.40750105351873</v>
      </c>
      <c r="L37" s="67">
        <f t="shared" si="19"/>
        <v>196650</v>
      </c>
      <c r="M37" s="68">
        <f>+D37/(31+31+30)</f>
        <v>25.793478260869566</v>
      </c>
      <c r="N37" s="95">
        <f>SUM(N31:N33)</f>
        <v>1763</v>
      </c>
      <c r="O37" s="96">
        <f t="shared" si="20"/>
        <v>610</v>
      </c>
      <c r="P37" s="97">
        <f t="shared" si="21"/>
        <v>1.346001134429949</v>
      </c>
      <c r="T37"/>
      <c r="U37"/>
      <c r="V37"/>
      <c r="W37"/>
      <c r="X37"/>
      <c r="Y37"/>
      <c r="Z37"/>
    </row>
    <row r="38" spans="1:16" s="15" customFormat="1" ht="20.25" customHeight="1" thickBot="1" thickTop="1">
      <c r="A38" s="18" t="s">
        <v>56</v>
      </c>
      <c r="B38" s="19">
        <f aca="true" t="shared" si="24" ref="B38:G38">+B37+B30</f>
        <v>3454</v>
      </c>
      <c r="C38" s="19">
        <f t="shared" si="24"/>
        <v>3485</v>
      </c>
      <c r="D38" s="19">
        <f t="shared" si="24"/>
        <v>6939</v>
      </c>
      <c r="E38" s="19">
        <f t="shared" si="24"/>
        <v>1018</v>
      </c>
      <c r="F38" s="19">
        <f t="shared" si="24"/>
        <v>333</v>
      </c>
      <c r="G38" s="19">
        <f t="shared" si="24"/>
        <v>663</v>
      </c>
      <c r="H38" s="111">
        <f>(D38/U7)*1000</f>
        <v>61.93821353018361</v>
      </c>
      <c r="I38" s="25">
        <f t="shared" si="16"/>
        <v>0.14670701830234903</v>
      </c>
      <c r="J38" s="25">
        <f t="shared" si="17"/>
        <v>0.04798962386511025</v>
      </c>
      <c r="K38" s="26">
        <f>+(3000000)/D38</f>
        <v>432.33895373973195</v>
      </c>
      <c r="L38" s="35">
        <f>+(D38-G38)*90</f>
        <v>564840</v>
      </c>
      <c r="M38" s="40">
        <f>+D38/273</f>
        <v>25.417582417582416</v>
      </c>
      <c r="N38" s="29">
        <f>SUM(N30,N37)</f>
        <v>5455</v>
      </c>
      <c r="O38" s="31">
        <f t="shared" si="20"/>
        <v>1484</v>
      </c>
      <c r="P38" s="32">
        <f t="shared" si="21"/>
        <v>1.272043996333639</v>
      </c>
    </row>
    <row r="39" ht="16.5" thickBot="1">
      <c r="A39" s="8" t="s">
        <v>15</v>
      </c>
    </row>
    <row r="40" spans="1:16" ht="18" customHeight="1">
      <c r="A40" s="140" t="s">
        <v>7</v>
      </c>
      <c r="B40" s="142">
        <v>2009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37"/>
      <c r="N40" s="6">
        <v>2008</v>
      </c>
      <c r="O40" s="144" t="s">
        <v>45</v>
      </c>
      <c r="P40" s="145"/>
    </row>
    <row r="41" spans="1:26" s="1" customFormat="1" ht="52.5" customHeight="1" thickBot="1">
      <c r="A41" s="141"/>
      <c r="B41" s="3" t="s">
        <v>3</v>
      </c>
      <c r="C41" s="3" t="s">
        <v>4</v>
      </c>
      <c r="D41" s="3" t="s">
        <v>18</v>
      </c>
      <c r="E41" s="23" t="s">
        <v>10</v>
      </c>
      <c r="F41" s="10" t="s">
        <v>9</v>
      </c>
      <c r="G41" s="10" t="s">
        <v>11</v>
      </c>
      <c r="H41" s="113" t="s">
        <v>44</v>
      </c>
      <c r="I41" s="10" t="s">
        <v>21</v>
      </c>
      <c r="J41" s="23" t="s">
        <v>20</v>
      </c>
      <c r="K41" s="3" t="s">
        <v>19</v>
      </c>
      <c r="L41" s="5" t="s">
        <v>6</v>
      </c>
      <c r="M41" s="38" t="s">
        <v>22</v>
      </c>
      <c r="N41" s="33" t="s">
        <v>18</v>
      </c>
      <c r="O41" s="7" t="s">
        <v>8</v>
      </c>
      <c r="P41" s="4" t="s">
        <v>5</v>
      </c>
      <c r="T41"/>
      <c r="U41"/>
      <c r="V41"/>
      <c r="W41"/>
      <c r="X41"/>
      <c r="Y41"/>
      <c r="Z41"/>
    </row>
    <row r="42" spans="1:26" s="15" customFormat="1" ht="20.25" customHeight="1">
      <c r="A42" s="11" t="s">
        <v>0</v>
      </c>
      <c r="B42" s="12">
        <v>204</v>
      </c>
      <c r="C42" s="12">
        <v>296</v>
      </c>
      <c r="D42" s="12">
        <f aca="true" t="shared" si="25" ref="D42:D54">SUM(B42:C42)</f>
        <v>500</v>
      </c>
      <c r="E42" s="12">
        <v>63</v>
      </c>
      <c r="F42" s="12">
        <v>9</v>
      </c>
      <c r="G42" s="12">
        <v>28</v>
      </c>
      <c r="H42" s="106">
        <f>(D42/$V$7)*1000</f>
        <v>6.828082537861718</v>
      </c>
      <c r="I42" s="13">
        <f aca="true" t="shared" si="26" ref="I42:I56">+E42/D42</f>
        <v>0.126</v>
      </c>
      <c r="J42" s="13">
        <f aca="true" t="shared" si="27" ref="J42:J56">+F42/D42</f>
        <v>0.018</v>
      </c>
      <c r="K42" s="24">
        <f aca="true" t="shared" si="28" ref="K42:K49">+(4000000/12)/D42</f>
        <v>666.6666666666666</v>
      </c>
      <c r="L42" s="14">
        <f aca="true" t="shared" si="29" ref="L42:L55">+(D42-G42)*90</f>
        <v>42480</v>
      </c>
      <c r="M42" s="39">
        <f>+D42/31</f>
        <v>16.129032258064516</v>
      </c>
      <c r="N42" s="27">
        <v>462</v>
      </c>
      <c r="O42" s="28">
        <f aca="true" t="shared" si="30" ref="O42:O56">+D42-N42</f>
        <v>38</v>
      </c>
      <c r="P42" s="30">
        <f aca="true" t="shared" si="31" ref="P42:P56">+D42/N42</f>
        <v>1.0822510822510822</v>
      </c>
      <c r="T42"/>
      <c r="U42"/>
      <c r="V42"/>
      <c r="W42"/>
      <c r="X42"/>
      <c r="Y42"/>
      <c r="Z42"/>
    </row>
    <row r="43" spans="1:26" s="15" customFormat="1" ht="20.25" customHeight="1">
      <c r="A43" s="16" t="s">
        <v>1</v>
      </c>
      <c r="B43" s="17">
        <v>200</v>
      </c>
      <c r="C43" s="17">
        <v>329</v>
      </c>
      <c r="D43" s="12">
        <f t="shared" si="25"/>
        <v>529</v>
      </c>
      <c r="E43" s="12">
        <v>86</v>
      </c>
      <c r="F43" s="12">
        <v>23</v>
      </c>
      <c r="G43" s="12">
        <v>27</v>
      </c>
      <c r="H43" s="106">
        <f aca="true" t="shared" si="32" ref="H43:H54">(D43/$V$7)*1000</f>
        <v>7.224111325057697</v>
      </c>
      <c r="I43" s="13">
        <f t="shared" si="26"/>
        <v>0.16257088846880907</v>
      </c>
      <c r="J43" s="13">
        <f t="shared" si="27"/>
        <v>0.043478260869565216</v>
      </c>
      <c r="K43" s="24">
        <f t="shared" si="28"/>
        <v>630.1197227473219</v>
      </c>
      <c r="L43" s="14">
        <f t="shared" si="29"/>
        <v>45180</v>
      </c>
      <c r="M43" s="39">
        <f>+D43/28</f>
        <v>18.892857142857142</v>
      </c>
      <c r="N43" s="27">
        <v>437</v>
      </c>
      <c r="O43" s="28">
        <f t="shared" si="30"/>
        <v>92</v>
      </c>
      <c r="P43" s="30">
        <f t="shared" si="31"/>
        <v>1.2105263157894737</v>
      </c>
      <c r="T43"/>
      <c r="U43"/>
      <c r="V43"/>
      <c r="W43"/>
      <c r="X43"/>
      <c r="Y43"/>
      <c r="Z43"/>
    </row>
    <row r="44" spans="1:26" s="15" customFormat="1" ht="20.25" customHeight="1">
      <c r="A44" s="16" t="s">
        <v>2</v>
      </c>
      <c r="B44" s="17">
        <v>310</v>
      </c>
      <c r="C44" s="17">
        <v>271</v>
      </c>
      <c r="D44" s="12">
        <f t="shared" si="25"/>
        <v>581</v>
      </c>
      <c r="E44" s="12">
        <v>104</v>
      </c>
      <c r="F44" s="12">
        <v>29</v>
      </c>
      <c r="G44" s="12">
        <v>51</v>
      </c>
      <c r="H44" s="106">
        <f t="shared" si="32"/>
        <v>7.934231908995317</v>
      </c>
      <c r="I44" s="13">
        <f t="shared" si="26"/>
        <v>0.17900172117039587</v>
      </c>
      <c r="J44" s="13">
        <f t="shared" si="27"/>
        <v>0.04991394148020654</v>
      </c>
      <c r="K44" s="24">
        <f t="shared" si="28"/>
        <v>573.7234652897304</v>
      </c>
      <c r="L44" s="14">
        <f t="shared" si="29"/>
        <v>47700</v>
      </c>
      <c r="M44" s="39">
        <f>+D44/31</f>
        <v>18.741935483870968</v>
      </c>
      <c r="N44" s="27">
        <v>593</v>
      </c>
      <c r="O44" s="28">
        <f t="shared" si="30"/>
        <v>-12</v>
      </c>
      <c r="P44" s="30">
        <f t="shared" si="31"/>
        <v>0.9797639123102867</v>
      </c>
      <c r="T44" s="102"/>
      <c r="U44" s="102"/>
      <c r="V44"/>
      <c r="W44"/>
      <c r="X44"/>
      <c r="Y44"/>
      <c r="Z44"/>
    </row>
    <row r="45" spans="1:26" s="15" customFormat="1" ht="20.25" customHeight="1">
      <c r="A45" s="16" t="s">
        <v>24</v>
      </c>
      <c r="B45" s="17">
        <v>294</v>
      </c>
      <c r="C45" s="17">
        <v>276</v>
      </c>
      <c r="D45" s="12">
        <f t="shared" si="25"/>
        <v>570</v>
      </c>
      <c r="E45" s="12">
        <v>71</v>
      </c>
      <c r="F45" s="12">
        <v>20</v>
      </c>
      <c r="G45" s="12">
        <v>33</v>
      </c>
      <c r="H45" s="106">
        <f t="shared" si="32"/>
        <v>7.784014093162358</v>
      </c>
      <c r="I45" s="13">
        <f t="shared" si="26"/>
        <v>0.12456140350877193</v>
      </c>
      <c r="J45" s="13">
        <f t="shared" si="27"/>
        <v>0.03508771929824561</v>
      </c>
      <c r="K45" s="24">
        <f t="shared" si="28"/>
        <v>584.7953216374269</v>
      </c>
      <c r="L45" s="14">
        <f t="shared" si="29"/>
        <v>48330</v>
      </c>
      <c r="M45" s="39">
        <f>+D45/30</f>
        <v>19</v>
      </c>
      <c r="N45" s="27">
        <v>484</v>
      </c>
      <c r="O45" s="28">
        <f t="shared" si="30"/>
        <v>86</v>
      </c>
      <c r="P45" s="30">
        <f t="shared" si="31"/>
        <v>1.177685950413223</v>
      </c>
      <c r="T45" s="102"/>
      <c r="U45" s="102"/>
      <c r="V45"/>
      <c r="W45"/>
      <c r="X45"/>
      <c r="Y45"/>
      <c r="Z45"/>
    </row>
    <row r="46" spans="1:26" s="15" customFormat="1" ht="20.25" customHeight="1">
      <c r="A46" s="16" t="s">
        <v>25</v>
      </c>
      <c r="B46" s="17">
        <v>288</v>
      </c>
      <c r="C46" s="17">
        <v>415</v>
      </c>
      <c r="D46" s="12">
        <f t="shared" si="25"/>
        <v>703</v>
      </c>
      <c r="E46" s="12">
        <v>112</v>
      </c>
      <c r="F46" s="12">
        <v>35</v>
      </c>
      <c r="G46" s="12">
        <v>46</v>
      </c>
      <c r="H46" s="106">
        <f t="shared" si="32"/>
        <v>9.600284048233576</v>
      </c>
      <c r="I46" s="13">
        <f t="shared" si="26"/>
        <v>0.1593172119487909</v>
      </c>
      <c r="J46" s="13">
        <f t="shared" si="27"/>
        <v>0.049786628733997154</v>
      </c>
      <c r="K46" s="24">
        <f t="shared" si="28"/>
        <v>474.15836889521097</v>
      </c>
      <c r="L46" s="14">
        <f t="shared" si="29"/>
        <v>59130</v>
      </c>
      <c r="M46" s="39">
        <f>+D46/31</f>
        <v>22.677419354838708</v>
      </c>
      <c r="N46" s="27">
        <v>641</v>
      </c>
      <c r="O46" s="28">
        <f t="shared" si="30"/>
        <v>62</v>
      </c>
      <c r="P46" s="30">
        <f t="shared" si="31"/>
        <v>1.0967238689547583</v>
      </c>
      <c r="T46" s="102"/>
      <c r="U46" s="102"/>
      <c r="V46"/>
      <c r="W46"/>
      <c r="X46"/>
      <c r="Y46"/>
      <c r="Z46"/>
    </row>
    <row r="47" spans="1:26" s="15" customFormat="1" ht="20.25" customHeight="1" thickBot="1">
      <c r="A47" s="57" t="s">
        <v>26</v>
      </c>
      <c r="B47" s="58">
        <v>219</v>
      </c>
      <c r="C47" s="58">
        <v>266</v>
      </c>
      <c r="D47" s="58">
        <f t="shared" si="25"/>
        <v>485</v>
      </c>
      <c r="E47" s="58">
        <v>73</v>
      </c>
      <c r="F47" s="58">
        <v>19</v>
      </c>
      <c r="G47" s="58">
        <v>22</v>
      </c>
      <c r="H47" s="107">
        <f t="shared" si="32"/>
        <v>6.623240061725866</v>
      </c>
      <c r="I47" s="60">
        <f t="shared" si="26"/>
        <v>0.15051546391752577</v>
      </c>
      <c r="J47" s="60">
        <f t="shared" si="27"/>
        <v>0.03917525773195876</v>
      </c>
      <c r="K47" s="61">
        <f t="shared" si="28"/>
        <v>687.2852233676975</v>
      </c>
      <c r="L47" s="62">
        <f t="shared" si="29"/>
        <v>41670</v>
      </c>
      <c r="M47" s="63">
        <f>+D47/30</f>
        <v>16.166666666666668</v>
      </c>
      <c r="N47" s="64">
        <v>582</v>
      </c>
      <c r="O47" s="65">
        <f t="shared" si="30"/>
        <v>-97</v>
      </c>
      <c r="P47" s="66">
        <f t="shared" si="31"/>
        <v>0.8333333333333334</v>
      </c>
      <c r="T47" s="102"/>
      <c r="U47" s="102"/>
      <c r="V47"/>
      <c r="W47"/>
      <c r="X47"/>
      <c r="Y47"/>
      <c r="Z47"/>
    </row>
    <row r="48" spans="1:26" s="15" customFormat="1" ht="19.5" customHeight="1" thickBot="1" thickTop="1">
      <c r="A48" s="48" t="s">
        <v>29</v>
      </c>
      <c r="B48" s="50">
        <f aca="true" t="shared" si="33" ref="B48:G48">SUM(B42:B47)</f>
        <v>1515</v>
      </c>
      <c r="C48" s="50">
        <f t="shared" si="33"/>
        <v>1853</v>
      </c>
      <c r="D48" s="50">
        <f t="shared" si="33"/>
        <v>3368</v>
      </c>
      <c r="E48" s="50">
        <f t="shared" si="33"/>
        <v>509</v>
      </c>
      <c r="F48" s="50">
        <f t="shared" si="33"/>
        <v>135</v>
      </c>
      <c r="G48" s="50">
        <f t="shared" si="33"/>
        <v>207</v>
      </c>
      <c r="H48" s="108">
        <f t="shared" si="32"/>
        <v>45.99396397503653</v>
      </c>
      <c r="I48" s="43">
        <f t="shared" si="26"/>
        <v>0.15112826603325416</v>
      </c>
      <c r="J48" s="43">
        <f t="shared" si="27"/>
        <v>0.04008313539192399</v>
      </c>
      <c r="K48" s="44">
        <f>+(4000000/2)/D48</f>
        <v>593.8242280285035</v>
      </c>
      <c r="L48" s="52">
        <f>SUM(L42:L47)</f>
        <v>284490</v>
      </c>
      <c r="M48" s="68">
        <f>+D48/(31+28+31+30+31+30)</f>
        <v>18.607734806629836</v>
      </c>
      <c r="N48" s="45">
        <f>SUM(N42:N47)</f>
        <v>3199</v>
      </c>
      <c r="O48" s="46">
        <f t="shared" si="30"/>
        <v>169</v>
      </c>
      <c r="P48" s="47">
        <f t="shared" si="31"/>
        <v>1.052829009065333</v>
      </c>
      <c r="T48" s="102"/>
      <c r="U48" s="102"/>
      <c r="V48"/>
      <c r="W48"/>
      <c r="X48"/>
      <c r="Y48"/>
      <c r="Z48"/>
    </row>
    <row r="49" spans="1:26" s="15" customFormat="1" ht="20.25" customHeight="1" thickTop="1">
      <c r="A49" s="16" t="s">
        <v>27</v>
      </c>
      <c r="B49" s="17">
        <v>297</v>
      </c>
      <c r="C49" s="17">
        <v>364</v>
      </c>
      <c r="D49" s="12">
        <f t="shared" si="25"/>
        <v>661</v>
      </c>
      <c r="E49" s="12">
        <v>80</v>
      </c>
      <c r="F49" s="12">
        <v>25</v>
      </c>
      <c r="G49" s="12">
        <v>45</v>
      </c>
      <c r="H49" s="106">
        <f t="shared" si="32"/>
        <v>9.02672511505319</v>
      </c>
      <c r="I49" s="13">
        <f t="shared" si="26"/>
        <v>0.12102874432677761</v>
      </c>
      <c r="J49" s="13">
        <f t="shared" si="27"/>
        <v>0.037821482602118005</v>
      </c>
      <c r="K49" s="24">
        <f t="shared" si="28"/>
        <v>504.2864346949067</v>
      </c>
      <c r="L49" s="14">
        <f t="shared" si="29"/>
        <v>55440</v>
      </c>
      <c r="M49" s="39">
        <f>+D49/31</f>
        <v>21.322580645161292</v>
      </c>
      <c r="N49" s="27">
        <v>673</v>
      </c>
      <c r="O49" s="28">
        <f t="shared" si="30"/>
        <v>-12</v>
      </c>
      <c r="P49" s="30">
        <f t="shared" si="31"/>
        <v>0.9821693907875185</v>
      </c>
      <c r="T49" s="102"/>
      <c r="U49" s="102"/>
      <c r="V49"/>
      <c r="W49"/>
      <c r="X49"/>
      <c r="Y49"/>
      <c r="Z49"/>
    </row>
    <row r="50" spans="1:26" s="15" customFormat="1" ht="20.25" customHeight="1">
      <c r="A50" s="11" t="s">
        <v>30</v>
      </c>
      <c r="B50" s="12">
        <v>249</v>
      </c>
      <c r="C50" s="12">
        <v>354</v>
      </c>
      <c r="D50" s="12">
        <f t="shared" si="25"/>
        <v>603</v>
      </c>
      <c r="E50" s="12">
        <v>87</v>
      </c>
      <c r="F50" s="12">
        <v>38</v>
      </c>
      <c r="G50" s="12">
        <v>69</v>
      </c>
      <c r="H50" s="106">
        <f t="shared" si="32"/>
        <v>8.234667540661231</v>
      </c>
      <c r="I50" s="13">
        <f t="shared" si="26"/>
        <v>0.14427860696517414</v>
      </c>
      <c r="J50" s="13">
        <f t="shared" si="27"/>
        <v>0.06301824212271974</v>
      </c>
      <c r="K50" s="24">
        <f>+(4000000/12)/D50</f>
        <v>552.791597567717</v>
      </c>
      <c r="L50" s="14">
        <f t="shared" si="29"/>
        <v>48060</v>
      </c>
      <c r="M50" s="39">
        <f>+D50/31</f>
        <v>19.451612903225808</v>
      </c>
      <c r="N50" s="27">
        <v>617</v>
      </c>
      <c r="O50" s="28">
        <f t="shared" si="30"/>
        <v>-14</v>
      </c>
      <c r="P50" s="30">
        <f t="shared" si="31"/>
        <v>0.9773095623987034</v>
      </c>
      <c r="T50" s="102"/>
      <c r="U50" s="102"/>
      <c r="V50"/>
      <c r="W50"/>
      <c r="X50"/>
      <c r="Y50"/>
      <c r="Z50"/>
    </row>
    <row r="51" spans="1:26" s="15" customFormat="1" ht="20.25" customHeight="1" thickBot="1">
      <c r="A51" s="11" t="s">
        <v>31</v>
      </c>
      <c r="B51" s="12">
        <v>214</v>
      </c>
      <c r="C51" s="12">
        <v>344</v>
      </c>
      <c r="D51" s="12">
        <f t="shared" si="25"/>
        <v>558</v>
      </c>
      <c r="E51" s="12">
        <v>90</v>
      </c>
      <c r="F51" s="12">
        <v>37</v>
      </c>
      <c r="G51" s="12">
        <v>51</v>
      </c>
      <c r="H51" s="106">
        <f t="shared" si="32"/>
        <v>7.620140112253677</v>
      </c>
      <c r="I51" s="13">
        <f t="shared" si="26"/>
        <v>0.16129032258064516</v>
      </c>
      <c r="J51" s="13">
        <f t="shared" si="27"/>
        <v>0.06630824372759857</v>
      </c>
      <c r="K51" s="24">
        <f>+(4000000/12)/D51</f>
        <v>597.3715651135005</v>
      </c>
      <c r="L51" s="14">
        <f t="shared" si="29"/>
        <v>45630</v>
      </c>
      <c r="M51" s="39">
        <f>+D51/30</f>
        <v>18.6</v>
      </c>
      <c r="N51" s="27">
        <v>423</v>
      </c>
      <c r="O51" s="28">
        <f t="shared" si="30"/>
        <v>135</v>
      </c>
      <c r="P51" s="30">
        <f t="shared" si="31"/>
        <v>1.3191489361702127</v>
      </c>
      <c r="T51"/>
      <c r="U51"/>
      <c r="V51"/>
      <c r="W51"/>
      <c r="X51"/>
      <c r="Y51"/>
      <c r="Z51"/>
    </row>
    <row r="52" spans="1:26" s="15" customFormat="1" ht="20.25" customHeight="1" hidden="1">
      <c r="A52" s="11" t="s">
        <v>32</v>
      </c>
      <c r="B52" s="12"/>
      <c r="C52" s="12"/>
      <c r="D52" s="12">
        <f t="shared" si="25"/>
        <v>0</v>
      </c>
      <c r="E52" s="12"/>
      <c r="F52" s="12"/>
      <c r="G52" s="12"/>
      <c r="H52" s="106">
        <f t="shared" si="32"/>
        <v>0</v>
      </c>
      <c r="I52" s="13" t="e">
        <f t="shared" si="26"/>
        <v>#DIV/0!</v>
      </c>
      <c r="J52" s="13" t="e">
        <f t="shared" si="27"/>
        <v>#DIV/0!</v>
      </c>
      <c r="K52" s="24" t="e">
        <f>+(4000000/12)/D52</f>
        <v>#DIV/0!</v>
      </c>
      <c r="L52" s="14">
        <f t="shared" si="29"/>
        <v>0</v>
      </c>
      <c r="M52" s="39">
        <f>+D52/31</f>
        <v>0</v>
      </c>
      <c r="N52" s="27"/>
      <c r="O52" s="28">
        <f t="shared" si="30"/>
        <v>0</v>
      </c>
      <c r="P52" s="30" t="e">
        <f t="shared" si="31"/>
        <v>#DIV/0!</v>
      </c>
      <c r="T52"/>
      <c r="U52"/>
      <c r="V52"/>
      <c r="W52"/>
      <c r="X52"/>
      <c r="Y52"/>
      <c r="Z52"/>
    </row>
    <row r="53" spans="1:26" s="15" customFormat="1" ht="20.25" customHeight="1" hidden="1">
      <c r="A53" s="11" t="s">
        <v>33</v>
      </c>
      <c r="B53" s="12"/>
      <c r="C53" s="12"/>
      <c r="D53" s="12">
        <f t="shared" si="25"/>
        <v>0</v>
      </c>
      <c r="E53" s="12"/>
      <c r="F53" s="12"/>
      <c r="G53" s="12"/>
      <c r="H53" s="106">
        <f t="shared" si="32"/>
        <v>0</v>
      </c>
      <c r="I53" s="13" t="e">
        <f t="shared" si="26"/>
        <v>#DIV/0!</v>
      </c>
      <c r="J53" s="13" t="e">
        <f t="shared" si="27"/>
        <v>#DIV/0!</v>
      </c>
      <c r="K53" s="24" t="e">
        <f>+(4000000/12)/D53</f>
        <v>#DIV/0!</v>
      </c>
      <c r="L53" s="14">
        <f t="shared" si="29"/>
        <v>0</v>
      </c>
      <c r="M53" s="39">
        <f>+D53/30</f>
        <v>0</v>
      </c>
      <c r="N53" s="27"/>
      <c r="O53" s="28">
        <f t="shared" si="30"/>
        <v>0</v>
      </c>
      <c r="P53" s="30" t="e">
        <f t="shared" si="31"/>
        <v>#DIV/0!</v>
      </c>
      <c r="T53"/>
      <c r="U53"/>
      <c r="V53"/>
      <c r="W53"/>
      <c r="X53"/>
      <c r="Y53"/>
      <c r="Z53"/>
    </row>
    <row r="54" spans="1:26" s="15" customFormat="1" ht="20.25" customHeight="1" hidden="1" thickBot="1">
      <c r="A54" s="82" t="s">
        <v>34</v>
      </c>
      <c r="B54" s="83"/>
      <c r="C54" s="83"/>
      <c r="D54" s="83">
        <f t="shared" si="25"/>
        <v>0</v>
      </c>
      <c r="E54" s="83"/>
      <c r="F54" s="83"/>
      <c r="G54" s="83"/>
      <c r="H54" s="109">
        <f t="shared" si="32"/>
        <v>0</v>
      </c>
      <c r="I54" s="85" t="e">
        <f t="shared" si="26"/>
        <v>#DIV/0!</v>
      </c>
      <c r="J54" s="85" t="e">
        <f t="shared" si="27"/>
        <v>#DIV/0!</v>
      </c>
      <c r="K54" s="86" t="e">
        <f>+(4000000/12)/D54</f>
        <v>#DIV/0!</v>
      </c>
      <c r="L54" s="87">
        <f t="shared" si="29"/>
        <v>0</v>
      </c>
      <c r="M54" s="88">
        <f>+D54/31</f>
        <v>0</v>
      </c>
      <c r="N54" s="27"/>
      <c r="O54" s="90">
        <f t="shared" si="30"/>
        <v>0</v>
      </c>
      <c r="P54" s="91" t="e">
        <f t="shared" si="31"/>
        <v>#DIV/0!</v>
      </c>
      <c r="T54"/>
      <c r="U54"/>
      <c r="V54"/>
      <c r="W54"/>
      <c r="X54"/>
      <c r="Y54"/>
      <c r="Z54"/>
    </row>
    <row r="55" spans="1:26" s="15" customFormat="1" ht="20.25" customHeight="1" thickBot="1" thickTop="1">
      <c r="A55" s="92" t="s">
        <v>57</v>
      </c>
      <c r="B55" s="98">
        <f aca="true" t="shared" si="34" ref="B55:G55">SUM(B49:B54)</f>
        <v>760</v>
      </c>
      <c r="C55" s="98">
        <f t="shared" si="34"/>
        <v>1062</v>
      </c>
      <c r="D55" s="98">
        <f t="shared" si="34"/>
        <v>1822</v>
      </c>
      <c r="E55" s="98">
        <f t="shared" si="34"/>
        <v>257</v>
      </c>
      <c r="F55" s="98">
        <f t="shared" si="34"/>
        <v>100</v>
      </c>
      <c r="G55" s="98">
        <f t="shared" si="34"/>
        <v>165</v>
      </c>
      <c r="H55" s="110">
        <f>(D55/V7)*1000</f>
        <v>24.8815327679681</v>
      </c>
      <c r="I55" s="94">
        <f t="shared" si="26"/>
        <v>0.14105378704720087</v>
      </c>
      <c r="J55" s="94">
        <f t="shared" si="27"/>
        <v>0.054884742041712405</v>
      </c>
      <c r="K55" s="67">
        <f>+(4000000/4)/D55</f>
        <v>548.847420417124</v>
      </c>
      <c r="L55" s="67">
        <f t="shared" si="29"/>
        <v>149130</v>
      </c>
      <c r="M55" s="68">
        <f>+D55/(31+31+30)</f>
        <v>19.804347826086957</v>
      </c>
      <c r="N55" s="95">
        <f>SUM(N49:N51)</f>
        <v>1713</v>
      </c>
      <c r="O55" s="96">
        <f t="shared" si="30"/>
        <v>109</v>
      </c>
      <c r="P55" s="97">
        <f t="shared" si="31"/>
        <v>1.0636310566258027</v>
      </c>
      <c r="T55"/>
      <c r="U55"/>
      <c r="V55"/>
      <c r="W55"/>
      <c r="X55"/>
      <c r="Y55"/>
      <c r="Z55"/>
    </row>
    <row r="56" spans="1:16" s="15" customFormat="1" ht="20.25" customHeight="1" thickBot="1" thickTop="1">
      <c r="A56" s="18" t="s">
        <v>56</v>
      </c>
      <c r="B56" s="19">
        <f aca="true" t="shared" si="35" ref="B56:G56">+B55+B48</f>
        <v>2275</v>
      </c>
      <c r="C56" s="19">
        <f t="shared" si="35"/>
        <v>2915</v>
      </c>
      <c r="D56" s="19">
        <f t="shared" si="35"/>
        <v>5190</v>
      </c>
      <c r="E56" s="19">
        <f t="shared" si="35"/>
        <v>766</v>
      </c>
      <c r="F56" s="19">
        <f t="shared" si="35"/>
        <v>235</v>
      </c>
      <c r="G56" s="19">
        <f t="shared" si="35"/>
        <v>372</v>
      </c>
      <c r="H56" s="111">
        <f>(D56/V7)*1000</f>
        <v>70.87549674300463</v>
      </c>
      <c r="I56" s="25">
        <f t="shared" si="26"/>
        <v>0.14759152215799615</v>
      </c>
      <c r="J56" s="25">
        <f t="shared" si="27"/>
        <v>0.04527938342967245</v>
      </c>
      <c r="K56" s="26">
        <f>+(3000000)/D56</f>
        <v>578.0346820809249</v>
      </c>
      <c r="L56" s="35">
        <f>+(D56-G56)*90</f>
        <v>433620</v>
      </c>
      <c r="M56" s="40">
        <f>+D56/273</f>
        <v>19.01098901098901</v>
      </c>
      <c r="N56" s="29">
        <f>SUM(N48,N55)</f>
        <v>4912</v>
      </c>
      <c r="O56" s="31">
        <f t="shared" si="30"/>
        <v>278</v>
      </c>
      <c r="P56" s="32">
        <f t="shared" si="31"/>
        <v>1.0565960912052117</v>
      </c>
    </row>
    <row r="57" ht="3.75" customHeight="1"/>
    <row r="58" ht="16.5" thickBot="1">
      <c r="A58" s="8" t="s">
        <v>16</v>
      </c>
    </row>
    <row r="59" spans="1:16" ht="15" customHeight="1">
      <c r="A59" s="140" t="s">
        <v>7</v>
      </c>
      <c r="B59" s="142">
        <v>2009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37"/>
      <c r="N59" s="6">
        <v>2008</v>
      </c>
      <c r="O59" s="144" t="s">
        <v>45</v>
      </c>
      <c r="P59" s="145"/>
    </row>
    <row r="60" spans="1:26" s="1" customFormat="1" ht="52.5" customHeight="1" thickBot="1">
      <c r="A60" s="141"/>
      <c r="B60" s="3" t="s">
        <v>3</v>
      </c>
      <c r="C60" s="3" t="s">
        <v>4</v>
      </c>
      <c r="D60" s="3" t="s">
        <v>18</v>
      </c>
      <c r="E60" s="23" t="s">
        <v>10</v>
      </c>
      <c r="F60" s="10" t="s">
        <v>9</v>
      </c>
      <c r="G60" s="10" t="s">
        <v>11</v>
      </c>
      <c r="H60" s="113" t="s">
        <v>44</v>
      </c>
      <c r="I60" s="10" t="s">
        <v>21</v>
      </c>
      <c r="J60" s="23" t="s">
        <v>20</v>
      </c>
      <c r="K60" s="3" t="s">
        <v>19</v>
      </c>
      <c r="L60" s="5" t="s">
        <v>6</v>
      </c>
      <c r="M60" s="38" t="s">
        <v>22</v>
      </c>
      <c r="N60" s="33" t="s">
        <v>18</v>
      </c>
      <c r="O60" s="7" t="s">
        <v>8</v>
      </c>
      <c r="P60" s="4" t="s">
        <v>5</v>
      </c>
      <c r="T60"/>
      <c r="U60"/>
      <c r="V60"/>
      <c r="W60"/>
      <c r="X60"/>
      <c r="Y60"/>
      <c r="Z60"/>
    </row>
    <row r="61" spans="1:26" s="15" customFormat="1" ht="20.25" customHeight="1">
      <c r="A61" s="11" t="s">
        <v>0</v>
      </c>
      <c r="B61" s="12">
        <v>215</v>
      </c>
      <c r="C61" s="12">
        <v>338</v>
      </c>
      <c r="D61" s="12">
        <f aca="true" t="shared" si="36" ref="D61:D73">SUM(B61:C61)</f>
        <v>553</v>
      </c>
      <c r="E61" s="12">
        <v>117</v>
      </c>
      <c r="F61" s="12">
        <v>63</v>
      </c>
      <c r="G61" s="12">
        <v>36</v>
      </c>
      <c r="H61" s="106">
        <f>(D61/$W$7)*1000</f>
        <v>4.849686042024766</v>
      </c>
      <c r="I61" s="13">
        <f aca="true" t="shared" si="37" ref="I61:I75">+E61/D61</f>
        <v>0.2115732368896926</v>
      </c>
      <c r="J61" s="13">
        <f aca="true" t="shared" si="38" ref="J61:J75">+F61/D61</f>
        <v>0.11392405063291139</v>
      </c>
      <c r="K61" s="24">
        <f aca="true" t="shared" si="39" ref="K61:K66">+(4000000/12+52000)/D61</f>
        <v>696.8053044002411</v>
      </c>
      <c r="L61" s="14">
        <f aca="true" t="shared" si="40" ref="L61:L74">+(D61-G61)*90</f>
        <v>46530</v>
      </c>
      <c r="M61" s="39">
        <f>+D61/31</f>
        <v>17.838709677419356</v>
      </c>
      <c r="N61" s="27">
        <v>420</v>
      </c>
      <c r="O61" s="28">
        <f aca="true" t="shared" si="41" ref="O61:O75">+D61-N61</f>
        <v>133</v>
      </c>
      <c r="P61" s="30">
        <f aca="true" t="shared" si="42" ref="P61:P75">+D61/N61</f>
        <v>1.3166666666666667</v>
      </c>
      <c r="T61"/>
      <c r="U61"/>
      <c r="V61"/>
      <c r="W61"/>
      <c r="X61"/>
      <c r="Y61"/>
      <c r="Z61"/>
    </row>
    <row r="62" spans="1:26" s="15" customFormat="1" ht="20.25" customHeight="1">
      <c r="A62" s="16" t="s">
        <v>1</v>
      </c>
      <c r="B62" s="17">
        <v>189</v>
      </c>
      <c r="C62" s="17">
        <v>311</v>
      </c>
      <c r="D62" s="12">
        <f t="shared" si="36"/>
        <v>500</v>
      </c>
      <c r="E62" s="12">
        <v>88</v>
      </c>
      <c r="F62" s="12">
        <v>36</v>
      </c>
      <c r="G62" s="12">
        <v>84</v>
      </c>
      <c r="H62" s="106">
        <f aca="true" t="shared" si="43" ref="H62:H73">(D62/$W$7)*1000</f>
        <v>4.384887922264707</v>
      </c>
      <c r="I62" s="13">
        <f t="shared" si="37"/>
        <v>0.176</v>
      </c>
      <c r="J62" s="13">
        <f t="shared" si="38"/>
        <v>0.072</v>
      </c>
      <c r="K62" s="24">
        <f t="shared" si="39"/>
        <v>770.6666666666666</v>
      </c>
      <c r="L62" s="14">
        <f t="shared" si="40"/>
        <v>37440</v>
      </c>
      <c r="M62" s="39">
        <f>+D62/28</f>
        <v>17.857142857142858</v>
      </c>
      <c r="N62" s="27">
        <v>454</v>
      </c>
      <c r="O62" s="28">
        <f t="shared" si="41"/>
        <v>46</v>
      </c>
      <c r="P62" s="30">
        <f t="shared" si="42"/>
        <v>1.1013215859030836</v>
      </c>
      <c r="S62" s="102"/>
      <c r="T62" s="102"/>
      <c r="U62" s="102"/>
      <c r="V62" s="100"/>
      <c r="X62"/>
      <c r="Y62"/>
      <c r="Z62"/>
    </row>
    <row r="63" spans="1:26" s="15" customFormat="1" ht="20.25" customHeight="1">
      <c r="A63" s="16" t="s">
        <v>2</v>
      </c>
      <c r="B63" s="17">
        <v>249</v>
      </c>
      <c r="C63" s="17">
        <v>335</v>
      </c>
      <c r="D63" s="12">
        <f t="shared" si="36"/>
        <v>584</v>
      </c>
      <c r="E63" s="12">
        <v>101</v>
      </c>
      <c r="F63" s="12">
        <v>64</v>
      </c>
      <c r="G63" s="12">
        <v>37</v>
      </c>
      <c r="H63" s="106">
        <f t="shared" si="43"/>
        <v>5.121549093205178</v>
      </c>
      <c r="I63" s="13">
        <f t="shared" si="37"/>
        <v>0.17294520547945205</v>
      </c>
      <c r="J63" s="13">
        <f t="shared" si="38"/>
        <v>0.1095890410958904</v>
      </c>
      <c r="K63" s="24">
        <f t="shared" si="39"/>
        <v>659.8173515981734</v>
      </c>
      <c r="L63" s="14">
        <f t="shared" si="40"/>
        <v>49230</v>
      </c>
      <c r="M63" s="39">
        <f>+D63/31</f>
        <v>18.838709677419356</v>
      </c>
      <c r="N63" s="27">
        <v>672</v>
      </c>
      <c r="O63" s="28">
        <f t="shared" si="41"/>
        <v>-88</v>
      </c>
      <c r="P63" s="30">
        <f t="shared" si="42"/>
        <v>0.8690476190476191</v>
      </c>
      <c r="S63" s="102"/>
      <c r="T63" s="102"/>
      <c r="U63" s="102"/>
      <c r="V63" s="100"/>
      <c r="X63"/>
      <c r="Y63"/>
      <c r="Z63"/>
    </row>
    <row r="64" spans="1:26" s="15" customFormat="1" ht="20.25" customHeight="1">
      <c r="A64" s="16" t="s">
        <v>24</v>
      </c>
      <c r="B64" s="17">
        <v>232</v>
      </c>
      <c r="C64" s="17">
        <v>343</v>
      </c>
      <c r="D64" s="12">
        <f t="shared" si="36"/>
        <v>575</v>
      </c>
      <c r="E64" s="12">
        <v>107</v>
      </c>
      <c r="F64" s="12">
        <v>53</v>
      </c>
      <c r="G64" s="12">
        <v>32</v>
      </c>
      <c r="H64" s="106">
        <f t="shared" si="43"/>
        <v>5.042621110604413</v>
      </c>
      <c r="I64" s="13">
        <f t="shared" si="37"/>
        <v>0.18608695652173912</v>
      </c>
      <c r="J64" s="13">
        <f t="shared" si="38"/>
        <v>0.09217391304347826</v>
      </c>
      <c r="K64" s="24">
        <f t="shared" si="39"/>
        <v>670.1449275362319</v>
      </c>
      <c r="L64" s="14">
        <f t="shared" si="40"/>
        <v>48870</v>
      </c>
      <c r="M64" s="39">
        <f>+D64/30</f>
        <v>19.166666666666668</v>
      </c>
      <c r="N64" s="27">
        <v>544</v>
      </c>
      <c r="O64" s="28">
        <f t="shared" si="41"/>
        <v>31</v>
      </c>
      <c r="P64" s="30">
        <f t="shared" si="42"/>
        <v>1.056985294117647</v>
      </c>
      <c r="S64" s="102"/>
      <c r="T64" s="102"/>
      <c r="U64" s="102"/>
      <c r="V64" s="100"/>
      <c r="X64"/>
      <c r="Y64"/>
      <c r="Z64"/>
    </row>
    <row r="65" spans="1:26" s="15" customFormat="1" ht="20.25" customHeight="1">
      <c r="A65" s="16" t="s">
        <v>25</v>
      </c>
      <c r="B65" s="17">
        <v>294</v>
      </c>
      <c r="C65" s="17">
        <v>398</v>
      </c>
      <c r="D65" s="12">
        <f t="shared" si="36"/>
        <v>692</v>
      </c>
      <c r="E65" s="12">
        <v>111</v>
      </c>
      <c r="F65" s="12">
        <v>37</v>
      </c>
      <c r="G65" s="12">
        <v>24</v>
      </c>
      <c r="H65" s="106">
        <f t="shared" si="43"/>
        <v>6.068684884414354</v>
      </c>
      <c r="I65" s="13">
        <f t="shared" si="37"/>
        <v>0.16040462427745664</v>
      </c>
      <c r="J65" s="13">
        <f t="shared" si="38"/>
        <v>0.05346820809248555</v>
      </c>
      <c r="K65" s="24">
        <f t="shared" si="39"/>
        <v>556.8400770712909</v>
      </c>
      <c r="L65" s="14">
        <f t="shared" si="40"/>
        <v>60120</v>
      </c>
      <c r="M65" s="39">
        <f>+D65/31</f>
        <v>22.322580645161292</v>
      </c>
      <c r="N65" s="27">
        <v>637</v>
      </c>
      <c r="O65" s="28">
        <f t="shared" si="41"/>
        <v>55</v>
      </c>
      <c r="P65" s="30">
        <f t="shared" si="42"/>
        <v>1.086342229199372</v>
      </c>
      <c r="S65" s="102"/>
      <c r="T65" s="102"/>
      <c r="U65" s="102"/>
      <c r="V65" s="100"/>
      <c r="X65"/>
      <c r="Y65"/>
      <c r="Z65"/>
    </row>
    <row r="66" spans="1:26" s="15" customFormat="1" ht="20.25" customHeight="1" thickBot="1">
      <c r="A66" s="57" t="s">
        <v>26</v>
      </c>
      <c r="B66" s="58">
        <v>206</v>
      </c>
      <c r="C66" s="58">
        <v>327</v>
      </c>
      <c r="D66" s="58">
        <f t="shared" si="36"/>
        <v>533</v>
      </c>
      <c r="E66" s="58">
        <v>89</v>
      </c>
      <c r="F66" s="58">
        <v>40</v>
      </c>
      <c r="G66" s="58">
        <v>28</v>
      </c>
      <c r="H66" s="107">
        <f t="shared" si="43"/>
        <v>4.674290525134178</v>
      </c>
      <c r="I66" s="60">
        <f t="shared" si="37"/>
        <v>0.1669793621013133</v>
      </c>
      <c r="J66" s="60">
        <f t="shared" si="38"/>
        <v>0.075046904315197</v>
      </c>
      <c r="K66" s="61">
        <f t="shared" si="39"/>
        <v>722.9518449030644</v>
      </c>
      <c r="L66" s="62">
        <f t="shared" si="40"/>
        <v>45450</v>
      </c>
      <c r="M66" s="63">
        <f>+D66/30</f>
        <v>17.766666666666666</v>
      </c>
      <c r="N66" s="64">
        <v>572</v>
      </c>
      <c r="O66" s="65">
        <f t="shared" si="41"/>
        <v>-39</v>
      </c>
      <c r="P66" s="66">
        <f t="shared" si="42"/>
        <v>0.9318181818181818</v>
      </c>
      <c r="S66" s="102"/>
      <c r="T66" s="102"/>
      <c r="U66" s="102"/>
      <c r="V66" s="100"/>
      <c r="X66"/>
      <c r="Y66"/>
      <c r="Z66"/>
    </row>
    <row r="67" spans="1:26" s="15" customFormat="1" ht="20.25" customHeight="1" thickBot="1" thickTop="1">
      <c r="A67" s="48" t="s">
        <v>29</v>
      </c>
      <c r="B67" s="50">
        <f aca="true" t="shared" si="44" ref="B67:G67">SUM(B61:B66)</f>
        <v>1385</v>
      </c>
      <c r="C67" s="50">
        <f t="shared" si="44"/>
        <v>2052</v>
      </c>
      <c r="D67" s="50">
        <f t="shared" si="44"/>
        <v>3437</v>
      </c>
      <c r="E67" s="50">
        <f t="shared" si="44"/>
        <v>613</v>
      </c>
      <c r="F67" s="50">
        <f t="shared" si="44"/>
        <v>293</v>
      </c>
      <c r="G67" s="50">
        <f t="shared" si="44"/>
        <v>241</v>
      </c>
      <c r="H67" s="108">
        <f t="shared" si="43"/>
        <v>30.141719577647592</v>
      </c>
      <c r="I67" s="43">
        <f t="shared" si="37"/>
        <v>0.17835321501309281</v>
      </c>
      <c r="J67" s="43">
        <f t="shared" si="38"/>
        <v>0.08524876345650276</v>
      </c>
      <c r="K67" s="44">
        <f>+(4000000/2+312000)/D67</f>
        <v>672.6796624963631</v>
      </c>
      <c r="L67" s="52">
        <f>SUM(L61:L66)</f>
        <v>287640</v>
      </c>
      <c r="M67" s="68">
        <f>+D67/(31+28+31+30+31+30)</f>
        <v>18.988950276243095</v>
      </c>
      <c r="N67" s="45">
        <f>SUM(N61:N66)</f>
        <v>3299</v>
      </c>
      <c r="O67" s="46">
        <f t="shared" si="41"/>
        <v>138</v>
      </c>
      <c r="P67" s="47">
        <f t="shared" si="42"/>
        <v>1.0418308578357078</v>
      </c>
      <c r="S67" s="102"/>
      <c r="T67" s="102"/>
      <c r="U67" s="102"/>
      <c r="V67" s="100"/>
      <c r="X67"/>
      <c r="Y67"/>
      <c r="Z67"/>
    </row>
    <row r="68" spans="1:26" s="79" customFormat="1" ht="20.25" customHeight="1" thickTop="1">
      <c r="A68" s="70" t="s">
        <v>27</v>
      </c>
      <c r="B68" s="71">
        <v>302</v>
      </c>
      <c r="C68" s="71">
        <f>365+101</f>
        <v>466</v>
      </c>
      <c r="D68" s="72">
        <f t="shared" si="36"/>
        <v>768</v>
      </c>
      <c r="E68" s="72">
        <v>98</v>
      </c>
      <c r="F68" s="72">
        <v>51</v>
      </c>
      <c r="G68" s="72">
        <v>24</v>
      </c>
      <c r="H68" s="114">
        <f t="shared" si="43"/>
        <v>6.73518784859859</v>
      </c>
      <c r="I68" s="73">
        <f t="shared" si="37"/>
        <v>0.12760416666666666</v>
      </c>
      <c r="J68" s="73">
        <f t="shared" si="38"/>
        <v>0.06640625</v>
      </c>
      <c r="K68" s="74">
        <f aca="true" t="shared" si="45" ref="K68:K73">+(4000000/12+52000)/D68</f>
        <v>501.7361111111111</v>
      </c>
      <c r="L68" s="75">
        <f t="shared" si="40"/>
        <v>66960</v>
      </c>
      <c r="M68" s="39">
        <f>+D68/31</f>
        <v>24.774193548387096</v>
      </c>
      <c r="N68" s="76">
        <v>544</v>
      </c>
      <c r="O68" s="77">
        <f t="shared" si="41"/>
        <v>224</v>
      </c>
      <c r="P68" s="78">
        <f t="shared" si="42"/>
        <v>1.411764705882353</v>
      </c>
      <c r="S68" s="102"/>
      <c r="T68" s="102"/>
      <c r="U68" s="102"/>
      <c r="V68" s="100"/>
      <c r="W68" s="15"/>
      <c r="X68" s="80"/>
      <c r="Y68" s="80"/>
      <c r="Z68" s="80"/>
    </row>
    <row r="69" spans="1:26" s="15" customFormat="1" ht="20.25" customHeight="1">
      <c r="A69" s="11" t="s">
        <v>30</v>
      </c>
      <c r="B69" s="12">
        <v>271</v>
      </c>
      <c r="C69" s="12">
        <f>362+64</f>
        <v>426</v>
      </c>
      <c r="D69" s="12">
        <f t="shared" si="36"/>
        <v>697</v>
      </c>
      <c r="E69" s="12">
        <v>123</v>
      </c>
      <c r="F69" s="12">
        <v>55</v>
      </c>
      <c r="G69" s="12">
        <v>31</v>
      </c>
      <c r="H69" s="106">
        <f t="shared" si="43"/>
        <v>6.112533763637002</v>
      </c>
      <c r="I69" s="13">
        <f t="shared" si="37"/>
        <v>0.17647058823529413</v>
      </c>
      <c r="J69" s="13">
        <f t="shared" si="38"/>
        <v>0.07890961262553801</v>
      </c>
      <c r="K69" s="74">
        <f t="shared" si="45"/>
        <v>552.8455284552846</v>
      </c>
      <c r="L69" s="14">
        <f t="shared" si="40"/>
        <v>59940</v>
      </c>
      <c r="M69" s="39">
        <f>+D69/31</f>
        <v>22.483870967741936</v>
      </c>
      <c r="N69" s="76">
        <v>671</v>
      </c>
      <c r="O69" s="28">
        <f t="shared" si="41"/>
        <v>26</v>
      </c>
      <c r="P69" s="30">
        <f t="shared" si="42"/>
        <v>1.0387481371087928</v>
      </c>
      <c r="U69"/>
      <c r="V69"/>
      <c r="W69"/>
      <c r="X69"/>
      <c r="Y69"/>
      <c r="Z69"/>
    </row>
    <row r="70" spans="1:26" s="15" customFormat="1" ht="20.25" customHeight="1" thickBot="1">
      <c r="A70" s="11" t="s">
        <v>31</v>
      </c>
      <c r="B70" s="12">
        <v>232</v>
      </c>
      <c r="C70" s="12">
        <f>271+33</f>
        <v>304</v>
      </c>
      <c r="D70" s="12">
        <f t="shared" si="36"/>
        <v>536</v>
      </c>
      <c r="E70" s="12">
        <v>101</v>
      </c>
      <c r="F70" s="12">
        <v>42</v>
      </c>
      <c r="G70" s="12">
        <v>25</v>
      </c>
      <c r="H70" s="106">
        <f t="shared" si="43"/>
        <v>4.700599852667766</v>
      </c>
      <c r="I70" s="13">
        <f t="shared" si="37"/>
        <v>0.1884328358208955</v>
      </c>
      <c r="J70" s="13">
        <f t="shared" si="38"/>
        <v>0.07835820895522388</v>
      </c>
      <c r="K70" s="74">
        <f t="shared" si="45"/>
        <v>718.9054726368158</v>
      </c>
      <c r="L70" s="14">
        <f t="shared" si="40"/>
        <v>45990</v>
      </c>
      <c r="M70" s="39">
        <f>+D70/30</f>
        <v>17.866666666666667</v>
      </c>
      <c r="N70" s="76">
        <v>437</v>
      </c>
      <c r="O70" s="28">
        <f t="shared" si="41"/>
        <v>99</v>
      </c>
      <c r="P70" s="30">
        <f t="shared" si="42"/>
        <v>1.2265446224256293</v>
      </c>
      <c r="U70"/>
      <c r="V70"/>
      <c r="W70"/>
      <c r="X70"/>
      <c r="Y70"/>
      <c r="Z70"/>
    </row>
    <row r="71" spans="1:26" s="15" customFormat="1" ht="20.25" customHeight="1" hidden="1">
      <c r="A71" s="11" t="s">
        <v>32</v>
      </c>
      <c r="B71" s="12"/>
      <c r="C71" s="12"/>
      <c r="D71" s="12">
        <f t="shared" si="36"/>
        <v>0</v>
      </c>
      <c r="E71" s="12"/>
      <c r="F71" s="12"/>
      <c r="G71" s="12"/>
      <c r="H71" s="106">
        <f t="shared" si="43"/>
        <v>0</v>
      </c>
      <c r="I71" s="13" t="e">
        <f t="shared" si="37"/>
        <v>#DIV/0!</v>
      </c>
      <c r="J71" s="13" t="e">
        <f t="shared" si="38"/>
        <v>#DIV/0!</v>
      </c>
      <c r="K71" s="74" t="e">
        <f t="shared" si="45"/>
        <v>#DIV/0!</v>
      </c>
      <c r="L71" s="14">
        <f t="shared" si="40"/>
        <v>0</v>
      </c>
      <c r="M71" s="39">
        <f>+D71/31</f>
        <v>0</v>
      </c>
      <c r="N71" s="76"/>
      <c r="O71" s="28">
        <f t="shared" si="41"/>
        <v>0</v>
      </c>
      <c r="P71" s="30" t="e">
        <f t="shared" si="42"/>
        <v>#DIV/0!</v>
      </c>
      <c r="U71"/>
      <c r="V71"/>
      <c r="W71"/>
      <c r="X71"/>
      <c r="Y71"/>
      <c r="Z71"/>
    </row>
    <row r="72" spans="1:26" s="15" customFormat="1" ht="20.25" customHeight="1" hidden="1">
      <c r="A72" s="11" t="s">
        <v>33</v>
      </c>
      <c r="B72" s="12"/>
      <c r="C72" s="12"/>
      <c r="D72" s="12">
        <f t="shared" si="36"/>
        <v>0</v>
      </c>
      <c r="E72" s="12"/>
      <c r="F72" s="12"/>
      <c r="G72" s="12"/>
      <c r="H72" s="106">
        <f t="shared" si="43"/>
        <v>0</v>
      </c>
      <c r="I72" s="13" t="e">
        <f t="shared" si="37"/>
        <v>#DIV/0!</v>
      </c>
      <c r="J72" s="13" t="e">
        <f t="shared" si="38"/>
        <v>#DIV/0!</v>
      </c>
      <c r="K72" s="74" t="e">
        <f t="shared" si="45"/>
        <v>#DIV/0!</v>
      </c>
      <c r="L72" s="14">
        <f t="shared" si="40"/>
        <v>0</v>
      </c>
      <c r="M72" s="39">
        <f>+D72/30</f>
        <v>0</v>
      </c>
      <c r="N72" s="76"/>
      <c r="O72" s="28">
        <f t="shared" si="41"/>
        <v>0</v>
      </c>
      <c r="P72" s="30" t="e">
        <f t="shared" si="42"/>
        <v>#DIV/0!</v>
      </c>
      <c r="U72"/>
      <c r="V72"/>
      <c r="W72"/>
      <c r="X72"/>
      <c r="Y72"/>
      <c r="Z72"/>
    </row>
    <row r="73" spans="1:26" s="15" customFormat="1" ht="20.25" customHeight="1" hidden="1" thickBot="1">
      <c r="A73" s="82" t="s">
        <v>34</v>
      </c>
      <c r="B73" s="83"/>
      <c r="C73" s="83"/>
      <c r="D73" s="83">
        <f t="shared" si="36"/>
        <v>0</v>
      </c>
      <c r="E73" s="83"/>
      <c r="F73" s="83"/>
      <c r="G73" s="83"/>
      <c r="H73" s="109">
        <f t="shared" si="43"/>
        <v>0</v>
      </c>
      <c r="I73" s="85" t="e">
        <f t="shared" si="37"/>
        <v>#DIV/0!</v>
      </c>
      <c r="J73" s="85" t="e">
        <f t="shared" si="38"/>
        <v>#DIV/0!</v>
      </c>
      <c r="K73" s="74" t="e">
        <f t="shared" si="45"/>
        <v>#DIV/0!</v>
      </c>
      <c r="L73" s="87">
        <f t="shared" si="40"/>
        <v>0</v>
      </c>
      <c r="M73" s="88">
        <f>+D73/31</f>
        <v>0</v>
      </c>
      <c r="N73" s="76"/>
      <c r="O73" s="90">
        <f t="shared" si="41"/>
        <v>0</v>
      </c>
      <c r="P73" s="91" t="e">
        <f t="shared" si="42"/>
        <v>#DIV/0!</v>
      </c>
      <c r="U73"/>
      <c r="V73"/>
      <c r="W73"/>
      <c r="X73"/>
      <c r="Y73"/>
      <c r="Z73"/>
    </row>
    <row r="74" spans="1:26" s="15" customFormat="1" ht="20.25" customHeight="1" thickBot="1" thickTop="1">
      <c r="A74" s="92" t="s">
        <v>57</v>
      </c>
      <c r="B74" s="98">
        <f aca="true" t="shared" si="46" ref="B74:G74">SUM(B68:B73)</f>
        <v>805</v>
      </c>
      <c r="C74" s="98">
        <f t="shared" si="46"/>
        <v>1196</v>
      </c>
      <c r="D74" s="98">
        <f t="shared" si="46"/>
        <v>2001</v>
      </c>
      <c r="E74" s="98">
        <f t="shared" si="46"/>
        <v>322</v>
      </c>
      <c r="F74" s="98">
        <f t="shared" si="46"/>
        <v>148</v>
      </c>
      <c r="G74" s="98">
        <f t="shared" si="46"/>
        <v>80</v>
      </c>
      <c r="H74" s="110">
        <f>(D74/W7)*1000</f>
        <v>17.548321464903356</v>
      </c>
      <c r="I74" s="94">
        <f t="shared" si="37"/>
        <v>0.16091954022988506</v>
      </c>
      <c r="J74" s="94">
        <f t="shared" si="38"/>
        <v>0.07396301849075462</v>
      </c>
      <c r="K74" s="67">
        <f>+((4000000/4)+(624000/4))/D74</f>
        <v>577.711144427786</v>
      </c>
      <c r="L74" s="67">
        <f t="shared" si="40"/>
        <v>172890</v>
      </c>
      <c r="M74" s="68">
        <f>+D74/(31+31+30)</f>
        <v>21.75</v>
      </c>
      <c r="N74" s="95">
        <f>SUM(N68:N70)</f>
        <v>1652</v>
      </c>
      <c r="O74" s="96">
        <f t="shared" si="41"/>
        <v>349</v>
      </c>
      <c r="P74" s="97">
        <f t="shared" si="42"/>
        <v>1.2112590799031477</v>
      </c>
      <c r="U74"/>
      <c r="V74"/>
      <c r="W74"/>
      <c r="X74"/>
      <c r="Y74"/>
      <c r="Z74"/>
    </row>
    <row r="75" spans="1:16" s="15" customFormat="1" ht="20.25" customHeight="1" thickBot="1" thickTop="1">
      <c r="A75" s="18" t="s">
        <v>56</v>
      </c>
      <c r="B75" s="19">
        <f aca="true" t="shared" si="47" ref="B75:G75">+B74+B67</f>
        <v>2190</v>
      </c>
      <c r="C75" s="19">
        <f t="shared" si="47"/>
        <v>3248</v>
      </c>
      <c r="D75" s="19">
        <f t="shared" si="47"/>
        <v>5438</v>
      </c>
      <c r="E75" s="19">
        <f t="shared" si="47"/>
        <v>935</v>
      </c>
      <c r="F75" s="19">
        <f t="shared" si="47"/>
        <v>441</v>
      </c>
      <c r="G75" s="19">
        <f t="shared" si="47"/>
        <v>321</v>
      </c>
      <c r="H75" s="111">
        <f>(D75/V7)*1000</f>
        <v>74.26222568178405</v>
      </c>
      <c r="I75" s="25">
        <f t="shared" si="37"/>
        <v>0.17193821257815373</v>
      </c>
      <c r="J75" s="25">
        <f t="shared" si="38"/>
        <v>0.08109599117322545</v>
      </c>
      <c r="K75" s="26">
        <f>+(3000000+468000)/D75</f>
        <v>637.7344611989702</v>
      </c>
      <c r="L75" s="35">
        <f>+(D75-G75)*90</f>
        <v>460530</v>
      </c>
      <c r="M75" s="40">
        <f>+D75/273</f>
        <v>19.91941391941392</v>
      </c>
      <c r="N75" s="29">
        <f>SUM(N67,N74)</f>
        <v>4951</v>
      </c>
      <c r="O75" s="31">
        <f t="shared" si="41"/>
        <v>487</v>
      </c>
      <c r="P75" s="32">
        <f t="shared" si="42"/>
        <v>1.0983639668753786</v>
      </c>
    </row>
    <row r="76" ht="16.5" thickBot="1">
      <c r="A76" s="8" t="s">
        <v>12</v>
      </c>
    </row>
    <row r="77" spans="1:16" ht="18" customHeight="1">
      <c r="A77" s="140" t="s">
        <v>7</v>
      </c>
      <c r="B77" s="142">
        <v>2009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37"/>
      <c r="N77" s="6">
        <v>2008</v>
      </c>
      <c r="O77" s="144" t="s">
        <v>45</v>
      </c>
      <c r="P77" s="145"/>
    </row>
    <row r="78" spans="1:26" s="1" customFormat="1" ht="52.5" customHeight="1" thickBot="1">
      <c r="A78" s="141"/>
      <c r="B78" s="3" t="s">
        <v>3</v>
      </c>
      <c r="C78" s="3" t="s">
        <v>4</v>
      </c>
      <c r="D78" s="3" t="s">
        <v>18</v>
      </c>
      <c r="E78" s="23" t="s">
        <v>10</v>
      </c>
      <c r="F78" s="10" t="s">
        <v>9</v>
      </c>
      <c r="G78" s="10" t="s">
        <v>11</v>
      </c>
      <c r="H78" s="113" t="s">
        <v>44</v>
      </c>
      <c r="I78" s="10" t="s">
        <v>21</v>
      </c>
      <c r="J78" s="23" t="s">
        <v>20</v>
      </c>
      <c r="K78" s="3" t="s">
        <v>19</v>
      </c>
      <c r="L78" s="5" t="s">
        <v>6</v>
      </c>
      <c r="M78" s="38" t="s">
        <v>22</v>
      </c>
      <c r="N78" s="33" t="s">
        <v>18</v>
      </c>
      <c r="O78" s="7" t="s">
        <v>8</v>
      </c>
      <c r="P78" s="4" t="s">
        <v>5</v>
      </c>
      <c r="T78"/>
      <c r="U78"/>
      <c r="V78"/>
      <c r="W78"/>
      <c r="X78"/>
      <c r="Y78"/>
      <c r="Z78"/>
    </row>
    <row r="79" spans="1:26" s="15" customFormat="1" ht="20.25" customHeight="1">
      <c r="A79" s="11" t="s">
        <v>0</v>
      </c>
      <c r="B79" s="12">
        <v>182</v>
      </c>
      <c r="C79" s="12">
        <v>240</v>
      </c>
      <c r="D79" s="12">
        <f aca="true" t="shared" si="48" ref="D79:D91">SUM(B79:C79)</f>
        <v>422</v>
      </c>
      <c r="E79" s="12">
        <v>31</v>
      </c>
      <c r="F79" s="12">
        <v>11</v>
      </c>
      <c r="G79" s="12">
        <v>23</v>
      </c>
      <c r="H79" s="115">
        <f>(D79/$X$7)*1000</f>
        <v>3.5153191276677274</v>
      </c>
      <c r="I79" s="13">
        <f aca="true" t="shared" si="49" ref="I79:I93">+E79/D79</f>
        <v>0.07345971563981042</v>
      </c>
      <c r="J79" s="13">
        <f aca="true" t="shared" si="50" ref="J79:J93">+F79/D79</f>
        <v>0.026066350710900472</v>
      </c>
      <c r="K79" s="24">
        <f aca="true" t="shared" si="51" ref="K79:K91">+(4000000/12+69000)/D79</f>
        <v>953.3965244865718</v>
      </c>
      <c r="L79" s="14">
        <f aca="true" t="shared" si="52" ref="L79:L92">+(D79-G79)*90</f>
        <v>35910</v>
      </c>
      <c r="M79" s="39">
        <f>+D79/31</f>
        <v>13.612903225806452</v>
      </c>
      <c r="N79" s="27">
        <f>224+119</f>
        <v>343</v>
      </c>
      <c r="O79" s="28">
        <f aca="true" t="shared" si="53" ref="O79:O93">+D79-N79</f>
        <v>79</v>
      </c>
      <c r="P79" s="30">
        <f aca="true" t="shared" si="54" ref="P79:P93">+D79/N79</f>
        <v>1.2303206997084548</v>
      </c>
      <c r="T79" s="103"/>
      <c r="U79" s="103"/>
      <c r="V79" s="103"/>
      <c r="W79"/>
      <c r="X79"/>
      <c r="Y79"/>
      <c r="Z79"/>
    </row>
    <row r="80" spans="1:26" s="15" customFormat="1" ht="20.25" customHeight="1">
      <c r="A80" s="16" t="s">
        <v>1</v>
      </c>
      <c r="B80" s="17">
        <v>195</v>
      </c>
      <c r="C80" s="17">
        <v>220</v>
      </c>
      <c r="D80" s="12">
        <f t="shared" si="48"/>
        <v>415</v>
      </c>
      <c r="E80" s="12">
        <v>44</v>
      </c>
      <c r="F80" s="12">
        <v>15</v>
      </c>
      <c r="G80" s="12">
        <v>25</v>
      </c>
      <c r="H80" s="115">
        <f aca="true" t="shared" si="55" ref="H80:H91">(D80/$X$7)*1000</f>
        <v>3.4570081468770306</v>
      </c>
      <c r="I80" s="13">
        <f t="shared" si="49"/>
        <v>0.10602409638554217</v>
      </c>
      <c r="J80" s="13">
        <f t="shared" si="50"/>
        <v>0.03614457831325301</v>
      </c>
      <c r="K80" s="24">
        <f t="shared" si="51"/>
        <v>969.4779116465863</v>
      </c>
      <c r="L80" s="14">
        <f t="shared" si="52"/>
        <v>35100</v>
      </c>
      <c r="M80" s="39">
        <f>+D80/28</f>
        <v>14.821428571428571</v>
      </c>
      <c r="N80" s="27">
        <f>224+135</f>
        <v>359</v>
      </c>
      <c r="O80" s="28">
        <f t="shared" si="53"/>
        <v>56</v>
      </c>
      <c r="P80" s="30">
        <f t="shared" si="54"/>
        <v>1.1559888579387188</v>
      </c>
      <c r="T80" s="102"/>
      <c r="U80" s="102"/>
      <c r="V80" s="102"/>
      <c r="W80"/>
      <c r="X80"/>
      <c r="Y80"/>
      <c r="Z80"/>
    </row>
    <row r="81" spans="1:26" s="15" customFormat="1" ht="20.25" customHeight="1">
      <c r="A81" s="16" t="s">
        <v>2</v>
      </c>
      <c r="B81" s="17">
        <v>213</v>
      </c>
      <c r="C81" s="17">
        <v>251</v>
      </c>
      <c r="D81" s="12">
        <f t="shared" si="48"/>
        <v>464</v>
      </c>
      <c r="E81" s="12">
        <v>39</v>
      </c>
      <c r="F81" s="12">
        <v>11</v>
      </c>
      <c r="G81" s="12">
        <v>31</v>
      </c>
      <c r="H81" s="115">
        <f t="shared" si="55"/>
        <v>3.8651850124119087</v>
      </c>
      <c r="I81" s="13">
        <f t="shared" si="49"/>
        <v>0.08405172413793104</v>
      </c>
      <c r="J81" s="13">
        <f t="shared" si="50"/>
        <v>0.023706896551724137</v>
      </c>
      <c r="K81" s="24">
        <f t="shared" si="51"/>
        <v>867.0977011494252</v>
      </c>
      <c r="L81" s="14">
        <f t="shared" si="52"/>
        <v>38970</v>
      </c>
      <c r="M81" s="39">
        <f>+D81/31</f>
        <v>14.96774193548387</v>
      </c>
      <c r="N81" s="27">
        <f>339+156</f>
        <v>495</v>
      </c>
      <c r="O81" s="28">
        <f t="shared" si="53"/>
        <v>-31</v>
      </c>
      <c r="P81" s="30">
        <f t="shared" si="54"/>
        <v>0.9373737373737374</v>
      </c>
      <c r="T81" s="102"/>
      <c r="U81" s="102"/>
      <c r="V81" s="102"/>
      <c r="W81"/>
      <c r="X81"/>
      <c r="Y81"/>
      <c r="Z81"/>
    </row>
    <row r="82" spans="1:26" s="15" customFormat="1" ht="20.25" customHeight="1">
      <c r="A82" s="16" t="s">
        <v>24</v>
      </c>
      <c r="B82" s="17">
        <v>178</v>
      </c>
      <c r="C82" s="17">
        <v>236</v>
      </c>
      <c r="D82" s="12">
        <f t="shared" si="48"/>
        <v>414</v>
      </c>
      <c r="E82" s="12">
        <v>52</v>
      </c>
      <c r="F82" s="12">
        <v>13</v>
      </c>
      <c r="G82" s="12">
        <v>25</v>
      </c>
      <c r="H82" s="115">
        <f t="shared" si="55"/>
        <v>3.448678006764074</v>
      </c>
      <c r="I82" s="13">
        <f t="shared" si="49"/>
        <v>0.12560386473429952</v>
      </c>
      <c r="J82" s="13">
        <f t="shared" si="50"/>
        <v>0.03140096618357488</v>
      </c>
      <c r="K82" s="24">
        <f t="shared" si="51"/>
        <v>971.8196457326892</v>
      </c>
      <c r="L82" s="14">
        <f t="shared" si="52"/>
        <v>35010</v>
      </c>
      <c r="M82" s="39">
        <f>+D82/30</f>
        <v>13.8</v>
      </c>
      <c r="N82" s="27">
        <f>283+125</f>
        <v>408</v>
      </c>
      <c r="O82" s="28">
        <f t="shared" si="53"/>
        <v>6</v>
      </c>
      <c r="P82" s="30">
        <f t="shared" si="54"/>
        <v>1.0147058823529411</v>
      </c>
      <c r="T82" s="102"/>
      <c r="U82" s="102"/>
      <c r="V82" s="102"/>
      <c r="W82"/>
      <c r="X82"/>
      <c r="Y82"/>
      <c r="Z82"/>
    </row>
    <row r="83" spans="1:26" s="15" customFormat="1" ht="20.25" customHeight="1">
      <c r="A83" s="16" t="s">
        <v>25</v>
      </c>
      <c r="B83" s="17">
        <v>198</v>
      </c>
      <c r="C83" s="17">
        <v>376</v>
      </c>
      <c r="D83" s="12">
        <f t="shared" si="48"/>
        <v>574</v>
      </c>
      <c r="E83" s="12">
        <v>84</v>
      </c>
      <c r="F83" s="12">
        <v>13</v>
      </c>
      <c r="G83" s="12">
        <v>25</v>
      </c>
      <c r="H83" s="115">
        <f t="shared" si="55"/>
        <v>4.781500424837145</v>
      </c>
      <c r="I83" s="13">
        <f t="shared" si="49"/>
        <v>0.14634146341463414</v>
      </c>
      <c r="J83" s="13">
        <f t="shared" si="50"/>
        <v>0.02264808362369338</v>
      </c>
      <c r="K83" s="24">
        <f t="shared" si="51"/>
        <v>700.9291521486643</v>
      </c>
      <c r="L83" s="14">
        <f t="shared" si="52"/>
        <v>49410</v>
      </c>
      <c r="M83" s="39">
        <f>+D83/31</f>
        <v>18.516129032258064</v>
      </c>
      <c r="N83" s="27">
        <v>451</v>
      </c>
      <c r="O83" s="28">
        <f t="shared" si="53"/>
        <v>123</v>
      </c>
      <c r="P83" s="30">
        <f t="shared" si="54"/>
        <v>1.2727272727272727</v>
      </c>
      <c r="T83" s="102"/>
      <c r="U83" s="102"/>
      <c r="V83" s="102"/>
      <c r="W83"/>
      <c r="X83"/>
      <c r="Y83"/>
      <c r="Z83"/>
    </row>
    <row r="84" spans="1:26" s="15" customFormat="1" ht="20.25" customHeight="1" thickBot="1">
      <c r="A84" s="57" t="s">
        <v>26</v>
      </c>
      <c r="B84" s="58">
        <v>170</v>
      </c>
      <c r="C84" s="58">
        <v>259</v>
      </c>
      <c r="D84" s="58">
        <f t="shared" si="48"/>
        <v>429</v>
      </c>
      <c r="E84" s="58">
        <v>45</v>
      </c>
      <c r="F84" s="58">
        <v>11</v>
      </c>
      <c r="G84" s="58">
        <v>23</v>
      </c>
      <c r="H84" s="116">
        <f t="shared" si="55"/>
        <v>3.5736301084584245</v>
      </c>
      <c r="I84" s="60">
        <f t="shared" si="49"/>
        <v>0.1048951048951049</v>
      </c>
      <c r="J84" s="60">
        <f t="shared" si="50"/>
        <v>0.02564102564102564</v>
      </c>
      <c r="K84" s="61">
        <f t="shared" si="51"/>
        <v>937.8399378399378</v>
      </c>
      <c r="L84" s="62">
        <f t="shared" si="52"/>
        <v>36540</v>
      </c>
      <c r="M84" s="63">
        <f>+D84/30</f>
        <v>14.3</v>
      </c>
      <c r="N84" s="64">
        <v>449</v>
      </c>
      <c r="O84" s="65">
        <f t="shared" si="53"/>
        <v>-20</v>
      </c>
      <c r="P84" s="66">
        <f t="shared" si="54"/>
        <v>0.955456570155902</v>
      </c>
      <c r="T84" s="102"/>
      <c r="U84" s="102"/>
      <c r="V84" s="102"/>
      <c r="W84"/>
      <c r="X84"/>
      <c r="Y84"/>
      <c r="Z84"/>
    </row>
    <row r="85" spans="1:26" s="15" customFormat="1" ht="19.5" customHeight="1" thickBot="1" thickTop="1">
      <c r="A85" s="48" t="s">
        <v>29</v>
      </c>
      <c r="B85" s="50">
        <f aca="true" t="shared" si="56" ref="B85:G85">SUM(B79:B84)</f>
        <v>1136</v>
      </c>
      <c r="C85" s="50">
        <f t="shared" si="56"/>
        <v>1582</v>
      </c>
      <c r="D85" s="50">
        <f t="shared" si="56"/>
        <v>2718</v>
      </c>
      <c r="E85" s="50">
        <f t="shared" si="56"/>
        <v>295</v>
      </c>
      <c r="F85" s="50">
        <f t="shared" si="56"/>
        <v>74</v>
      </c>
      <c r="G85" s="50">
        <f t="shared" si="56"/>
        <v>152</v>
      </c>
      <c r="H85" s="117">
        <f t="shared" si="55"/>
        <v>22.641320827016308</v>
      </c>
      <c r="I85" s="51">
        <f t="shared" si="49"/>
        <v>0.10853568800588669</v>
      </c>
      <c r="J85" s="51">
        <f t="shared" si="50"/>
        <v>0.027225901398086828</v>
      </c>
      <c r="K85" s="52">
        <f>+((4000000/12+69000)*6)/D85</f>
        <v>888.1530537159676</v>
      </c>
      <c r="L85" s="52">
        <f>SUM(L79:L84)</f>
        <v>230940</v>
      </c>
      <c r="M85" s="53">
        <f>+D85/(31+28+31+30+31+30)</f>
        <v>15.01657458563536</v>
      </c>
      <c r="N85" s="54">
        <f>SUM(N79:N84)</f>
        <v>2505</v>
      </c>
      <c r="O85" s="55">
        <f t="shared" si="53"/>
        <v>213</v>
      </c>
      <c r="P85" s="56">
        <f t="shared" si="54"/>
        <v>1.0850299401197605</v>
      </c>
      <c r="T85" s="102"/>
      <c r="U85" s="102"/>
      <c r="V85" s="102"/>
      <c r="W85"/>
      <c r="X85"/>
      <c r="Y85"/>
      <c r="Z85"/>
    </row>
    <row r="86" spans="1:26" s="15" customFormat="1" ht="20.25" customHeight="1" thickTop="1">
      <c r="A86" s="16" t="s">
        <v>27</v>
      </c>
      <c r="B86" s="17">
        <v>238</v>
      </c>
      <c r="C86" s="17">
        <f>270+105</f>
        <v>375</v>
      </c>
      <c r="D86" s="12">
        <f t="shared" si="48"/>
        <v>613</v>
      </c>
      <c r="E86" s="12">
        <v>81</v>
      </c>
      <c r="F86" s="12">
        <v>35</v>
      </c>
      <c r="G86" s="12">
        <v>28</v>
      </c>
      <c r="H86" s="115">
        <f t="shared" si="55"/>
        <v>5.106375889242457</v>
      </c>
      <c r="I86" s="13">
        <f t="shared" si="49"/>
        <v>0.13213703099510604</v>
      </c>
      <c r="J86" s="13">
        <f t="shared" si="50"/>
        <v>0.057096247960848286</v>
      </c>
      <c r="K86" s="24">
        <f t="shared" si="51"/>
        <v>656.3349646547036</v>
      </c>
      <c r="L86" s="14">
        <f t="shared" si="52"/>
        <v>52650</v>
      </c>
      <c r="M86" s="39">
        <f>+D86/31</f>
        <v>19.774193548387096</v>
      </c>
      <c r="N86" s="27">
        <v>517</v>
      </c>
      <c r="O86" s="28">
        <f t="shared" si="53"/>
        <v>96</v>
      </c>
      <c r="P86" s="30">
        <f t="shared" si="54"/>
        <v>1.18568665377176</v>
      </c>
      <c r="T86" s="102"/>
      <c r="U86" s="102"/>
      <c r="V86" s="102"/>
      <c r="W86"/>
      <c r="X86"/>
      <c r="Y86"/>
      <c r="Z86"/>
    </row>
    <row r="87" spans="1:26" s="15" customFormat="1" ht="20.25" customHeight="1">
      <c r="A87" s="11" t="s">
        <v>30</v>
      </c>
      <c r="B87" s="12">
        <v>233</v>
      </c>
      <c r="C87" s="12">
        <f>242+93</f>
        <v>335</v>
      </c>
      <c r="D87" s="12">
        <f t="shared" si="48"/>
        <v>568</v>
      </c>
      <c r="E87" s="12">
        <v>82</v>
      </c>
      <c r="F87" s="12">
        <v>33</v>
      </c>
      <c r="G87" s="12">
        <v>31</v>
      </c>
      <c r="H87" s="115">
        <f t="shared" si="55"/>
        <v>4.731519584159406</v>
      </c>
      <c r="I87" s="13">
        <f t="shared" si="49"/>
        <v>0.1443661971830986</v>
      </c>
      <c r="J87" s="13">
        <f t="shared" si="50"/>
        <v>0.058098591549295774</v>
      </c>
      <c r="K87" s="24">
        <f t="shared" si="51"/>
        <v>708.3333333333333</v>
      </c>
      <c r="L87" s="14">
        <f t="shared" si="52"/>
        <v>48330</v>
      </c>
      <c r="M87" s="39">
        <f>+D87/31</f>
        <v>18.322580645161292</v>
      </c>
      <c r="N87" s="27">
        <v>468</v>
      </c>
      <c r="O87" s="28">
        <f t="shared" si="53"/>
        <v>100</v>
      </c>
      <c r="P87" s="30">
        <f t="shared" si="54"/>
        <v>1.2136752136752136</v>
      </c>
      <c r="U87"/>
      <c r="V87"/>
      <c r="W87"/>
      <c r="X87"/>
      <c r="Y87"/>
      <c r="Z87"/>
    </row>
    <row r="88" spans="1:26" s="15" customFormat="1" ht="20.25" customHeight="1" thickBot="1">
      <c r="A88" s="11" t="s">
        <v>31</v>
      </c>
      <c r="B88" s="12">
        <v>173</v>
      </c>
      <c r="C88" s="12">
        <f>189+67</f>
        <v>256</v>
      </c>
      <c r="D88" s="12">
        <f t="shared" si="48"/>
        <v>429</v>
      </c>
      <c r="E88" s="12">
        <v>73</v>
      </c>
      <c r="F88" s="12">
        <v>31</v>
      </c>
      <c r="G88" s="12">
        <v>31</v>
      </c>
      <c r="H88" s="115">
        <f t="shared" si="55"/>
        <v>3.5736301084584245</v>
      </c>
      <c r="I88" s="13">
        <f t="shared" si="49"/>
        <v>0.17016317016317017</v>
      </c>
      <c r="J88" s="13">
        <f t="shared" si="50"/>
        <v>0.07226107226107226</v>
      </c>
      <c r="K88" s="24">
        <f t="shared" si="51"/>
        <v>937.8399378399378</v>
      </c>
      <c r="L88" s="14">
        <f t="shared" si="52"/>
        <v>35820</v>
      </c>
      <c r="M88" s="39">
        <f>+D88/30</f>
        <v>14.3</v>
      </c>
      <c r="N88" s="27">
        <v>285</v>
      </c>
      <c r="O88" s="28">
        <f t="shared" si="53"/>
        <v>144</v>
      </c>
      <c r="P88" s="30">
        <f t="shared" si="54"/>
        <v>1.5052631578947369</v>
      </c>
      <c r="U88"/>
      <c r="V88"/>
      <c r="W88"/>
      <c r="X88"/>
      <c r="Y88"/>
      <c r="Z88"/>
    </row>
    <row r="89" spans="1:26" s="15" customFormat="1" ht="20.25" customHeight="1" hidden="1">
      <c r="A89" s="11" t="s">
        <v>32</v>
      </c>
      <c r="B89" s="12"/>
      <c r="C89" s="12"/>
      <c r="D89" s="12">
        <f t="shared" si="48"/>
        <v>0</v>
      </c>
      <c r="E89" s="12"/>
      <c r="F89" s="12"/>
      <c r="G89" s="12"/>
      <c r="H89" s="115">
        <f t="shared" si="55"/>
        <v>0</v>
      </c>
      <c r="I89" s="13" t="e">
        <f t="shared" si="49"/>
        <v>#DIV/0!</v>
      </c>
      <c r="J89" s="13" t="e">
        <f t="shared" si="50"/>
        <v>#DIV/0!</v>
      </c>
      <c r="K89" s="24" t="e">
        <f t="shared" si="51"/>
        <v>#DIV/0!</v>
      </c>
      <c r="L89" s="14">
        <f t="shared" si="52"/>
        <v>0</v>
      </c>
      <c r="M89" s="39">
        <f>+D89/31</f>
        <v>0</v>
      </c>
      <c r="N89" s="27"/>
      <c r="O89" s="28">
        <f t="shared" si="53"/>
        <v>0</v>
      </c>
      <c r="P89" s="30" t="e">
        <f t="shared" si="54"/>
        <v>#DIV/0!</v>
      </c>
      <c r="U89"/>
      <c r="V89"/>
      <c r="W89"/>
      <c r="X89"/>
      <c r="Y89"/>
      <c r="Z89"/>
    </row>
    <row r="90" spans="1:26" s="15" customFormat="1" ht="20.25" customHeight="1" hidden="1">
      <c r="A90" s="11" t="s">
        <v>33</v>
      </c>
      <c r="B90" s="12"/>
      <c r="C90" s="12"/>
      <c r="D90" s="12">
        <f t="shared" si="48"/>
        <v>0</v>
      </c>
      <c r="E90" s="12"/>
      <c r="F90" s="12"/>
      <c r="G90" s="12"/>
      <c r="H90" s="115">
        <f t="shared" si="55"/>
        <v>0</v>
      </c>
      <c r="I90" s="13" t="e">
        <f t="shared" si="49"/>
        <v>#DIV/0!</v>
      </c>
      <c r="J90" s="13" t="e">
        <f t="shared" si="50"/>
        <v>#DIV/0!</v>
      </c>
      <c r="K90" s="24" t="e">
        <f t="shared" si="51"/>
        <v>#DIV/0!</v>
      </c>
      <c r="L90" s="14">
        <f t="shared" si="52"/>
        <v>0</v>
      </c>
      <c r="M90" s="39">
        <f>+D90/30</f>
        <v>0</v>
      </c>
      <c r="N90" s="27"/>
      <c r="O90" s="28">
        <f t="shared" si="53"/>
        <v>0</v>
      </c>
      <c r="P90" s="30" t="e">
        <f t="shared" si="54"/>
        <v>#DIV/0!</v>
      </c>
      <c r="U90"/>
      <c r="V90"/>
      <c r="W90"/>
      <c r="X90"/>
      <c r="Y90"/>
      <c r="Z90"/>
    </row>
    <row r="91" spans="1:26" s="15" customFormat="1" ht="20.25" customHeight="1" hidden="1" thickBot="1">
      <c r="A91" s="82" t="s">
        <v>34</v>
      </c>
      <c r="B91" s="83"/>
      <c r="C91" s="83"/>
      <c r="D91" s="83">
        <f t="shared" si="48"/>
        <v>0</v>
      </c>
      <c r="E91" s="83"/>
      <c r="F91" s="83"/>
      <c r="G91" s="83"/>
      <c r="H91" s="118">
        <f t="shared" si="55"/>
        <v>0</v>
      </c>
      <c r="I91" s="85" t="e">
        <f t="shared" si="49"/>
        <v>#DIV/0!</v>
      </c>
      <c r="J91" s="85" t="e">
        <f t="shared" si="50"/>
        <v>#DIV/0!</v>
      </c>
      <c r="K91" s="86" t="e">
        <f t="shared" si="51"/>
        <v>#DIV/0!</v>
      </c>
      <c r="L91" s="87">
        <f t="shared" si="52"/>
        <v>0</v>
      </c>
      <c r="M91" s="88">
        <f>+D91/31</f>
        <v>0</v>
      </c>
      <c r="N91" s="89"/>
      <c r="O91" s="90">
        <f t="shared" si="53"/>
        <v>0</v>
      </c>
      <c r="P91" s="91" t="e">
        <f t="shared" si="54"/>
        <v>#DIV/0!</v>
      </c>
      <c r="U91"/>
      <c r="V91"/>
      <c r="W91"/>
      <c r="X91"/>
      <c r="Y91"/>
      <c r="Z91"/>
    </row>
    <row r="92" spans="1:26" s="15" customFormat="1" ht="20.25" customHeight="1" thickBot="1" thickTop="1">
      <c r="A92" s="92" t="s">
        <v>57</v>
      </c>
      <c r="B92" s="98">
        <f aca="true" t="shared" si="57" ref="B92:G92">SUM(B86:B91)</f>
        <v>644</v>
      </c>
      <c r="C92" s="98">
        <f t="shared" si="57"/>
        <v>966</v>
      </c>
      <c r="D92" s="98">
        <f t="shared" si="57"/>
        <v>1610</v>
      </c>
      <c r="E92" s="98">
        <f t="shared" si="57"/>
        <v>236</v>
      </c>
      <c r="F92" s="98">
        <f t="shared" si="57"/>
        <v>99</v>
      </c>
      <c r="G92" s="98">
        <f t="shared" si="57"/>
        <v>90</v>
      </c>
      <c r="H92" s="110">
        <f>(D92/X7)*1000</f>
        <v>13.411525581860285</v>
      </c>
      <c r="I92" s="94">
        <f t="shared" si="49"/>
        <v>0.14658385093167703</v>
      </c>
      <c r="J92" s="94">
        <f t="shared" si="50"/>
        <v>0.061490683229813665</v>
      </c>
      <c r="K92" s="67">
        <f>+((4000000/4)+(828000/4))/D92</f>
        <v>749.6894409937888</v>
      </c>
      <c r="L92" s="67">
        <f t="shared" si="52"/>
        <v>136800</v>
      </c>
      <c r="M92" s="68">
        <f>+D92/(31+31+30)</f>
        <v>17.5</v>
      </c>
      <c r="N92" s="95">
        <f>SUM(N86:N88)</f>
        <v>1270</v>
      </c>
      <c r="O92" s="96">
        <f t="shared" si="53"/>
        <v>340</v>
      </c>
      <c r="P92" s="97">
        <f t="shared" si="54"/>
        <v>1.2677165354330708</v>
      </c>
      <c r="U92"/>
      <c r="V92"/>
      <c r="W92"/>
      <c r="X92"/>
      <c r="Y92"/>
      <c r="Z92"/>
    </row>
    <row r="93" spans="1:16" s="15" customFormat="1" ht="15" customHeight="1" thickBot="1" thickTop="1">
      <c r="A93" s="18" t="s">
        <v>56</v>
      </c>
      <c r="B93" s="19">
        <f aca="true" t="shared" si="58" ref="B93:G93">+B92+B85</f>
        <v>1780</v>
      </c>
      <c r="C93" s="19">
        <f t="shared" si="58"/>
        <v>2548</v>
      </c>
      <c r="D93" s="19">
        <f t="shared" si="58"/>
        <v>4328</v>
      </c>
      <c r="E93" s="19">
        <f t="shared" si="58"/>
        <v>531</v>
      </c>
      <c r="F93" s="19">
        <f t="shared" si="58"/>
        <v>173</v>
      </c>
      <c r="G93" s="19">
        <f t="shared" si="58"/>
        <v>242</v>
      </c>
      <c r="H93" s="111">
        <f>(D93/X7)*1000</f>
        <v>36.0528464088766</v>
      </c>
      <c r="I93" s="25">
        <f t="shared" si="49"/>
        <v>0.1226894639556377</v>
      </c>
      <c r="J93" s="25">
        <f t="shared" si="50"/>
        <v>0.03997227356746765</v>
      </c>
      <c r="K93" s="26">
        <f>+(3000000+621000)/D93</f>
        <v>836.6451016635859</v>
      </c>
      <c r="L93" s="35">
        <f>+(D93-G93)*90</f>
        <v>367740</v>
      </c>
      <c r="M93" s="40">
        <f>+D93/273</f>
        <v>15.853479853479854</v>
      </c>
      <c r="N93" s="29">
        <f>+N85+N92</f>
        <v>3775</v>
      </c>
      <c r="O93" s="31">
        <f t="shared" si="53"/>
        <v>553</v>
      </c>
      <c r="P93" s="32">
        <f t="shared" si="54"/>
        <v>1.1464900662251656</v>
      </c>
    </row>
    <row r="94" ht="6" customHeight="1"/>
    <row r="95" ht="16.5" thickBot="1">
      <c r="A95" s="8" t="s">
        <v>17</v>
      </c>
    </row>
    <row r="96" spans="1:16" ht="18" customHeight="1">
      <c r="A96" s="140" t="s">
        <v>7</v>
      </c>
      <c r="B96" s="142">
        <v>2009</v>
      </c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37"/>
      <c r="N96" s="6">
        <v>2008</v>
      </c>
      <c r="O96" s="144" t="s">
        <v>45</v>
      </c>
      <c r="P96" s="145"/>
    </row>
    <row r="97" spans="1:26" s="1" customFormat="1" ht="52.5" customHeight="1" thickBot="1">
      <c r="A97" s="141"/>
      <c r="B97" s="3" t="s">
        <v>3</v>
      </c>
      <c r="C97" s="3" t="s">
        <v>4</v>
      </c>
      <c r="D97" s="3" t="s">
        <v>18</v>
      </c>
      <c r="E97" s="23" t="s">
        <v>10</v>
      </c>
      <c r="F97" s="10" t="s">
        <v>9</v>
      </c>
      <c r="G97" s="10" t="s">
        <v>11</v>
      </c>
      <c r="H97" s="113" t="s">
        <v>44</v>
      </c>
      <c r="I97" s="10" t="s">
        <v>21</v>
      </c>
      <c r="J97" s="23" t="s">
        <v>20</v>
      </c>
      <c r="K97" s="3" t="s">
        <v>19</v>
      </c>
      <c r="L97" s="5" t="s">
        <v>6</v>
      </c>
      <c r="M97" s="38" t="s">
        <v>22</v>
      </c>
      <c r="N97" s="33" t="s">
        <v>18</v>
      </c>
      <c r="O97" s="7" t="s">
        <v>8</v>
      </c>
      <c r="P97" s="4" t="s">
        <v>5</v>
      </c>
      <c r="T97"/>
      <c r="U97"/>
      <c r="V97"/>
      <c r="W97"/>
      <c r="X97"/>
      <c r="Y97"/>
      <c r="Z97"/>
    </row>
    <row r="98" spans="1:26" s="15" customFormat="1" ht="20.25" customHeight="1">
      <c r="A98" s="11" t="s">
        <v>0</v>
      </c>
      <c r="B98" s="20">
        <f aca="true" t="shared" si="59" ref="B98:C103">+B79+B61+B42+B24+B6</f>
        <v>1200</v>
      </c>
      <c r="C98" s="20">
        <f t="shared" si="59"/>
        <v>1561</v>
      </c>
      <c r="D98" s="20">
        <f aca="true" t="shared" si="60" ref="D98:D105">SUM(B98:C98)</f>
        <v>2761</v>
      </c>
      <c r="E98" s="12">
        <f aca="true" t="shared" si="61" ref="E98:G103">+E79+E61+E42+E24+E6</f>
        <v>412</v>
      </c>
      <c r="F98" s="12">
        <f t="shared" si="61"/>
        <v>154</v>
      </c>
      <c r="G98" s="12">
        <f t="shared" si="61"/>
        <v>189</v>
      </c>
      <c r="H98" s="106">
        <f>(D98/$Y$7)*1000</f>
        <v>5.356889938321068</v>
      </c>
      <c r="I98" s="13">
        <f aca="true" t="shared" si="62" ref="I98:I112">+E98/D98</f>
        <v>0.1492212966316552</v>
      </c>
      <c r="J98" s="13">
        <f aca="true" t="shared" si="63" ref="J98:J112">+F98/D98</f>
        <v>0.055776892430278883</v>
      </c>
      <c r="K98" s="24">
        <f aca="true" t="shared" si="64" ref="K98:K110">+(20000000/12+69000+52000)/D98</f>
        <v>647.4707231679344</v>
      </c>
      <c r="L98" s="14">
        <f aca="true" t="shared" si="65" ref="L98:L111">+(D98-G98)*90</f>
        <v>231480</v>
      </c>
      <c r="M98" s="39">
        <f>+D98/31</f>
        <v>89.06451612903226</v>
      </c>
      <c r="N98" s="27">
        <f>2316-218</f>
        <v>2098</v>
      </c>
      <c r="O98" s="28">
        <f aca="true" t="shared" si="66" ref="O98:O111">+D98-N98</f>
        <v>663</v>
      </c>
      <c r="P98" s="30">
        <f>+D98/N98</f>
        <v>1.3160152526215443</v>
      </c>
      <c r="T98"/>
      <c r="U98"/>
      <c r="V98"/>
      <c r="W98"/>
      <c r="X98"/>
      <c r="Y98"/>
      <c r="Z98"/>
    </row>
    <row r="99" spans="1:26" s="15" customFormat="1" ht="20.25" customHeight="1">
      <c r="A99" s="16" t="s">
        <v>1</v>
      </c>
      <c r="B99" s="21">
        <f t="shared" si="59"/>
        <v>1175</v>
      </c>
      <c r="C99" s="21">
        <f t="shared" si="59"/>
        <v>1443</v>
      </c>
      <c r="D99" s="20">
        <f t="shared" si="60"/>
        <v>2618</v>
      </c>
      <c r="E99" s="12">
        <f t="shared" si="61"/>
        <v>399</v>
      </c>
      <c r="F99" s="12">
        <f t="shared" si="61"/>
        <v>151</v>
      </c>
      <c r="G99" s="12">
        <f t="shared" si="61"/>
        <v>207</v>
      </c>
      <c r="H99" s="106">
        <f aca="true" t="shared" si="67" ref="H99:H110">(D99/$Y$7)*1000</f>
        <v>5.0794414554598175</v>
      </c>
      <c r="I99" s="13">
        <f t="shared" si="62"/>
        <v>0.15240641711229946</v>
      </c>
      <c r="J99" s="13">
        <f t="shared" si="63"/>
        <v>0.05767761650114591</v>
      </c>
      <c r="K99" s="24">
        <f t="shared" si="64"/>
        <v>682.8367710720652</v>
      </c>
      <c r="L99" s="14">
        <f t="shared" si="65"/>
        <v>216990</v>
      </c>
      <c r="M99" s="39">
        <f>+D99/28</f>
        <v>93.5</v>
      </c>
      <c r="N99" s="27">
        <f>2359-179</f>
        <v>2180</v>
      </c>
      <c r="O99" s="28">
        <f t="shared" si="66"/>
        <v>438</v>
      </c>
      <c r="P99" s="30">
        <f aca="true" t="shared" si="68" ref="P99:P112">+D99/N99</f>
        <v>1.2009174311926605</v>
      </c>
      <c r="T99"/>
      <c r="U99"/>
      <c r="V99"/>
      <c r="W99"/>
      <c r="X99"/>
      <c r="Y99"/>
      <c r="Z99"/>
    </row>
    <row r="100" spans="1:26" s="15" customFormat="1" ht="20.25" customHeight="1">
      <c r="A100" s="16" t="s">
        <v>2</v>
      </c>
      <c r="B100" s="21">
        <f t="shared" si="59"/>
        <v>1530</v>
      </c>
      <c r="C100" s="21">
        <f t="shared" si="59"/>
        <v>1558</v>
      </c>
      <c r="D100" s="20">
        <f t="shared" si="60"/>
        <v>3088</v>
      </c>
      <c r="E100" s="12">
        <f t="shared" si="61"/>
        <v>488</v>
      </c>
      <c r="F100" s="12">
        <f t="shared" si="61"/>
        <v>188</v>
      </c>
      <c r="G100" s="12">
        <f t="shared" si="61"/>
        <v>208</v>
      </c>
      <c r="H100" s="106">
        <f t="shared" si="67"/>
        <v>5.991335070458333</v>
      </c>
      <c r="I100" s="13">
        <f t="shared" si="62"/>
        <v>0.15803108808290156</v>
      </c>
      <c r="J100" s="13">
        <f t="shared" si="63"/>
        <v>0.06088082901554404</v>
      </c>
      <c r="K100" s="24">
        <f t="shared" si="64"/>
        <v>578.9075993091537</v>
      </c>
      <c r="L100" s="14">
        <f t="shared" si="65"/>
        <v>259200</v>
      </c>
      <c r="M100" s="39">
        <f>+D100/31</f>
        <v>99.61290322580645</v>
      </c>
      <c r="N100" s="27">
        <f>3418-285</f>
        <v>3133</v>
      </c>
      <c r="O100" s="28">
        <f t="shared" si="66"/>
        <v>-45</v>
      </c>
      <c r="P100" s="30">
        <f t="shared" si="68"/>
        <v>0.9856367698691351</v>
      </c>
      <c r="T100"/>
      <c r="U100"/>
      <c r="V100"/>
      <c r="W100"/>
      <c r="X100"/>
      <c r="Y100"/>
      <c r="Z100"/>
    </row>
    <row r="101" spans="1:26" s="15" customFormat="1" ht="20.25" customHeight="1">
      <c r="A101" s="16" t="s">
        <v>24</v>
      </c>
      <c r="B101" s="21">
        <f t="shared" si="59"/>
        <v>1269</v>
      </c>
      <c r="C101" s="21">
        <f t="shared" si="59"/>
        <v>1546</v>
      </c>
      <c r="D101" s="20">
        <f t="shared" si="60"/>
        <v>2815</v>
      </c>
      <c r="E101" s="12">
        <f t="shared" si="61"/>
        <v>459</v>
      </c>
      <c r="F101" s="12">
        <f t="shared" si="61"/>
        <v>165</v>
      </c>
      <c r="G101" s="12">
        <f t="shared" si="61"/>
        <v>156</v>
      </c>
      <c r="H101" s="106">
        <f t="shared" si="67"/>
        <v>5.461660694086855</v>
      </c>
      <c r="I101" s="13">
        <f t="shared" si="62"/>
        <v>0.1630550621669627</v>
      </c>
      <c r="J101" s="13">
        <f t="shared" si="63"/>
        <v>0.0586145648312611</v>
      </c>
      <c r="K101" s="24">
        <f t="shared" si="64"/>
        <v>635.0503256364713</v>
      </c>
      <c r="L101" s="14">
        <f t="shared" si="65"/>
        <v>239310</v>
      </c>
      <c r="M101" s="39">
        <f>+D101/30</f>
        <v>93.83333333333333</v>
      </c>
      <c r="N101" s="27">
        <f>2772-231</f>
        <v>2541</v>
      </c>
      <c r="O101" s="28">
        <f t="shared" si="66"/>
        <v>274</v>
      </c>
      <c r="P101" s="30">
        <f t="shared" si="68"/>
        <v>1.107831562377017</v>
      </c>
      <c r="R101" s="42"/>
      <c r="S101" s="42"/>
      <c r="T101"/>
      <c r="U101"/>
      <c r="V101"/>
      <c r="W101"/>
      <c r="X101"/>
      <c r="Y101"/>
      <c r="Z101"/>
    </row>
    <row r="102" spans="1:26" s="15" customFormat="1" ht="20.25" customHeight="1">
      <c r="A102" s="16" t="s">
        <v>25</v>
      </c>
      <c r="B102" s="21">
        <f t="shared" si="59"/>
        <v>1496</v>
      </c>
      <c r="C102" s="21">
        <f t="shared" si="59"/>
        <v>1993</v>
      </c>
      <c r="D102" s="20">
        <f t="shared" si="60"/>
        <v>3489</v>
      </c>
      <c r="E102" s="12">
        <f t="shared" si="61"/>
        <v>586</v>
      </c>
      <c r="F102" s="12">
        <f t="shared" si="61"/>
        <v>181</v>
      </c>
      <c r="G102" s="12">
        <f t="shared" si="61"/>
        <v>256</v>
      </c>
      <c r="H102" s="106">
        <f t="shared" si="67"/>
        <v>6.769354941978343</v>
      </c>
      <c r="I102" s="13">
        <f t="shared" si="62"/>
        <v>0.16795643450845515</v>
      </c>
      <c r="J102" s="13">
        <f t="shared" si="63"/>
        <v>0.05187732874749212</v>
      </c>
      <c r="K102" s="24">
        <f t="shared" si="64"/>
        <v>512.3722174453043</v>
      </c>
      <c r="L102" s="14">
        <f t="shared" si="65"/>
        <v>290970</v>
      </c>
      <c r="M102" s="39">
        <f>+D102/31</f>
        <v>112.54838709677419</v>
      </c>
      <c r="N102" s="27">
        <f>3236-288</f>
        <v>2948</v>
      </c>
      <c r="O102" s="28">
        <f t="shared" si="66"/>
        <v>541</v>
      </c>
      <c r="P102" s="30">
        <f t="shared" si="68"/>
        <v>1.1835142469470827</v>
      </c>
      <c r="S102" s="42"/>
      <c r="T102"/>
      <c r="U102"/>
      <c r="V102"/>
      <c r="W102"/>
      <c r="X102"/>
      <c r="Y102"/>
      <c r="Z102"/>
    </row>
    <row r="103" spans="1:26" s="15" customFormat="1" ht="20.25" customHeight="1" thickBot="1">
      <c r="A103" s="57" t="s">
        <v>26</v>
      </c>
      <c r="B103" s="58">
        <f t="shared" si="59"/>
        <v>1131</v>
      </c>
      <c r="C103" s="58">
        <f t="shared" si="59"/>
        <v>1503</v>
      </c>
      <c r="D103" s="58">
        <f t="shared" si="60"/>
        <v>2634</v>
      </c>
      <c r="E103" s="58">
        <f t="shared" si="61"/>
        <v>404</v>
      </c>
      <c r="F103" s="58">
        <f t="shared" si="61"/>
        <v>140</v>
      </c>
      <c r="G103" s="58">
        <f t="shared" si="61"/>
        <v>165</v>
      </c>
      <c r="H103" s="107">
        <f t="shared" si="67"/>
        <v>5.110484642353384</v>
      </c>
      <c r="I103" s="60">
        <f t="shared" si="62"/>
        <v>0.1533788914198937</v>
      </c>
      <c r="J103" s="60">
        <f t="shared" si="63"/>
        <v>0.05315110098709187</v>
      </c>
      <c r="K103" s="61">
        <f t="shared" si="64"/>
        <v>678.6889395089851</v>
      </c>
      <c r="L103" s="62">
        <f t="shared" si="65"/>
        <v>222210</v>
      </c>
      <c r="M103" s="63">
        <f>+D103/30</f>
        <v>87.8</v>
      </c>
      <c r="N103" s="64">
        <f>3106-250</f>
        <v>2856</v>
      </c>
      <c r="O103" s="65">
        <f t="shared" si="66"/>
        <v>-222</v>
      </c>
      <c r="P103" s="66">
        <f t="shared" si="68"/>
        <v>0.9222689075630253</v>
      </c>
      <c r="T103"/>
      <c r="U103"/>
      <c r="V103"/>
      <c r="W103"/>
      <c r="X103"/>
      <c r="Y103"/>
      <c r="Z103"/>
    </row>
    <row r="104" spans="1:26" s="15" customFormat="1" ht="20.25" customHeight="1" thickBot="1" thickTop="1">
      <c r="A104" s="48" t="s">
        <v>29</v>
      </c>
      <c r="B104" s="50">
        <f aca="true" t="shared" si="69" ref="B104:G104">SUM(B98:B103)</f>
        <v>7801</v>
      </c>
      <c r="C104" s="50">
        <f t="shared" si="69"/>
        <v>9604</v>
      </c>
      <c r="D104" s="50">
        <f t="shared" si="69"/>
        <v>17405</v>
      </c>
      <c r="E104" s="50">
        <f t="shared" si="69"/>
        <v>2748</v>
      </c>
      <c r="F104" s="50">
        <f t="shared" si="69"/>
        <v>979</v>
      </c>
      <c r="G104" s="50">
        <f t="shared" si="69"/>
        <v>1181</v>
      </c>
      <c r="H104" s="108">
        <f t="shared" si="67"/>
        <v>33.7691667426578</v>
      </c>
      <c r="I104" s="43">
        <f t="shared" si="62"/>
        <v>0.15788566503878196</v>
      </c>
      <c r="J104" s="43">
        <f t="shared" si="63"/>
        <v>0.056248204538925595</v>
      </c>
      <c r="K104" s="44">
        <f>+((20000000/12+69000+52000)*6)/D104</f>
        <v>616.2596954898017</v>
      </c>
      <c r="L104" s="52">
        <f>SUM(L98:L103)</f>
        <v>1460160</v>
      </c>
      <c r="M104" s="53">
        <f>+D104/(31+28+31+30+31+30)</f>
        <v>96.16022099447514</v>
      </c>
      <c r="N104" s="52">
        <f>SUM(N98:N103)</f>
        <v>15756</v>
      </c>
      <c r="O104" s="46">
        <f>+D104-N104</f>
        <v>1649</v>
      </c>
      <c r="P104" s="47">
        <f>+D104/N104</f>
        <v>1.1046585427773548</v>
      </c>
      <c r="T104"/>
      <c r="U104"/>
      <c r="V104"/>
      <c r="W104"/>
      <c r="X104"/>
      <c r="Y104"/>
      <c r="Z104"/>
    </row>
    <row r="105" spans="1:26" s="15" customFormat="1" ht="20.25" customHeight="1" thickTop="1">
      <c r="A105" s="16" t="s">
        <v>27</v>
      </c>
      <c r="B105" s="21">
        <f aca="true" t="shared" si="70" ref="B105:C110">+B86+B68+B49+B31+B13</f>
        <v>1594</v>
      </c>
      <c r="C105" s="21">
        <f t="shared" si="70"/>
        <v>2080</v>
      </c>
      <c r="D105" s="20">
        <f t="shared" si="60"/>
        <v>3674</v>
      </c>
      <c r="E105" s="12">
        <f aca="true" t="shared" si="71" ref="E105:G110">+E86+E68+E49+E31+E13</f>
        <v>479</v>
      </c>
      <c r="F105" s="12">
        <f t="shared" si="71"/>
        <v>193</v>
      </c>
      <c r="G105" s="12">
        <f t="shared" si="71"/>
        <v>190</v>
      </c>
      <c r="H105" s="106">
        <f t="shared" si="67"/>
        <v>7.128291790435206</v>
      </c>
      <c r="I105" s="13">
        <f t="shared" si="62"/>
        <v>0.13037561241154055</v>
      </c>
      <c r="J105" s="13">
        <f t="shared" si="63"/>
        <v>0.05253130103429505</v>
      </c>
      <c r="K105" s="24">
        <f t="shared" si="64"/>
        <v>486.57230992560335</v>
      </c>
      <c r="L105" s="14">
        <f t="shared" si="65"/>
        <v>313560</v>
      </c>
      <c r="M105" s="39">
        <f>+D105/31</f>
        <v>118.51612903225806</v>
      </c>
      <c r="N105" s="20">
        <f>+N86+N68+N49+N31+N13</f>
        <v>2907</v>
      </c>
      <c r="O105" s="28">
        <f t="shared" si="66"/>
        <v>767</v>
      </c>
      <c r="P105" s="30">
        <f t="shared" si="68"/>
        <v>1.263845889232886</v>
      </c>
      <c r="R105" s="42"/>
      <c r="T105"/>
      <c r="U105"/>
      <c r="V105"/>
      <c r="W105"/>
      <c r="X105"/>
      <c r="Y105"/>
      <c r="Z105"/>
    </row>
    <row r="106" spans="1:26" s="15" customFormat="1" ht="20.25" customHeight="1">
      <c r="A106" s="11" t="s">
        <v>30</v>
      </c>
      <c r="B106" s="21">
        <f t="shared" si="70"/>
        <v>1358</v>
      </c>
      <c r="C106" s="21">
        <f t="shared" si="70"/>
        <v>1859</v>
      </c>
      <c r="D106" s="20">
        <f>SUM(B106:C106)</f>
        <v>3217</v>
      </c>
      <c r="E106" s="12">
        <f t="shared" si="71"/>
        <v>509</v>
      </c>
      <c r="F106" s="12">
        <f t="shared" si="71"/>
        <v>188</v>
      </c>
      <c r="G106" s="12">
        <f t="shared" si="71"/>
        <v>194</v>
      </c>
      <c r="H106" s="106">
        <f t="shared" si="67"/>
        <v>6.241620764787713</v>
      </c>
      <c r="I106" s="13">
        <f t="shared" si="62"/>
        <v>0.15822194591234068</v>
      </c>
      <c r="J106" s="13">
        <f t="shared" si="63"/>
        <v>0.05843953994404725</v>
      </c>
      <c r="K106" s="24">
        <f t="shared" si="64"/>
        <v>555.6937104963216</v>
      </c>
      <c r="L106" s="14">
        <f t="shared" si="65"/>
        <v>272070</v>
      </c>
      <c r="M106" s="39">
        <f>+D106/31</f>
        <v>103.7741935483871</v>
      </c>
      <c r="N106" s="20">
        <f>+N87+N69+N50+N32+N14</f>
        <v>2860</v>
      </c>
      <c r="O106" s="28">
        <f t="shared" si="66"/>
        <v>357</v>
      </c>
      <c r="P106" s="30">
        <f t="shared" si="68"/>
        <v>1.1248251748251747</v>
      </c>
      <c r="T106"/>
      <c r="U106"/>
      <c r="V106"/>
      <c r="W106"/>
      <c r="X106"/>
      <c r="Y106"/>
      <c r="Z106"/>
    </row>
    <row r="107" spans="1:26" s="15" customFormat="1" ht="20.25" customHeight="1" thickBot="1">
      <c r="A107" s="11" t="s">
        <v>31</v>
      </c>
      <c r="B107" s="21">
        <f t="shared" si="70"/>
        <v>1121</v>
      </c>
      <c r="C107" s="21">
        <f t="shared" si="70"/>
        <v>1503</v>
      </c>
      <c r="D107" s="20">
        <f>SUM(B107:C107)</f>
        <v>2624</v>
      </c>
      <c r="E107" s="12">
        <f t="shared" si="71"/>
        <v>433</v>
      </c>
      <c r="F107" s="12">
        <f t="shared" si="71"/>
        <v>188</v>
      </c>
      <c r="G107" s="12">
        <f t="shared" si="71"/>
        <v>187</v>
      </c>
      <c r="H107" s="106">
        <f t="shared" si="67"/>
        <v>5.091082650544904</v>
      </c>
      <c r="I107" s="13">
        <f t="shared" si="62"/>
        <v>0.16501524390243902</v>
      </c>
      <c r="J107" s="13">
        <f t="shared" si="63"/>
        <v>0.07164634146341463</v>
      </c>
      <c r="K107" s="24">
        <f t="shared" si="64"/>
        <v>681.275406504065</v>
      </c>
      <c r="L107" s="14">
        <f t="shared" si="65"/>
        <v>219330</v>
      </c>
      <c r="M107" s="39">
        <f>+D107/30</f>
        <v>87.46666666666667</v>
      </c>
      <c r="N107" s="20">
        <f>+N88+N70+N51+N33+N15</f>
        <v>2060</v>
      </c>
      <c r="O107" s="28">
        <f t="shared" si="66"/>
        <v>564</v>
      </c>
      <c r="P107" s="30">
        <f t="shared" si="68"/>
        <v>1.2737864077669903</v>
      </c>
      <c r="T107"/>
      <c r="U107"/>
      <c r="V107"/>
      <c r="W107"/>
      <c r="X107"/>
      <c r="Y107"/>
      <c r="Z107"/>
    </row>
    <row r="108" spans="1:26" s="15" customFormat="1" ht="20.25" customHeight="1" hidden="1">
      <c r="A108" s="11" t="s">
        <v>32</v>
      </c>
      <c r="B108" s="21">
        <f t="shared" si="70"/>
        <v>0</v>
      </c>
      <c r="C108" s="21">
        <f t="shared" si="70"/>
        <v>0</v>
      </c>
      <c r="D108" s="20">
        <f>SUM(B108:C108)</f>
        <v>0</v>
      </c>
      <c r="E108" s="12">
        <f t="shared" si="71"/>
        <v>0</v>
      </c>
      <c r="F108" s="12">
        <f t="shared" si="71"/>
        <v>0</v>
      </c>
      <c r="G108" s="12">
        <f t="shared" si="71"/>
        <v>0</v>
      </c>
      <c r="H108" s="106">
        <f t="shared" si="67"/>
        <v>0</v>
      </c>
      <c r="I108" s="13" t="e">
        <f t="shared" si="62"/>
        <v>#DIV/0!</v>
      </c>
      <c r="J108" s="13" t="e">
        <f t="shared" si="63"/>
        <v>#DIV/0!</v>
      </c>
      <c r="K108" s="24" t="e">
        <f t="shared" si="64"/>
        <v>#DIV/0!</v>
      </c>
      <c r="L108" s="14">
        <f t="shared" si="65"/>
        <v>0</v>
      </c>
      <c r="M108" s="39">
        <f>+D108/31</f>
        <v>0</v>
      </c>
      <c r="N108" s="27"/>
      <c r="O108" s="28">
        <f t="shared" si="66"/>
        <v>0</v>
      </c>
      <c r="P108" s="30" t="e">
        <f t="shared" si="68"/>
        <v>#DIV/0!</v>
      </c>
      <c r="T108"/>
      <c r="U108"/>
      <c r="V108"/>
      <c r="W108"/>
      <c r="X108"/>
      <c r="Y108"/>
      <c r="Z108"/>
    </row>
    <row r="109" spans="1:26" s="15" customFormat="1" ht="20.25" customHeight="1" hidden="1">
      <c r="A109" s="11" t="s">
        <v>33</v>
      </c>
      <c r="B109" s="21">
        <f t="shared" si="70"/>
        <v>0</v>
      </c>
      <c r="C109" s="21">
        <f t="shared" si="70"/>
        <v>0</v>
      </c>
      <c r="D109" s="20">
        <f>SUM(B109:C109)</f>
        <v>0</v>
      </c>
      <c r="E109" s="12">
        <f t="shared" si="71"/>
        <v>0</v>
      </c>
      <c r="F109" s="12">
        <f t="shared" si="71"/>
        <v>0</v>
      </c>
      <c r="G109" s="12">
        <f t="shared" si="71"/>
        <v>0</v>
      </c>
      <c r="H109" s="106">
        <f t="shared" si="67"/>
        <v>0</v>
      </c>
      <c r="I109" s="13" t="e">
        <f t="shared" si="62"/>
        <v>#DIV/0!</v>
      </c>
      <c r="J109" s="13" t="e">
        <f t="shared" si="63"/>
        <v>#DIV/0!</v>
      </c>
      <c r="K109" s="24" t="e">
        <f t="shared" si="64"/>
        <v>#DIV/0!</v>
      </c>
      <c r="L109" s="14">
        <f t="shared" si="65"/>
        <v>0</v>
      </c>
      <c r="M109" s="39">
        <f>+D109/30</f>
        <v>0</v>
      </c>
      <c r="N109" s="27"/>
      <c r="O109" s="28">
        <f t="shared" si="66"/>
        <v>0</v>
      </c>
      <c r="P109" s="30" t="e">
        <f t="shared" si="68"/>
        <v>#DIV/0!</v>
      </c>
      <c r="T109"/>
      <c r="U109"/>
      <c r="V109"/>
      <c r="W109"/>
      <c r="X109"/>
      <c r="Y109"/>
      <c r="Z109"/>
    </row>
    <row r="110" spans="1:26" s="15" customFormat="1" ht="20.25" customHeight="1" hidden="1" thickBot="1">
      <c r="A110" s="82" t="s">
        <v>34</v>
      </c>
      <c r="B110" s="99">
        <f t="shared" si="70"/>
        <v>0</v>
      </c>
      <c r="C110" s="99">
        <f t="shared" si="70"/>
        <v>0</v>
      </c>
      <c r="D110" s="84">
        <f>SUM(B110:C110)</f>
        <v>0</v>
      </c>
      <c r="E110" s="83">
        <f t="shared" si="71"/>
        <v>0</v>
      </c>
      <c r="F110" s="83">
        <f t="shared" si="71"/>
        <v>0</v>
      </c>
      <c r="G110" s="83">
        <f t="shared" si="71"/>
        <v>0</v>
      </c>
      <c r="H110" s="109">
        <f t="shared" si="67"/>
        <v>0</v>
      </c>
      <c r="I110" s="85" t="e">
        <f t="shared" si="62"/>
        <v>#DIV/0!</v>
      </c>
      <c r="J110" s="85" t="e">
        <f t="shared" si="63"/>
        <v>#DIV/0!</v>
      </c>
      <c r="K110" s="86" t="e">
        <f t="shared" si="64"/>
        <v>#DIV/0!</v>
      </c>
      <c r="L110" s="87">
        <f t="shared" si="65"/>
        <v>0</v>
      </c>
      <c r="M110" s="88">
        <f>+D110/31</f>
        <v>0</v>
      </c>
      <c r="N110" s="89"/>
      <c r="O110" s="90">
        <f t="shared" si="66"/>
        <v>0</v>
      </c>
      <c r="P110" s="91" t="e">
        <f t="shared" si="68"/>
        <v>#DIV/0!</v>
      </c>
      <c r="T110"/>
      <c r="U110"/>
      <c r="V110"/>
      <c r="W110"/>
      <c r="X110"/>
      <c r="Y110"/>
      <c r="Z110"/>
    </row>
    <row r="111" spans="1:26" s="15" customFormat="1" ht="20.25" customHeight="1" thickBot="1" thickTop="1">
      <c r="A111" s="92" t="s">
        <v>57</v>
      </c>
      <c r="B111" s="93">
        <f aca="true" t="shared" si="72" ref="B111:G111">SUM(B105:B110)</f>
        <v>4073</v>
      </c>
      <c r="C111" s="93">
        <f t="shared" si="72"/>
        <v>5442</v>
      </c>
      <c r="D111" s="93">
        <f t="shared" si="72"/>
        <v>9515</v>
      </c>
      <c r="E111" s="93">
        <f t="shared" si="72"/>
        <v>1421</v>
      </c>
      <c r="F111" s="93">
        <f t="shared" si="72"/>
        <v>569</v>
      </c>
      <c r="G111" s="98">
        <f t="shared" si="72"/>
        <v>571</v>
      </c>
      <c r="H111" s="110">
        <f>(D111/Y7)*1000</f>
        <v>18.460995205767823</v>
      </c>
      <c r="I111" s="94">
        <f t="shared" si="62"/>
        <v>0.14934314240672622</v>
      </c>
      <c r="J111" s="94">
        <f t="shared" si="63"/>
        <v>0.05980031529164477</v>
      </c>
      <c r="K111" s="67">
        <f>+(20000000/4+363000)/D111</f>
        <v>563.6363636363636</v>
      </c>
      <c r="L111" s="67">
        <f t="shared" si="65"/>
        <v>804960</v>
      </c>
      <c r="M111" s="68">
        <f>+D111/(31+31+30)</f>
        <v>103.42391304347827</v>
      </c>
      <c r="N111" s="95">
        <f>SUM(N105:N107)</f>
        <v>7827</v>
      </c>
      <c r="O111" s="96">
        <f t="shared" si="66"/>
        <v>1688</v>
      </c>
      <c r="P111" s="97">
        <f t="shared" si="68"/>
        <v>1.2156637281206082</v>
      </c>
      <c r="T111"/>
      <c r="U111"/>
      <c r="V111"/>
      <c r="W111"/>
      <c r="X111"/>
      <c r="Y111"/>
      <c r="Z111"/>
    </row>
    <row r="112" spans="1:17" s="15" customFormat="1" ht="20.25" customHeight="1" thickBot="1" thickTop="1">
      <c r="A112" s="18" t="s">
        <v>56</v>
      </c>
      <c r="B112" s="22">
        <f aca="true" t="shared" si="73" ref="B112:G112">+B111+B104</f>
        <v>11874</v>
      </c>
      <c r="C112" s="22">
        <f t="shared" si="73"/>
        <v>15046</v>
      </c>
      <c r="D112" s="22">
        <f t="shared" si="73"/>
        <v>26920</v>
      </c>
      <c r="E112" s="22">
        <f t="shared" si="73"/>
        <v>4169</v>
      </c>
      <c r="F112" s="22">
        <f t="shared" si="73"/>
        <v>1548</v>
      </c>
      <c r="G112" s="19">
        <f t="shared" si="73"/>
        <v>1752</v>
      </c>
      <c r="H112" s="111">
        <f>(D112/Y7)*1000</f>
        <v>52.230161948425625</v>
      </c>
      <c r="I112" s="25">
        <f t="shared" si="62"/>
        <v>0.1548662704309064</v>
      </c>
      <c r="J112" s="25">
        <f t="shared" si="63"/>
        <v>0.0575037147102526</v>
      </c>
      <c r="K112" s="26">
        <f>+(15000000+1089000)/D112</f>
        <v>597.6597325408618</v>
      </c>
      <c r="L112" s="35">
        <f>+(D112-G112)*90</f>
        <v>2265120</v>
      </c>
      <c r="M112" s="40">
        <f>+D112/273</f>
        <v>98.60805860805861</v>
      </c>
      <c r="N112" s="29">
        <f>SUM(N104,N111)</f>
        <v>23583</v>
      </c>
      <c r="O112" s="31">
        <f>+D112-N112</f>
        <v>3337</v>
      </c>
      <c r="P112" s="32">
        <f t="shared" si="68"/>
        <v>1.141500233218844</v>
      </c>
      <c r="Q112" s="42"/>
    </row>
    <row r="113" ht="2.25" customHeight="1"/>
    <row r="114" ht="3" customHeight="1"/>
    <row r="115" ht="4.5" customHeight="1"/>
    <row r="116" ht="12.75" hidden="1"/>
    <row r="117" ht="4.5" customHeight="1"/>
  </sheetData>
  <mergeCells count="18">
    <mergeCell ref="B4:L4"/>
    <mergeCell ref="A4:A5"/>
    <mergeCell ref="O4:P4"/>
    <mergeCell ref="A22:A23"/>
    <mergeCell ref="B22:L22"/>
    <mergeCell ref="O22:P22"/>
    <mergeCell ref="A40:A41"/>
    <mergeCell ref="B40:L40"/>
    <mergeCell ref="O40:P40"/>
    <mergeCell ref="A59:A60"/>
    <mergeCell ref="B59:L59"/>
    <mergeCell ref="O59:P59"/>
    <mergeCell ref="A77:A78"/>
    <mergeCell ref="B77:L77"/>
    <mergeCell ref="O77:P77"/>
    <mergeCell ref="A96:A97"/>
    <mergeCell ref="B96:L96"/>
    <mergeCell ref="O96:P96"/>
  </mergeCells>
  <printOptions horizontalCentered="1"/>
  <pageMargins left="0.1968503937007874" right="0.2362204724409449" top="0.57" bottom="0.49" header="0.31" footer="0.2362204724409449"/>
  <pageSetup horizontalDpi="600" verticalDpi="600" orientation="portrait" paperSize="9" scale="65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8.875" style="0" customWidth="1"/>
    <col min="2" max="3" width="7.375" style="0" customWidth="1"/>
    <col min="4" max="4" width="9.25390625" style="0" customWidth="1"/>
    <col min="6" max="6" width="9.75390625" style="0" customWidth="1"/>
    <col min="7" max="7" width="9.375" style="0" customWidth="1"/>
    <col min="8" max="8" width="9.125" style="112" customWidth="1"/>
    <col min="9" max="9" width="10.25390625" style="9" customWidth="1"/>
    <col min="10" max="11" width="10.75390625" style="0" customWidth="1"/>
    <col min="12" max="12" width="12.00390625" style="0" customWidth="1"/>
    <col min="13" max="13" width="10.125" style="130" customWidth="1"/>
    <col min="14" max="14" width="10.75390625" style="2" customWidth="1"/>
    <col min="15" max="16" width="8.875" style="0" customWidth="1"/>
    <col min="18" max="18" width="10.375" style="0" bestFit="1" customWidth="1"/>
    <col min="19" max="19" width="13.875" style="0" customWidth="1"/>
  </cols>
  <sheetData>
    <row r="1" spans="1:15" ht="18" customHeight="1">
      <c r="A1" s="34" t="s">
        <v>55</v>
      </c>
      <c r="B1" s="119"/>
      <c r="C1" s="119"/>
      <c r="D1" s="119"/>
      <c r="E1" s="119"/>
      <c r="F1" s="119"/>
      <c r="G1" s="119"/>
      <c r="O1" s="81"/>
    </row>
    <row r="2" spans="1:15" ht="18.75" customHeight="1">
      <c r="A2" s="34"/>
      <c r="E2" s="124"/>
      <c r="F2" s="124"/>
      <c r="G2" s="124"/>
      <c r="H2" s="124"/>
      <c r="I2" s="124"/>
      <c r="J2" s="124"/>
      <c r="K2" s="124"/>
      <c r="O2" s="81"/>
    </row>
    <row r="3" ht="16.5" thickBot="1">
      <c r="A3" s="8" t="s">
        <v>51</v>
      </c>
    </row>
    <row r="4" spans="1:16" ht="15" customHeight="1">
      <c r="A4" s="140" t="s">
        <v>7</v>
      </c>
      <c r="B4" s="142">
        <v>2009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31"/>
      <c r="N4" s="6">
        <v>2008</v>
      </c>
      <c r="O4" s="144" t="s">
        <v>45</v>
      </c>
      <c r="P4" s="145"/>
    </row>
    <row r="5" spans="1:28" s="1" customFormat="1" ht="52.5" customHeight="1" thickBot="1">
      <c r="A5" s="141"/>
      <c r="B5" s="3" t="s">
        <v>3</v>
      </c>
      <c r="C5" s="3" t="s">
        <v>4</v>
      </c>
      <c r="D5" s="3" t="s">
        <v>18</v>
      </c>
      <c r="E5" s="23" t="s">
        <v>10</v>
      </c>
      <c r="F5" s="10" t="s">
        <v>9</v>
      </c>
      <c r="G5" s="10" t="s">
        <v>11</v>
      </c>
      <c r="H5" s="113" t="s">
        <v>44</v>
      </c>
      <c r="I5" s="10" t="s">
        <v>21</v>
      </c>
      <c r="J5" s="23" t="s">
        <v>20</v>
      </c>
      <c r="K5" s="3" t="s">
        <v>19</v>
      </c>
      <c r="L5" s="5" t="s">
        <v>6</v>
      </c>
      <c r="M5" s="132" t="s">
        <v>22</v>
      </c>
      <c r="N5" s="33" t="s">
        <v>18</v>
      </c>
      <c r="O5" s="7" t="s">
        <v>8</v>
      </c>
      <c r="P5" s="4" t="s">
        <v>5</v>
      </c>
      <c r="S5" s="104" t="s">
        <v>50</v>
      </c>
      <c r="U5" s="2"/>
      <c r="V5" s="2"/>
      <c r="W5" s="2"/>
      <c r="X5" s="2"/>
      <c r="Y5" s="2"/>
      <c r="Z5" s="2"/>
      <c r="AA5" s="2"/>
      <c r="AB5" s="2"/>
    </row>
    <row r="6" spans="1:25" s="15" customFormat="1" ht="20.25" customHeight="1">
      <c r="A6" s="11" t="s">
        <v>0</v>
      </c>
      <c r="B6" s="125" t="s">
        <v>53</v>
      </c>
      <c r="C6" s="12">
        <v>63</v>
      </c>
      <c r="D6" s="12">
        <f aca="true" t="shared" si="0" ref="D6:D13">SUM(B6:C6)</f>
        <v>63</v>
      </c>
      <c r="E6" s="12">
        <v>10</v>
      </c>
      <c r="F6" s="12">
        <v>9</v>
      </c>
      <c r="G6" s="12">
        <v>6</v>
      </c>
      <c r="H6" s="106">
        <f>(D6/W7)*1000</f>
        <v>0.5524958782053531</v>
      </c>
      <c r="I6" s="13">
        <f aca="true" t="shared" si="1" ref="I6:I20">+E6/D6</f>
        <v>0.15873015873015872</v>
      </c>
      <c r="J6" s="13">
        <f aca="true" t="shared" si="2" ref="J6:J20">+F6/D6</f>
        <v>0.14285714285714285</v>
      </c>
      <c r="K6" s="24">
        <f>+(312000/6)/D6</f>
        <v>825.3968253968254</v>
      </c>
      <c r="L6" s="14">
        <f>(D6-G6)*90</f>
        <v>5130</v>
      </c>
      <c r="M6" s="133">
        <f>+D6/15</f>
        <v>4.2</v>
      </c>
      <c r="N6" s="20">
        <v>61</v>
      </c>
      <c r="O6" s="28">
        <f aca="true" t="shared" si="3" ref="O6:O20">+D6-N6</f>
        <v>2</v>
      </c>
      <c r="P6" s="30">
        <f aca="true" t="shared" si="4" ref="P6:P20">+D6/N6</f>
        <v>1.0327868852459017</v>
      </c>
      <c r="S6" s="17" t="s">
        <v>36</v>
      </c>
      <c r="T6" s="105" t="s">
        <v>38</v>
      </c>
      <c r="U6" s="105" t="s">
        <v>39</v>
      </c>
      <c r="V6" s="105" t="s">
        <v>40</v>
      </c>
      <c r="W6" s="105" t="s">
        <v>41</v>
      </c>
      <c r="X6" s="105" t="s">
        <v>42</v>
      </c>
      <c r="Y6" s="105" t="s">
        <v>43</v>
      </c>
    </row>
    <row r="7" spans="1:25" s="15" customFormat="1" ht="20.25" customHeight="1">
      <c r="A7" s="16" t="s">
        <v>1</v>
      </c>
      <c r="B7" s="125" t="s">
        <v>53</v>
      </c>
      <c r="C7" s="12">
        <v>47</v>
      </c>
      <c r="D7" s="12">
        <f t="shared" si="0"/>
        <v>47</v>
      </c>
      <c r="E7" s="12">
        <v>4</v>
      </c>
      <c r="F7" s="12">
        <v>1</v>
      </c>
      <c r="G7" s="12">
        <v>1</v>
      </c>
      <c r="H7" s="106">
        <f>(D7/W7)*1000</f>
        <v>0.41217946469288247</v>
      </c>
      <c r="I7" s="13">
        <f t="shared" si="1"/>
        <v>0.0851063829787234</v>
      </c>
      <c r="J7" s="13">
        <f t="shared" si="2"/>
        <v>0.02127659574468085</v>
      </c>
      <c r="K7" s="24">
        <f aca="true" t="shared" si="5" ref="K7:K15">+(312000/6)/D7</f>
        <v>1106.3829787234042</v>
      </c>
      <c r="L7" s="14">
        <f aca="true" t="shared" si="6" ref="L7:L13">(D7-G7)*90</f>
        <v>4140</v>
      </c>
      <c r="M7" s="133">
        <f>+D7/12</f>
        <v>3.9166666666666665</v>
      </c>
      <c r="N7" s="20">
        <v>52</v>
      </c>
      <c r="O7" s="28">
        <f t="shared" si="3"/>
        <v>-5</v>
      </c>
      <c r="P7" s="30">
        <f t="shared" si="4"/>
        <v>0.9038461538461539</v>
      </c>
      <c r="S7" s="17" t="s">
        <v>37</v>
      </c>
      <c r="T7" s="21">
        <v>96079</v>
      </c>
      <c r="U7" s="21">
        <v>112031</v>
      </c>
      <c r="V7" s="21">
        <v>73227</v>
      </c>
      <c r="W7" s="21">
        <v>114028</v>
      </c>
      <c r="X7" s="21">
        <v>120046</v>
      </c>
      <c r="Y7" s="21">
        <f>SUM(T7:X7)</f>
        <v>515411</v>
      </c>
    </row>
    <row r="8" spans="1:26" s="15" customFormat="1" ht="20.25" customHeight="1">
      <c r="A8" s="16" t="s">
        <v>2</v>
      </c>
      <c r="B8" s="125" t="s">
        <v>53</v>
      </c>
      <c r="C8" s="12">
        <v>48</v>
      </c>
      <c r="D8" s="12">
        <f t="shared" si="0"/>
        <v>48</v>
      </c>
      <c r="E8" s="12">
        <v>6</v>
      </c>
      <c r="F8" s="12">
        <v>2</v>
      </c>
      <c r="G8" s="12">
        <v>2</v>
      </c>
      <c r="H8" s="106">
        <f>(D8/W7)*1000</f>
        <v>0.4209492405374119</v>
      </c>
      <c r="I8" s="13">
        <f t="shared" si="1"/>
        <v>0.125</v>
      </c>
      <c r="J8" s="13">
        <f t="shared" si="2"/>
        <v>0.041666666666666664</v>
      </c>
      <c r="K8" s="24">
        <f t="shared" si="5"/>
        <v>1083.3333333333333</v>
      </c>
      <c r="L8" s="14">
        <f t="shared" si="6"/>
        <v>4140</v>
      </c>
      <c r="M8" s="133">
        <f>+D8/12</f>
        <v>4</v>
      </c>
      <c r="N8" s="20">
        <v>83</v>
      </c>
      <c r="O8" s="28">
        <f t="shared" si="3"/>
        <v>-35</v>
      </c>
      <c r="P8" s="30">
        <f t="shared" si="4"/>
        <v>0.5783132530120482</v>
      </c>
      <c r="Z8"/>
    </row>
    <row r="9" spans="1:26" s="15" customFormat="1" ht="20.25" customHeight="1">
      <c r="A9" s="16" t="s">
        <v>24</v>
      </c>
      <c r="B9" s="125" t="s">
        <v>53</v>
      </c>
      <c r="C9" s="12">
        <v>54</v>
      </c>
      <c r="D9" s="12">
        <f t="shared" si="0"/>
        <v>54</v>
      </c>
      <c r="E9" s="12">
        <v>10</v>
      </c>
      <c r="F9" s="12">
        <v>3</v>
      </c>
      <c r="G9" s="12">
        <v>4</v>
      </c>
      <c r="H9" s="106">
        <f>(D9/W7)*1000</f>
        <v>0.47356789560458834</v>
      </c>
      <c r="I9" s="13">
        <f t="shared" si="1"/>
        <v>0.18518518518518517</v>
      </c>
      <c r="J9" s="13">
        <f t="shared" si="2"/>
        <v>0.05555555555555555</v>
      </c>
      <c r="K9" s="24">
        <f t="shared" si="5"/>
        <v>962.9629629629629</v>
      </c>
      <c r="L9" s="14">
        <f t="shared" si="6"/>
        <v>4500</v>
      </c>
      <c r="M9" s="133">
        <f>+D9/14</f>
        <v>3.857142857142857</v>
      </c>
      <c r="N9" s="20">
        <v>55</v>
      </c>
      <c r="O9" s="28">
        <f t="shared" si="3"/>
        <v>-1</v>
      </c>
      <c r="P9" s="30">
        <f t="shared" si="4"/>
        <v>0.9818181818181818</v>
      </c>
      <c r="T9"/>
      <c r="U9"/>
      <c r="V9"/>
      <c r="W9"/>
      <c r="X9"/>
      <c r="Y9"/>
      <c r="Z9"/>
    </row>
    <row r="10" spans="1:26" s="15" customFormat="1" ht="20.25" customHeight="1">
      <c r="A10" s="16" t="s">
        <v>25</v>
      </c>
      <c r="B10" s="125" t="s">
        <v>53</v>
      </c>
      <c r="C10" s="12">
        <v>62</v>
      </c>
      <c r="D10" s="12">
        <f t="shared" si="0"/>
        <v>62</v>
      </c>
      <c r="E10" s="12">
        <v>0</v>
      </c>
      <c r="F10" s="12">
        <v>0</v>
      </c>
      <c r="G10" s="12">
        <v>4</v>
      </c>
      <c r="H10" s="106">
        <f>(D10/W7)*1000</f>
        <v>0.5437261023608236</v>
      </c>
      <c r="I10" s="13">
        <f t="shared" si="1"/>
        <v>0</v>
      </c>
      <c r="J10" s="13">
        <f t="shared" si="2"/>
        <v>0</v>
      </c>
      <c r="K10" s="24">
        <f t="shared" si="5"/>
        <v>838.7096774193549</v>
      </c>
      <c r="L10" s="14">
        <f t="shared" si="6"/>
        <v>5220</v>
      </c>
      <c r="M10" s="133">
        <f>+D10/14</f>
        <v>4.428571428571429</v>
      </c>
      <c r="N10" s="20">
        <v>84</v>
      </c>
      <c r="O10" s="28">
        <f t="shared" si="3"/>
        <v>-22</v>
      </c>
      <c r="P10" s="30">
        <f t="shared" si="4"/>
        <v>0.7380952380952381</v>
      </c>
      <c r="R10" s="122"/>
      <c r="T10"/>
      <c r="U10"/>
      <c r="V10"/>
      <c r="W10"/>
      <c r="X10"/>
      <c r="Y10"/>
      <c r="Z10"/>
    </row>
    <row r="11" spans="1:26" s="15" customFormat="1" ht="20.25" customHeight="1" thickBot="1">
      <c r="A11" s="57" t="s">
        <v>26</v>
      </c>
      <c r="B11" s="126" t="s">
        <v>53</v>
      </c>
      <c r="C11" s="58">
        <v>54</v>
      </c>
      <c r="D11" s="58">
        <f t="shared" si="0"/>
        <v>54</v>
      </c>
      <c r="E11" s="58">
        <v>3</v>
      </c>
      <c r="F11" s="58">
        <v>1</v>
      </c>
      <c r="G11" s="58">
        <v>1</v>
      </c>
      <c r="H11" s="107">
        <f>(D11/W7)*1000</f>
        <v>0.47356789560458834</v>
      </c>
      <c r="I11" s="60">
        <f t="shared" si="1"/>
        <v>0.05555555555555555</v>
      </c>
      <c r="J11" s="60">
        <f t="shared" si="2"/>
        <v>0.018518518518518517</v>
      </c>
      <c r="K11" s="24">
        <f t="shared" si="5"/>
        <v>962.9629629629629</v>
      </c>
      <c r="L11" s="14">
        <f t="shared" si="6"/>
        <v>4770</v>
      </c>
      <c r="M11" s="134">
        <f>+D11/12</f>
        <v>4.5</v>
      </c>
      <c r="N11" s="59">
        <v>56</v>
      </c>
      <c r="O11" s="65">
        <f t="shared" si="3"/>
        <v>-2</v>
      </c>
      <c r="P11" s="66">
        <f t="shared" si="4"/>
        <v>0.9642857142857143</v>
      </c>
      <c r="R11" s="123"/>
      <c r="T11"/>
      <c r="U11" s="102"/>
      <c r="V11" s="102"/>
      <c r="W11"/>
      <c r="X11"/>
      <c r="Y11"/>
      <c r="Z11"/>
    </row>
    <row r="12" spans="1:26" s="15" customFormat="1" ht="18.75" customHeight="1" thickBot="1" thickTop="1">
      <c r="A12" s="48" t="s">
        <v>28</v>
      </c>
      <c r="B12" s="49">
        <f aca="true" t="shared" si="7" ref="B12:G12">SUM(B6:B11)</f>
        <v>0</v>
      </c>
      <c r="C12" s="49">
        <f t="shared" si="7"/>
        <v>328</v>
      </c>
      <c r="D12" s="49">
        <f t="shared" si="7"/>
        <v>328</v>
      </c>
      <c r="E12" s="49">
        <f t="shared" si="7"/>
        <v>33</v>
      </c>
      <c r="F12" s="49">
        <f t="shared" si="7"/>
        <v>16</v>
      </c>
      <c r="G12" s="49">
        <f t="shared" si="7"/>
        <v>18</v>
      </c>
      <c r="H12" s="108">
        <f>(D12/W7)*1000</f>
        <v>2.8764864770056477</v>
      </c>
      <c r="I12" s="43">
        <f t="shared" si="1"/>
        <v>0.10060975609756098</v>
      </c>
      <c r="J12" s="43">
        <f t="shared" si="2"/>
        <v>0.04878048780487805</v>
      </c>
      <c r="K12" s="67">
        <f>+(312000)/D12</f>
        <v>951.219512195122</v>
      </c>
      <c r="L12" s="67">
        <f t="shared" si="6"/>
        <v>27900</v>
      </c>
      <c r="M12" s="135">
        <f>+D12/(79)</f>
        <v>4.151898734177215</v>
      </c>
      <c r="N12" s="50">
        <f>SUM(N6:N11)</f>
        <v>391</v>
      </c>
      <c r="O12" s="46">
        <f t="shared" si="3"/>
        <v>-63</v>
      </c>
      <c r="P12" s="47">
        <f t="shared" si="4"/>
        <v>0.8388746803069054</v>
      </c>
      <c r="R12" s="122"/>
      <c r="T12" s="102"/>
      <c r="U12" s="102"/>
      <c r="V12" s="102"/>
      <c r="W12"/>
      <c r="X12"/>
      <c r="Y12"/>
      <c r="Z12"/>
    </row>
    <row r="13" spans="1:26" s="15" customFormat="1" ht="17.25" customHeight="1" thickTop="1">
      <c r="A13" s="11" t="s">
        <v>27</v>
      </c>
      <c r="B13" s="125" t="s">
        <v>53</v>
      </c>
      <c r="C13" s="12">
        <v>101</v>
      </c>
      <c r="D13" s="12">
        <f t="shared" si="0"/>
        <v>101</v>
      </c>
      <c r="E13" s="12">
        <v>7</v>
      </c>
      <c r="F13" s="12">
        <v>2</v>
      </c>
      <c r="G13" s="12">
        <v>2</v>
      </c>
      <c r="H13" s="106">
        <f>(D13/W7)*1000</f>
        <v>0.8857473602974708</v>
      </c>
      <c r="I13" s="13">
        <f t="shared" si="1"/>
        <v>0.06930693069306931</v>
      </c>
      <c r="J13" s="13">
        <f t="shared" si="2"/>
        <v>0.019801980198019802</v>
      </c>
      <c r="K13" s="24">
        <f t="shared" si="5"/>
        <v>514.8514851485148</v>
      </c>
      <c r="L13" s="14">
        <f t="shared" si="6"/>
        <v>8910</v>
      </c>
      <c r="M13" s="133">
        <f>+D13/14</f>
        <v>7.214285714285714</v>
      </c>
      <c r="N13" s="20">
        <v>68</v>
      </c>
      <c r="O13" s="28">
        <f t="shared" si="3"/>
        <v>33</v>
      </c>
      <c r="P13" s="30">
        <f t="shared" si="4"/>
        <v>1.4852941176470589</v>
      </c>
      <c r="R13" s="123"/>
      <c r="T13" s="102"/>
      <c r="U13" s="102"/>
      <c r="V13" s="102"/>
      <c r="W13"/>
      <c r="X13"/>
      <c r="Y13"/>
      <c r="Z13"/>
    </row>
    <row r="14" spans="1:26" s="15" customFormat="1" ht="17.25" customHeight="1">
      <c r="A14" s="11" t="s">
        <v>30</v>
      </c>
      <c r="B14" s="125" t="s">
        <v>53</v>
      </c>
      <c r="C14" s="12">
        <v>64</v>
      </c>
      <c r="D14" s="12">
        <f>SUM(B14:C14)</f>
        <v>64</v>
      </c>
      <c r="E14" s="12">
        <v>10</v>
      </c>
      <c r="F14" s="12">
        <v>4</v>
      </c>
      <c r="G14" s="12">
        <v>1</v>
      </c>
      <c r="H14" s="106">
        <f>(D14/W7)*1000</f>
        <v>0.5612656540498825</v>
      </c>
      <c r="I14" s="13">
        <f t="shared" si="1"/>
        <v>0.15625</v>
      </c>
      <c r="J14" s="13">
        <f t="shared" si="2"/>
        <v>0.0625</v>
      </c>
      <c r="K14" s="24">
        <f t="shared" si="5"/>
        <v>812.5</v>
      </c>
      <c r="L14" s="14">
        <f aca="true" t="shared" si="8" ref="L14:L19">+(D14-G14)*90</f>
        <v>5670</v>
      </c>
      <c r="M14" s="133">
        <f>+D14/14</f>
        <v>4.571428571428571</v>
      </c>
      <c r="N14" s="27">
        <v>80</v>
      </c>
      <c r="O14" s="28">
        <f t="shared" si="3"/>
        <v>-16</v>
      </c>
      <c r="P14" s="30">
        <f t="shared" si="4"/>
        <v>0.8</v>
      </c>
      <c r="R14" s="122"/>
      <c r="T14" s="102"/>
      <c r="U14" s="102"/>
      <c r="V14" s="102"/>
      <c r="W14"/>
      <c r="X14"/>
      <c r="Y14"/>
      <c r="Z14"/>
    </row>
    <row r="15" spans="1:26" s="15" customFormat="1" ht="17.25" customHeight="1">
      <c r="A15" s="11" t="s">
        <v>31</v>
      </c>
      <c r="B15" s="125" t="s">
        <v>53</v>
      </c>
      <c r="C15" s="12">
        <v>33</v>
      </c>
      <c r="D15" s="12">
        <f>SUM(B15:C15)</f>
        <v>33</v>
      </c>
      <c r="E15" s="12">
        <v>1</v>
      </c>
      <c r="F15" s="12">
        <v>0</v>
      </c>
      <c r="G15" s="12">
        <v>0</v>
      </c>
      <c r="H15" s="106">
        <f>(D15/W7)*1000</f>
        <v>0.28940260286947067</v>
      </c>
      <c r="I15" s="13">
        <f t="shared" si="1"/>
        <v>0.030303030303030304</v>
      </c>
      <c r="J15" s="13">
        <f t="shared" si="2"/>
        <v>0</v>
      </c>
      <c r="K15" s="24">
        <f t="shared" si="5"/>
        <v>1575.7575757575758</v>
      </c>
      <c r="L15" s="14">
        <f t="shared" si="8"/>
        <v>2970</v>
      </c>
      <c r="M15" s="133">
        <f>+D15/13</f>
        <v>2.5384615384615383</v>
      </c>
      <c r="N15" s="27">
        <v>44</v>
      </c>
      <c r="O15" s="28">
        <f t="shared" si="3"/>
        <v>-11</v>
      </c>
      <c r="P15" s="30">
        <f t="shared" si="4"/>
        <v>0.75</v>
      </c>
      <c r="R15" s="123"/>
      <c r="T15" s="102"/>
      <c r="U15" s="102"/>
      <c r="V15" s="102"/>
      <c r="W15"/>
      <c r="X15"/>
      <c r="Y15"/>
      <c r="Z15"/>
    </row>
    <row r="16" spans="1:26" s="15" customFormat="1" ht="1.5" customHeight="1" thickBot="1">
      <c r="A16" s="11" t="s">
        <v>32</v>
      </c>
      <c r="B16" s="12"/>
      <c r="C16" s="12"/>
      <c r="D16" s="12">
        <f>SUM(B16:C16)</f>
        <v>0</v>
      </c>
      <c r="E16" s="12"/>
      <c r="F16" s="12"/>
      <c r="G16" s="12"/>
      <c r="H16" s="106">
        <f>(D16/W7)*1000</f>
        <v>0</v>
      </c>
      <c r="I16" s="13" t="e">
        <f t="shared" si="1"/>
        <v>#DIV/0!</v>
      </c>
      <c r="J16" s="13" t="e">
        <f t="shared" si="2"/>
        <v>#DIV/0!</v>
      </c>
      <c r="K16" s="24" t="e">
        <f>+(312000/2)/D16</f>
        <v>#DIV/0!</v>
      </c>
      <c r="L16" s="14">
        <f t="shared" si="8"/>
        <v>0</v>
      </c>
      <c r="M16" s="133">
        <f>+D16/31</f>
        <v>0</v>
      </c>
      <c r="N16" s="27"/>
      <c r="O16" s="28">
        <f t="shared" si="3"/>
        <v>0</v>
      </c>
      <c r="P16" s="30" t="e">
        <f t="shared" si="4"/>
        <v>#DIV/0!</v>
      </c>
      <c r="R16" s="122"/>
      <c r="T16" s="102"/>
      <c r="U16" s="102"/>
      <c r="V16" s="102"/>
      <c r="W16"/>
      <c r="X16"/>
      <c r="Y16"/>
      <c r="Z16"/>
    </row>
    <row r="17" spans="1:26" s="15" customFormat="1" ht="12.75" hidden="1">
      <c r="A17" s="11" t="s">
        <v>33</v>
      </c>
      <c r="B17" s="12"/>
      <c r="C17" s="12"/>
      <c r="D17" s="12">
        <f>SUM(B17:C17)</f>
        <v>0</v>
      </c>
      <c r="E17" s="12"/>
      <c r="F17" s="12"/>
      <c r="G17" s="12"/>
      <c r="H17" s="106">
        <f>(D17/W7)*1000</f>
        <v>0</v>
      </c>
      <c r="I17" s="13" t="e">
        <f t="shared" si="1"/>
        <v>#DIV/0!</v>
      </c>
      <c r="J17" s="13" t="e">
        <f t="shared" si="2"/>
        <v>#DIV/0!</v>
      </c>
      <c r="K17" s="24" t="e">
        <f>+(4000000/12)/D17</f>
        <v>#DIV/0!</v>
      </c>
      <c r="L17" s="14">
        <f t="shared" si="8"/>
        <v>0</v>
      </c>
      <c r="M17" s="133">
        <f>+D17/30</f>
        <v>0</v>
      </c>
      <c r="N17" s="27"/>
      <c r="O17" s="28">
        <f t="shared" si="3"/>
        <v>0</v>
      </c>
      <c r="P17" s="30" t="e">
        <f t="shared" si="4"/>
        <v>#DIV/0!</v>
      </c>
      <c r="R17" s="123"/>
      <c r="T17"/>
      <c r="U17" s="102"/>
      <c r="V17" s="102"/>
      <c r="W17"/>
      <c r="X17"/>
      <c r="Y17"/>
      <c r="Z17"/>
    </row>
    <row r="18" spans="1:26" s="15" customFormat="1" ht="13.5" hidden="1" thickBot="1">
      <c r="A18" s="82" t="s">
        <v>34</v>
      </c>
      <c r="B18" s="83"/>
      <c r="C18" s="83"/>
      <c r="D18" s="83">
        <f>SUM(B18:C18)</f>
        <v>0</v>
      </c>
      <c r="E18" s="83"/>
      <c r="F18" s="83"/>
      <c r="G18" s="83"/>
      <c r="H18" s="109">
        <f>(D18/W7)*1000</f>
        <v>0</v>
      </c>
      <c r="I18" s="85" t="e">
        <f t="shared" si="1"/>
        <v>#DIV/0!</v>
      </c>
      <c r="J18" s="85" t="e">
        <f t="shared" si="2"/>
        <v>#DIV/0!</v>
      </c>
      <c r="K18" s="86" t="e">
        <f>+(4000000/12)/D18</f>
        <v>#DIV/0!</v>
      </c>
      <c r="L18" s="87">
        <f t="shared" si="8"/>
        <v>0</v>
      </c>
      <c r="M18" s="136">
        <f>+D18/31</f>
        <v>0</v>
      </c>
      <c r="N18" s="89"/>
      <c r="O18" s="90">
        <f t="shared" si="3"/>
        <v>0</v>
      </c>
      <c r="P18" s="91" t="e">
        <f t="shared" si="4"/>
        <v>#DIV/0!</v>
      </c>
      <c r="R18" s="122"/>
      <c r="T18"/>
      <c r="U18"/>
      <c r="V18"/>
      <c r="W18"/>
      <c r="X18"/>
      <c r="Y18"/>
      <c r="Z18"/>
    </row>
    <row r="19" spans="1:26" s="15" customFormat="1" ht="14.25" thickBot="1" thickTop="1">
      <c r="A19" s="92" t="s">
        <v>57</v>
      </c>
      <c r="B19" s="98">
        <f aca="true" t="shared" si="9" ref="B19:G19">SUM(B13:B18)</f>
        <v>0</v>
      </c>
      <c r="C19" s="98">
        <f t="shared" si="9"/>
        <v>198</v>
      </c>
      <c r="D19" s="98">
        <f t="shared" si="9"/>
        <v>198</v>
      </c>
      <c r="E19" s="98">
        <f t="shared" si="9"/>
        <v>18</v>
      </c>
      <c r="F19" s="98">
        <f t="shared" si="9"/>
        <v>6</v>
      </c>
      <c r="G19" s="98">
        <f t="shared" si="9"/>
        <v>3</v>
      </c>
      <c r="H19" s="110">
        <f>(D19/W7)*1000</f>
        <v>1.736415617216824</v>
      </c>
      <c r="I19" s="94">
        <f t="shared" si="1"/>
        <v>0.09090909090909091</v>
      </c>
      <c r="J19" s="94">
        <f t="shared" si="2"/>
        <v>0.030303030303030304</v>
      </c>
      <c r="K19" s="67">
        <f>+(312000/2)/D19</f>
        <v>787.8787878787879</v>
      </c>
      <c r="L19" s="67">
        <f t="shared" si="8"/>
        <v>17550</v>
      </c>
      <c r="M19" s="135">
        <f>+D19/(14+14+13)</f>
        <v>4.829268292682927</v>
      </c>
      <c r="N19" s="95">
        <f>SUM(N13:N18)</f>
        <v>192</v>
      </c>
      <c r="O19" s="96">
        <f t="shared" si="3"/>
        <v>6</v>
      </c>
      <c r="P19" s="97">
        <f t="shared" si="4"/>
        <v>1.03125</v>
      </c>
      <c r="R19" s="123"/>
      <c r="T19"/>
      <c r="U19"/>
      <c r="V19"/>
      <c r="W19"/>
      <c r="X19"/>
      <c r="Y19"/>
      <c r="Z19"/>
    </row>
    <row r="20" spans="1:18" s="15" customFormat="1" ht="14.25" thickBot="1" thickTop="1">
      <c r="A20" s="18" t="s">
        <v>58</v>
      </c>
      <c r="B20" s="19">
        <f aca="true" t="shared" si="10" ref="B20:G20">+B19+B12</f>
        <v>0</v>
      </c>
      <c r="C20" s="19">
        <f t="shared" si="10"/>
        <v>526</v>
      </c>
      <c r="D20" s="19">
        <f t="shared" si="10"/>
        <v>526</v>
      </c>
      <c r="E20" s="19">
        <f t="shared" si="10"/>
        <v>51</v>
      </c>
      <c r="F20" s="19">
        <f t="shared" si="10"/>
        <v>22</v>
      </c>
      <c r="G20" s="19">
        <f t="shared" si="10"/>
        <v>21</v>
      </c>
      <c r="H20" s="111">
        <f>(D20/W7)*1000</f>
        <v>4.612902094222472</v>
      </c>
      <c r="I20" s="25">
        <f t="shared" si="1"/>
        <v>0.09695817490494296</v>
      </c>
      <c r="J20" s="25">
        <f t="shared" si="2"/>
        <v>0.04182509505703422</v>
      </c>
      <c r="K20" s="26">
        <f>+(52000*9)/D20</f>
        <v>889.7338403041825</v>
      </c>
      <c r="L20" s="35">
        <f>+(D20-G20)*90</f>
        <v>45450</v>
      </c>
      <c r="M20" s="137">
        <f>+D20/120</f>
        <v>4.383333333333334</v>
      </c>
      <c r="N20" s="29">
        <f>SUM(N12,N19)</f>
        <v>583</v>
      </c>
      <c r="O20" s="31">
        <f t="shared" si="3"/>
        <v>-57</v>
      </c>
      <c r="P20" s="32">
        <f t="shared" si="4"/>
        <v>0.902229845626072</v>
      </c>
      <c r="R20" s="122"/>
    </row>
    <row r="21" spans="1:18" ht="16.5" thickBot="1">
      <c r="A21" s="8" t="s">
        <v>52</v>
      </c>
      <c r="J21" s="41"/>
      <c r="R21" s="123"/>
    </row>
    <row r="22" spans="1:18" ht="14.25" customHeight="1">
      <c r="A22" s="140" t="s">
        <v>7</v>
      </c>
      <c r="B22" s="142">
        <v>2009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38"/>
      <c r="N22" s="6">
        <v>2008</v>
      </c>
      <c r="O22" s="144" t="s">
        <v>45</v>
      </c>
      <c r="P22" s="145"/>
      <c r="R22" s="122"/>
    </row>
    <row r="23" spans="1:26" s="1" customFormat="1" ht="51" customHeight="1" thickBot="1">
      <c r="A23" s="141"/>
      <c r="B23" s="3" t="s">
        <v>3</v>
      </c>
      <c r="C23" s="3" t="s">
        <v>4</v>
      </c>
      <c r="D23" s="3" t="s">
        <v>18</v>
      </c>
      <c r="E23" s="23" t="s">
        <v>10</v>
      </c>
      <c r="F23" s="10" t="s">
        <v>9</v>
      </c>
      <c r="G23" s="10" t="s">
        <v>11</v>
      </c>
      <c r="H23" s="113" t="s">
        <v>44</v>
      </c>
      <c r="I23" s="10" t="s">
        <v>21</v>
      </c>
      <c r="J23" s="23" t="s">
        <v>20</v>
      </c>
      <c r="K23" s="3" t="s">
        <v>19</v>
      </c>
      <c r="L23" s="5" t="s">
        <v>6</v>
      </c>
      <c r="M23" s="132" t="s">
        <v>22</v>
      </c>
      <c r="N23" s="33" t="s">
        <v>18</v>
      </c>
      <c r="O23" s="7" t="s">
        <v>8</v>
      </c>
      <c r="P23" s="4" t="s">
        <v>5</v>
      </c>
      <c r="R23" s="123"/>
      <c r="T23"/>
      <c r="U23"/>
      <c r="V23"/>
      <c r="W23"/>
      <c r="X23"/>
      <c r="Y23"/>
      <c r="Z23"/>
    </row>
    <row r="24" spans="1:26" s="15" customFormat="1" ht="20.25" customHeight="1">
      <c r="A24" s="11" t="s">
        <v>0</v>
      </c>
      <c r="B24" s="127" t="s">
        <v>53</v>
      </c>
      <c r="C24" s="20">
        <v>99</v>
      </c>
      <c r="D24" s="20">
        <f aca="true" t="shared" si="11" ref="D24:D36">SUM(B24:C24)</f>
        <v>99</v>
      </c>
      <c r="E24" s="20">
        <v>7</v>
      </c>
      <c r="F24" s="20">
        <v>3</v>
      </c>
      <c r="G24" s="20">
        <v>13</v>
      </c>
      <c r="H24" s="106">
        <f>(D24/X7)*1000</f>
        <v>0.8246838711827134</v>
      </c>
      <c r="I24" s="13">
        <f aca="true" t="shared" si="12" ref="I24:I38">+E24/D24</f>
        <v>0.0707070707070707</v>
      </c>
      <c r="J24" s="13">
        <f aca="true" t="shared" si="13" ref="J24:J38">+F24/D24</f>
        <v>0.030303030303030304</v>
      </c>
      <c r="K24" s="24">
        <f>+(414000/6)/D24</f>
        <v>696.969696969697</v>
      </c>
      <c r="L24" s="14">
        <f aca="true" t="shared" si="14" ref="L24:L38">+(D24-G24)*90</f>
        <v>7740</v>
      </c>
      <c r="M24" s="133">
        <f>+D24/11</f>
        <v>9</v>
      </c>
      <c r="N24" s="27">
        <v>119</v>
      </c>
      <c r="O24" s="28">
        <f aca="true" t="shared" si="15" ref="O24:O38">+D24-N24</f>
        <v>-20</v>
      </c>
      <c r="P24" s="30">
        <f aca="true" t="shared" si="16" ref="P24:P38">+D24/N24</f>
        <v>0.8319327731092437</v>
      </c>
      <c r="R24" s="123"/>
      <c r="T24"/>
      <c r="U24"/>
      <c r="V24"/>
      <c r="W24"/>
      <c r="X24"/>
      <c r="Y24"/>
      <c r="Z24"/>
    </row>
    <row r="25" spans="1:26" s="15" customFormat="1" ht="20.25" customHeight="1">
      <c r="A25" s="16" t="s">
        <v>1</v>
      </c>
      <c r="B25" s="128" t="s">
        <v>53</v>
      </c>
      <c r="C25" s="21">
        <v>79</v>
      </c>
      <c r="D25" s="20">
        <f t="shared" si="11"/>
        <v>79</v>
      </c>
      <c r="E25" s="20">
        <v>5</v>
      </c>
      <c r="F25" s="20">
        <v>1</v>
      </c>
      <c r="G25" s="20">
        <v>5</v>
      </c>
      <c r="H25" s="106">
        <f>(D25/X7)*1000</f>
        <v>0.6580810689235793</v>
      </c>
      <c r="I25" s="13">
        <f t="shared" si="12"/>
        <v>0.06329113924050633</v>
      </c>
      <c r="J25" s="13">
        <f t="shared" si="13"/>
        <v>0.012658227848101266</v>
      </c>
      <c r="K25" s="24">
        <f aca="true" t="shared" si="17" ref="K25:K31">+(414000/6)/D25</f>
        <v>873.4177215189874</v>
      </c>
      <c r="L25" s="14">
        <f t="shared" si="14"/>
        <v>6660</v>
      </c>
      <c r="M25" s="133">
        <f>+D25/8</f>
        <v>9.875</v>
      </c>
      <c r="N25" s="27">
        <v>135</v>
      </c>
      <c r="O25" s="28">
        <f t="shared" si="15"/>
        <v>-56</v>
      </c>
      <c r="P25" s="30">
        <f t="shared" si="16"/>
        <v>0.5851851851851851</v>
      </c>
      <c r="R25" s="123"/>
      <c r="T25" s="102"/>
      <c r="U25" s="102"/>
      <c r="V25"/>
      <c r="W25"/>
      <c r="X25"/>
      <c r="Y25"/>
      <c r="Z25"/>
    </row>
    <row r="26" spans="1:26" s="15" customFormat="1" ht="20.25" customHeight="1">
      <c r="A26" s="16" t="s">
        <v>2</v>
      </c>
      <c r="B26" s="128" t="s">
        <v>53</v>
      </c>
      <c r="C26" s="21">
        <v>79</v>
      </c>
      <c r="D26" s="20">
        <f t="shared" si="11"/>
        <v>79</v>
      </c>
      <c r="E26" s="20">
        <v>6</v>
      </c>
      <c r="F26" s="20">
        <v>0</v>
      </c>
      <c r="G26" s="20">
        <v>12</v>
      </c>
      <c r="H26" s="106">
        <f>(D26/X7)*1000</f>
        <v>0.6580810689235793</v>
      </c>
      <c r="I26" s="13">
        <f t="shared" si="12"/>
        <v>0.0759493670886076</v>
      </c>
      <c r="J26" s="13">
        <f t="shared" si="13"/>
        <v>0</v>
      </c>
      <c r="K26" s="24">
        <f t="shared" si="17"/>
        <v>873.4177215189874</v>
      </c>
      <c r="L26" s="14">
        <f t="shared" si="14"/>
        <v>6030</v>
      </c>
      <c r="M26" s="133">
        <f>+D26/8</f>
        <v>9.875</v>
      </c>
      <c r="N26" s="27">
        <v>156</v>
      </c>
      <c r="O26" s="28">
        <f t="shared" si="15"/>
        <v>-77</v>
      </c>
      <c r="P26" s="30">
        <f t="shared" si="16"/>
        <v>0.5064102564102564</v>
      </c>
      <c r="R26" s="123"/>
      <c r="T26" s="102"/>
      <c r="U26" s="102"/>
      <c r="V26"/>
      <c r="W26"/>
      <c r="X26"/>
      <c r="Y26"/>
      <c r="Z26"/>
    </row>
    <row r="27" spans="1:26" s="15" customFormat="1" ht="20.25" customHeight="1">
      <c r="A27" s="16" t="s">
        <v>24</v>
      </c>
      <c r="B27" s="128" t="s">
        <v>53</v>
      </c>
      <c r="C27" s="21">
        <v>74</v>
      </c>
      <c r="D27" s="20">
        <f t="shared" si="11"/>
        <v>74</v>
      </c>
      <c r="E27" s="20">
        <v>10</v>
      </c>
      <c r="F27" s="20">
        <v>6</v>
      </c>
      <c r="G27" s="20">
        <v>17</v>
      </c>
      <c r="H27" s="106">
        <f>(D27/X7)*1000</f>
        <v>0.6164303683587958</v>
      </c>
      <c r="I27" s="13">
        <f t="shared" si="12"/>
        <v>0.13513513513513514</v>
      </c>
      <c r="J27" s="13">
        <f t="shared" si="13"/>
        <v>0.08108108108108109</v>
      </c>
      <c r="K27" s="24">
        <f t="shared" si="17"/>
        <v>932.4324324324324</v>
      </c>
      <c r="L27" s="14">
        <f t="shared" si="14"/>
        <v>5130</v>
      </c>
      <c r="M27" s="133">
        <f>+D27/9</f>
        <v>8.222222222222221</v>
      </c>
      <c r="N27" s="27">
        <v>109</v>
      </c>
      <c r="O27" s="28">
        <f t="shared" si="15"/>
        <v>-35</v>
      </c>
      <c r="P27" s="30">
        <f t="shared" si="16"/>
        <v>0.6788990825688074</v>
      </c>
      <c r="T27" s="102"/>
      <c r="U27" s="102"/>
      <c r="V27" s="102"/>
      <c r="W27"/>
      <c r="X27"/>
      <c r="Y27"/>
      <c r="Z27"/>
    </row>
    <row r="28" spans="1:26" s="15" customFormat="1" ht="20.25" customHeight="1">
      <c r="A28" s="16" t="s">
        <v>25</v>
      </c>
      <c r="B28" s="128" t="s">
        <v>53</v>
      </c>
      <c r="C28" s="21">
        <v>116</v>
      </c>
      <c r="D28" s="20">
        <f t="shared" si="11"/>
        <v>116</v>
      </c>
      <c r="E28" s="20">
        <v>16</v>
      </c>
      <c r="F28" s="20">
        <v>10</v>
      </c>
      <c r="G28" s="20">
        <v>18</v>
      </c>
      <c r="H28" s="106">
        <f>(D28/X7)*1000</f>
        <v>0.9662962531029772</v>
      </c>
      <c r="I28" s="13">
        <f t="shared" si="12"/>
        <v>0.13793103448275862</v>
      </c>
      <c r="J28" s="13">
        <f t="shared" si="13"/>
        <v>0.08620689655172414</v>
      </c>
      <c r="K28" s="24">
        <f t="shared" si="17"/>
        <v>594.8275862068965</v>
      </c>
      <c r="L28" s="14">
        <f t="shared" si="14"/>
        <v>8820</v>
      </c>
      <c r="M28" s="133">
        <f>+D28/10</f>
        <v>11.6</v>
      </c>
      <c r="N28" s="27">
        <v>125</v>
      </c>
      <c r="O28" s="28">
        <f t="shared" si="15"/>
        <v>-9</v>
      </c>
      <c r="P28" s="30">
        <f t="shared" si="16"/>
        <v>0.928</v>
      </c>
      <c r="T28" s="102"/>
      <c r="U28" s="102"/>
      <c r="V28" s="102"/>
      <c r="W28"/>
      <c r="X28"/>
      <c r="Y28"/>
      <c r="Z28"/>
    </row>
    <row r="29" spans="1:26" s="15" customFormat="1" ht="20.25" customHeight="1" thickBot="1">
      <c r="A29" s="57" t="s">
        <v>26</v>
      </c>
      <c r="B29" s="129" t="s">
        <v>53</v>
      </c>
      <c r="C29" s="59">
        <v>61</v>
      </c>
      <c r="D29" s="59">
        <f t="shared" si="11"/>
        <v>61</v>
      </c>
      <c r="E29" s="59">
        <v>1</v>
      </c>
      <c r="F29" s="59">
        <v>0</v>
      </c>
      <c r="G29" s="59">
        <v>7</v>
      </c>
      <c r="H29" s="107">
        <f>(D29/X7)*1000</f>
        <v>0.5081385468903588</v>
      </c>
      <c r="I29" s="60">
        <f t="shared" si="12"/>
        <v>0.01639344262295082</v>
      </c>
      <c r="J29" s="60">
        <f t="shared" si="13"/>
        <v>0</v>
      </c>
      <c r="K29" s="24">
        <f t="shared" si="17"/>
        <v>1131.1475409836066</v>
      </c>
      <c r="L29" s="62">
        <f t="shared" si="14"/>
        <v>4860</v>
      </c>
      <c r="M29" s="134">
        <f>+D29/8</f>
        <v>7.625</v>
      </c>
      <c r="N29" s="69">
        <v>109</v>
      </c>
      <c r="O29" s="65">
        <f t="shared" si="15"/>
        <v>-48</v>
      </c>
      <c r="P29" s="66">
        <f t="shared" si="16"/>
        <v>0.5596330275229358</v>
      </c>
      <c r="T29" s="102"/>
      <c r="U29" s="102"/>
      <c r="V29" s="102"/>
      <c r="W29"/>
      <c r="X29"/>
      <c r="Y29"/>
      <c r="Z29"/>
    </row>
    <row r="30" spans="1:26" s="15" customFormat="1" ht="13.5" customHeight="1" thickBot="1" thickTop="1">
      <c r="A30" s="48" t="s">
        <v>28</v>
      </c>
      <c r="B30" s="50">
        <f aca="true" t="shared" si="18" ref="B30:G30">SUM(B24:B29)</f>
        <v>0</v>
      </c>
      <c r="C30" s="50">
        <f t="shared" si="18"/>
        <v>508</v>
      </c>
      <c r="D30" s="50">
        <f t="shared" si="18"/>
        <v>508</v>
      </c>
      <c r="E30" s="50">
        <f t="shared" si="18"/>
        <v>45</v>
      </c>
      <c r="F30" s="50">
        <f t="shared" si="18"/>
        <v>20</v>
      </c>
      <c r="G30" s="50">
        <f t="shared" si="18"/>
        <v>72</v>
      </c>
      <c r="H30" s="108">
        <f>(D30/X7)*1000</f>
        <v>4.231711177382003</v>
      </c>
      <c r="I30" s="43">
        <f>+E30/D30</f>
        <v>0.08858267716535433</v>
      </c>
      <c r="J30" s="43">
        <f t="shared" si="13"/>
        <v>0.03937007874015748</v>
      </c>
      <c r="K30" s="52">
        <f>+(414000)/D30</f>
        <v>814.9606299212599</v>
      </c>
      <c r="L30" s="52">
        <f>(D30-G30)*90</f>
        <v>39240</v>
      </c>
      <c r="M30" s="135">
        <f>+D30/(54)</f>
        <v>9.407407407407407</v>
      </c>
      <c r="N30" s="45">
        <f>SUM(N24:N29)</f>
        <v>753</v>
      </c>
      <c r="O30" s="46">
        <f t="shared" si="15"/>
        <v>-245</v>
      </c>
      <c r="P30" s="47">
        <f t="shared" si="16"/>
        <v>0.6746347941567065</v>
      </c>
      <c r="T30" s="102"/>
      <c r="U30" s="102"/>
      <c r="V30" s="102"/>
      <c r="W30"/>
      <c r="X30"/>
      <c r="Y30"/>
      <c r="Z30"/>
    </row>
    <row r="31" spans="1:26" s="15" customFormat="1" ht="18.75" customHeight="1" thickTop="1">
      <c r="A31" s="16" t="s">
        <v>27</v>
      </c>
      <c r="B31" s="127" t="s">
        <v>53</v>
      </c>
      <c r="C31" s="20">
        <v>105</v>
      </c>
      <c r="D31" s="20">
        <f t="shared" si="11"/>
        <v>105</v>
      </c>
      <c r="E31" s="20">
        <v>10</v>
      </c>
      <c r="F31" s="20">
        <v>3</v>
      </c>
      <c r="G31" s="20">
        <v>10</v>
      </c>
      <c r="H31" s="106">
        <f>(D31/X7)*1000</f>
        <v>0.8746647118604536</v>
      </c>
      <c r="I31" s="13">
        <f t="shared" si="12"/>
        <v>0.09523809523809523</v>
      </c>
      <c r="J31" s="13">
        <f t="shared" si="13"/>
        <v>0.02857142857142857</v>
      </c>
      <c r="K31" s="24">
        <f t="shared" si="17"/>
        <v>657.1428571428571</v>
      </c>
      <c r="L31" s="14">
        <f t="shared" si="14"/>
        <v>8550</v>
      </c>
      <c r="M31" s="133">
        <f>+D31/9</f>
        <v>11.666666666666666</v>
      </c>
      <c r="N31" s="27">
        <v>143</v>
      </c>
      <c r="O31" s="28">
        <f t="shared" si="15"/>
        <v>-38</v>
      </c>
      <c r="P31" s="30">
        <f t="shared" si="16"/>
        <v>0.7342657342657343</v>
      </c>
      <c r="T31" s="102"/>
      <c r="U31" s="102"/>
      <c r="V31" s="102"/>
      <c r="W31"/>
      <c r="X31"/>
      <c r="Y31"/>
      <c r="Z31"/>
    </row>
    <row r="32" spans="1:26" s="15" customFormat="1" ht="18.75" customHeight="1">
      <c r="A32" s="11" t="s">
        <v>30</v>
      </c>
      <c r="B32" s="125" t="s">
        <v>53</v>
      </c>
      <c r="C32" s="12">
        <v>93</v>
      </c>
      <c r="D32" s="12">
        <f t="shared" si="11"/>
        <v>93</v>
      </c>
      <c r="E32" s="12">
        <v>13</v>
      </c>
      <c r="F32" s="12">
        <v>6</v>
      </c>
      <c r="G32" s="12">
        <v>13</v>
      </c>
      <c r="H32" s="106">
        <f>(D32/X7)*1000</f>
        <v>0.774703030504973</v>
      </c>
      <c r="I32" s="13">
        <f t="shared" si="12"/>
        <v>0.13978494623655913</v>
      </c>
      <c r="J32" s="13">
        <f t="shared" si="13"/>
        <v>0.06451612903225806</v>
      </c>
      <c r="K32" s="24">
        <f>+(414000/6)/D32</f>
        <v>741.9354838709677</v>
      </c>
      <c r="L32" s="14">
        <f t="shared" si="14"/>
        <v>7200</v>
      </c>
      <c r="M32" s="133">
        <f>+D32/10</f>
        <v>9.3</v>
      </c>
      <c r="N32" s="27">
        <v>124</v>
      </c>
      <c r="O32" s="28">
        <f t="shared" si="15"/>
        <v>-31</v>
      </c>
      <c r="P32" s="30">
        <f t="shared" si="16"/>
        <v>0.75</v>
      </c>
      <c r="T32"/>
      <c r="U32" s="102"/>
      <c r="V32" s="102"/>
      <c r="W32"/>
      <c r="X32"/>
      <c r="Y32"/>
      <c r="Z32"/>
    </row>
    <row r="33" spans="1:26" s="15" customFormat="1" ht="18.75" customHeight="1" thickBot="1">
      <c r="A33" s="11" t="s">
        <v>31</v>
      </c>
      <c r="B33" s="125" t="s">
        <v>53</v>
      </c>
      <c r="C33" s="12">
        <v>67</v>
      </c>
      <c r="D33" s="12">
        <f t="shared" si="11"/>
        <v>67</v>
      </c>
      <c r="E33" s="12">
        <v>10</v>
      </c>
      <c r="F33" s="12">
        <v>4</v>
      </c>
      <c r="G33" s="12">
        <v>11</v>
      </c>
      <c r="H33" s="106">
        <f>(D33/X7)*1000</f>
        <v>0.5581193875680989</v>
      </c>
      <c r="I33" s="13">
        <f t="shared" si="12"/>
        <v>0.14925373134328357</v>
      </c>
      <c r="J33" s="13">
        <f t="shared" si="13"/>
        <v>0.05970149253731343</v>
      </c>
      <c r="K33" s="24">
        <f>+(414000/6)/D33</f>
        <v>1029.8507462686566</v>
      </c>
      <c r="L33" s="14">
        <f t="shared" si="14"/>
        <v>5040</v>
      </c>
      <c r="M33" s="133">
        <f>+D33/9</f>
        <v>7.444444444444445</v>
      </c>
      <c r="N33" s="27">
        <v>88</v>
      </c>
      <c r="O33" s="28">
        <f t="shared" si="15"/>
        <v>-21</v>
      </c>
      <c r="P33" s="30">
        <f t="shared" si="16"/>
        <v>0.7613636363636364</v>
      </c>
      <c r="T33"/>
      <c r="U33" s="102"/>
      <c r="V33" s="102"/>
      <c r="W33"/>
      <c r="X33"/>
      <c r="Y33"/>
      <c r="Z33"/>
    </row>
    <row r="34" spans="1:26" s="15" customFormat="1" ht="18.75" customHeight="1" hidden="1">
      <c r="A34" s="11" t="s">
        <v>32</v>
      </c>
      <c r="B34" s="12"/>
      <c r="C34" s="12"/>
      <c r="D34" s="12">
        <f t="shared" si="11"/>
        <v>0</v>
      </c>
      <c r="E34" s="12"/>
      <c r="F34" s="12"/>
      <c r="G34" s="12"/>
      <c r="H34" s="106">
        <f>(D34/X7)*1000</f>
        <v>0</v>
      </c>
      <c r="I34" s="13" t="e">
        <f t="shared" si="12"/>
        <v>#DIV/0!</v>
      </c>
      <c r="J34" s="13" t="e">
        <f t="shared" si="13"/>
        <v>#DIV/0!</v>
      </c>
      <c r="K34" s="24" t="e">
        <f>+(414000/2)/D34</f>
        <v>#DIV/0!</v>
      </c>
      <c r="L34" s="14">
        <f t="shared" si="14"/>
        <v>0</v>
      </c>
      <c r="M34" s="133">
        <f>+D34/31</f>
        <v>0</v>
      </c>
      <c r="N34" s="27"/>
      <c r="O34" s="28">
        <f t="shared" si="15"/>
        <v>0</v>
      </c>
      <c r="P34" s="30" t="e">
        <f t="shared" si="16"/>
        <v>#DIV/0!</v>
      </c>
      <c r="T34"/>
      <c r="U34"/>
      <c r="V34"/>
      <c r="W34"/>
      <c r="X34"/>
      <c r="Y34"/>
      <c r="Z34"/>
    </row>
    <row r="35" spans="1:26" s="15" customFormat="1" ht="18.75" customHeight="1" hidden="1">
      <c r="A35" s="11" t="s">
        <v>33</v>
      </c>
      <c r="B35" s="12"/>
      <c r="C35" s="12"/>
      <c r="D35" s="12">
        <f t="shared" si="11"/>
        <v>0</v>
      </c>
      <c r="E35" s="12"/>
      <c r="F35" s="12"/>
      <c r="G35" s="12"/>
      <c r="H35" s="106">
        <f>(D35/X7)*1000</f>
        <v>0</v>
      </c>
      <c r="I35" s="13" t="e">
        <f t="shared" si="12"/>
        <v>#DIV/0!</v>
      </c>
      <c r="J35" s="13" t="e">
        <f t="shared" si="13"/>
        <v>#DIV/0!</v>
      </c>
      <c r="K35" s="24" t="e">
        <f>+(4000000/12)/D35</f>
        <v>#DIV/0!</v>
      </c>
      <c r="L35" s="14">
        <f t="shared" si="14"/>
        <v>0</v>
      </c>
      <c r="M35" s="133">
        <f>+D35/30</f>
        <v>0</v>
      </c>
      <c r="N35" s="27"/>
      <c r="O35" s="28">
        <f t="shared" si="15"/>
        <v>0</v>
      </c>
      <c r="P35" s="30" t="e">
        <f t="shared" si="16"/>
        <v>#DIV/0!</v>
      </c>
      <c r="T35"/>
      <c r="U35"/>
      <c r="V35"/>
      <c r="W35"/>
      <c r="X35"/>
      <c r="Y35"/>
      <c r="Z35"/>
    </row>
    <row r="36" spans="1:26" s="15" customFormat="1" ht="18.75" customHeight="1" hidden="1" thickBot="1">
      <c r="A36" s="82" t="s">
        <v>34</v>
      </c>
      <c r="B36" s="83"/>
      <c r="C36" s="83"/>
      <c r="D36" s="83">
        <f t="shared" si="11"/>
        <v>0</v>
      </c>
      <c r="E36" s="83"/>
      <c r="F36" s="83"/>
      <c r="G36" s="83"/>
      <c r="H36" s="109">
        <f>(D36/X7)*1000</f>
        <v>0</v>
      </c>
      <c r="I36" s="85" t="e">
        <f t="shared" si="12"/>
        <v>#DIV/0!</v>
      </c>
      <c r="J36" s="85" t="e">
        <f t="shared" si="13"/>
        <v>#DIV/0!</v>
      </c>
      <c r="K36" s="86" t="e">
        <f>+(4000000/12)/D36</f>
        <v>#DIV/0!</v>
      </c>
      <c r="L36" s="87">
        <f t="shared" si="14"/>
        <v>0</v>
      </c>
      <c r="M36" s="136">
        <f>+D36/31</f>
        <v>0</v>
      </c>
      <c r="N36" s="27"/>
      <c r="O36" s="90">
        <f t="shared" si="15"/>
        <v>0</v>
      </c>
      <c r="P36" s="91" t="e">
        <f t="shared" si="16"/>
        <v>#DIV/0!</v>
      </c>
      <c r="T36"/>
      <c r="U36"/>
      <c r="V36"/>
      <c r="W36"/>
      <c r="X36"/>
      <c r="Y36"/>
      <c r="Z36"/>
    </row>
    <row r="37" spans="1:26" s="15" customFormat="1" ht="18.75" customHeight="1" thickBot="1" thickTop="1">
      <c r="A37" s="92" t="s">
        <v>57</v>
      </c>
      <c r="B37" s="93">
        <f aca="true" t="shared" si="19" ref="B37:G37">SUM(B31:B36)</f>
        <v>0</v>
      </c>
      <c r="C37" s="93">
        <f t="shared" si="19"/>
        <v>265</v>
      </c>
      <c r="D37" s="93">
        <f t="shared" si="19"/>
        <v>265</v>
      </c>
      <c r="E37" s="93">
        <f t="shared" si="19"/>
        <v>33</v>
      </c>
      <c r="F37" s="93">
        <f t="shared" si="19"/>
        <v>13</v>
      </c>
      <c r="G37" s="93">
        <f t="shared" si="19"/>
        <v>34</v>
      </c>
      <c r="H37" s="110">
        <f>(D37/X7)*1000</f>
        <v>2.2074871299335257</v>
      </c>
      <c r="I37" s="94">
        <f t="shared" si="12"/>
        <v>0.12452830188679245</v>
      </c>
      <c r="J37" s="94">
        <f t="shared" si="13"/>
        <v>0.04905660377358491</v>
      </c>
      <c r="K37" s="67">
        <f>+(414000/2)/D37</f>
        <v>781.1320754716982</v>
      </c>
      <c r="L37" s="67">
        <f t="shared" si="14"/>
        <v>20790</v>
      </c>
      <c r="M37" s="135">
        <f>+D37/(9+10+9)</f>
        <v>9.464285714285714</v>
      </c>
      <c r="N37" s="95">
        <f>SUM(N31:N36)</f>
        <v>355</v>
      </c>
      <c r="O37" s="96">
        <f t="shared" si="15"/>
        <v>-90</v>
      </c>
      <c r="P37" s="97">
        <f t="shared" si="16"/>
        <v>0.7464788732394366</v>
      </c>
      <c r="T37"/>
      <c r="U37"/>
      <c r="V37"/>
      <c r="W37"/>
      <c r="X37"/>
      <c r="Y37"/>
      <c r="Z37"/>
    </row>
    <row r="38" spans="1:16" s="15" customFormat="1" ht="18.75" customHeight="1" thickBot="1" thickTop="1">
      <c r="A38" s="18" t="s">
        <v>58</v>
      </c>
      <c r="B38" s="22">
        <f aca="true" t="shared" si="20" ref="B38:G38">+B37+B30</f>
        <v>0</v>
      </c>
      <c r="C38" s="22">
        <f t="shared" si="20"/>
        <v>773</v>
      </c>
      <c r="D38" s="22">
        <f t="shared" si="20"/>
        <v>773</v>
      </c>
      <c r="E38" s="22">
        <f t="shared" si="20"/>
        <v>78</v>
      </c>
      <c r="F38" s="22">
        <f t="shared" si="20"/>
        <v>33</v>
      </c>
      <c r="G38" s="22">
        <f t="shared" si="20"/>
        <v>106</v>
      </c>
      <c r="H38" s="111">
        <f>(D38/X7)*1000</f>
        <v>6.439198307315529</v>
      </c>
      <c r="I38" s="25">
        <f t="shared" si="12"/>
        <v>0.10090556274256145</v>
      </c>
      <c r="J38" s="25">
        <f t="shared" si="13"/>
        <v>0.042690815006468305</v>
      </c>
      <c r="K38" s="26">
        <f>+(69000*9)/D38</f>
        <v>803.3635187580854</v>
      </c>
      <c r="L38" s="35">
        <f t="shared" si="14"/>
        <v>60030</v>
      </c>
      <c r="M38" s="137">
        <f>+D38/82</f>
        <v>9.426829268292684</v>
      </c>
      <c r="N38" s="29">
        <f>SUM(N30,N37)</f>
        <v>1108</v>
      </c>
      <c r="O38" s="31">
        <f t="shared" si="15"/>
        <v>-335</v>
      </c>
      <c r="P38" s="32">
        <f t="shared" si="16"/>
        <v>0.6976534296028881</v>
      </c>
    </row>
    <row r="39" ht="12.75">
      <c r="L39" s="139"/>
    </row>
    <row r="40" ht="12.75"/>
    <row r="41" spans="5:7" ht="12.75">
      <c r="E41" s="122"/>
      <c r="F41" s="122"/>
      <c r="G41" s="122"/>
    </row>
    <row r="42" spans="5:7" ht="12.75">
      <c r="E42" s="123"/>
      <c r="F42" s="123"/>
      <c r="G42" s="123"/>
    </row>
    <row r="43" spans="5:7" ht="12.75">
      <c r="E43" s="122"/>
      <c r="F43" s="122"/>
      <c r="G43" s="122"/>
    </row>
    <row r="44" spans="2:7" ht="12.75">
      <c r="B44" s="122"/>
      <c r="D44" s="122"/>
      <c r="E44" s="123"/>
      <c r="F44" s="123"/>
      <c r="G44" s="123"/>
    </row>
    <row r="45" spans="2:7" ht="12.75">
      <c r="B45" s="123"/>
      <c r="D45" s="123"/>
      <c r="E45" s="122"/>
      <c r="F45" s="122"/>
      <c r="G45" s="122"/>
    </row>
    <row r="46" spans="2:7" ht="12.75">
      <c r="B46" s="122"/>
      <c r="D46" s="122"/>
      <c r="E46" s="123"/>
      <c r="F46" s="123"/>
      <c r="G46" s="123"/>
    </row>
    <row r="47" spans="2:7" ht="12.75">
      <c r="B47" s="123"/>
      <c r="D47" s="123"/>
      <c r="E47" s="122"/>
      <c r="F47" s="122"/>
      <c r="G47" s="122"/>
    </row>
    <row r="48" spans="2:7" ht="12.75">
      <c r="B48" s="122"/>
      <c r="D48" s="122"/>
      <c r="E48" s="123"/>
      <c r="F48" s="123"/>
      <c r="G48" s="123"/>
    </row>
    <row r="49" spans="2:7" ht="12.75">
      <c r="B49" s="123"/>
      <c r="D49" s="123"/>
      <c r="E49" s="122"/>
      <c r="F49" s="122"/>
      <c r="G49" s="122"/>
    </row>
    <row r="50" spans="2:7" ht="12.75">
      <c r="B50" s="122"/>
      <c r="D50" s="122"/>
      <c r="E50" s="123"/>
      <c r="F50" s="123"/>
      <c r="G50" s="123"/>
    </row>
    <row r="51" spans="2:7" ht="12.75">
      <c r="B51" s="123"/>
      <c r="D51" s="123"/>
      <c r="E51" s="122"/>
      <c r="F51" s="122"/>
      <c r="G51" s="122"/>
    </row>
    <row r="52" spans="2:7" ht="12.75">
      <c r="B52" s="122"/>
      <c r="D52" s="122"/>
      <c r="E52" s="123"/>
      <c r="F52" s="123"/>
      <c r="G52" s="123"/>
    </row>
    <row r="53" spans="2:7" ht="12.75">
      <c r="B53" s="123"/>
      <c r="D53" s="123"/>
      <c r="E53" s="122"/>
      <c r="F53" s="122"/>
      <c r="G53" s="122"/>
    </row>
    <row r="54" spans="2:7" ht="12.75">
      <c r="B54" s="122"/>
      <c r="D54" s="122"/>
      <c r="E54" s="123"/>
      <c r="F54" s="123"/>
      <c r="G54" s="123"/>
    </row>
    <row r="55" spans="2:4" ht="12.75">
      <c r="B55" s="123"/>
      <c r="D55" s="123"/>
    </row>
    <row r="56" spans="2:4" ht="12.75">
      <c r="B56" s="122"/>
      <c r="D56" s="122"/>
    </row>
    <row r="57" spans="2:4" ht="12.75">
      <c r="B57" s="123"/>
      <c r="D57" s="123"/>
    </row>
    <row r="58" spans="2:4" ht="12.75">
      <c r="B58" s="123"/>
      <c r="D58" s="123"/>
    </row>
    <row r="59" ht="12.75"/>
    <row r="60" ht="12.75"/>
    <row r="61" ht="12.75"/>
    <row r="62" ht="12.75"/>
    <row r="65" ht="12.75" hidden="1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mergeCells count="6">
    <mergeCell ref="A4:A5"/>
    <mergeCell ref="B4:L4"/>
    <mergeCell ref="O4:P4"/>
    <mergeCell ref="A22:A23"/>
    <mergeCell ref="B22:L22"/>
    <mergeCell ref="O22:P22"/>
  </mergeCells>
  <printOptions/>
  <pageMargins left="0.75" right="0.75" top="1" bottom="1" header="0.4921259845" footer="0.4921259845"/>
  <pageSetup horizontalDpi="600" verticalDpi="600" orientation="portrait" paperSize="9" scale="57" r:id="rId5"/>
  <colBreaks count="1" manualBreakCount="1">
    <brk id="16" max="65535" man="1"/>
  </colBreaks>
  <legacyDrawing r:id="rId4"/>
  <oleObjects>
    <oleObject progId="Word.Document.8" shapeId="720497" r:id="rId1"/>
    <oleObject progId="Word.Document.8" shapeId="1591752" r:id="rId2"/>
    <oleObject progId="Word.Document.8" shapeId="466797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1"/>
  <sheetViews>
    <sheetView view="pageBreakPreview" zoomScaleSheetLayoutView="100" workbookViewId="0" topLeftCell="A1">
      <selection activeCell="A1" sqref="A1:IV1"/>
    </sheetView>
  </sheetViews>
  <sheetFormatPr defaultColWidth="9.00390625" defaultRowHeight="12.75"/>
  <cols>
    <col min="1" max="1" width="8.875" style="0" customWidth="1"/>
    <col min="2" max="3" width="7.375" style="0" customWidth="1"/>
    <col min="4" max="4" width="9.25390625" style="0" customWidth="1"/>
    <col min="6" max="6" width="9.75390625" style="0" customWidth="1"/>
    <col min="7" max="7" width="8.375" style="0" customWidth="1"/>
    <col min="9" max="9" width="9.375" style="9" customWidth="1"/>
    <col min="10" max="11" width="10.75390625" style="0" customWidth="1"/>
    <col min="12" max="12" width="12.00390625" style="0" customWidth="1"/>
    <col min="13" max="13" width="10.125" style="36" customWidth="1"/>
    <col min="14" max="14" width="10.75390625" style="2" customWidth="1"/>
    <col min="15" max="15" width="8.875" style="0" customWidth="1"/>
    <col min="18" max="18" width="10.375" style="0" bestFit="1" customWidth="1"/>
  </cols>
  <sheetData>
    <row r="1" spans="1:15" ht="18.75" customHeight="1">
      <c r="A1" s="34" t="s">
        <v>59</v>
      </c>
      <c r="O1" s="81"/>
    </row>
    <row r="2" spans="1:15" ht="18.75" customHeight="1">
      <c r="A2" s="34"/>
      <c r="O2" s="81"/>
    </row>
    <row r="3" ht="16.5" thickBot="1">
      <c r="A3" s="8" t="s">
        <v>13</v>
      </c>
    </row>
    <row r="4" spans="1:16" ht="15" customHeight="1">
      <c r="A4" s="140" t="s">
        <v>7</v>
      </c>
      <c r="B4" s="142">
        <v>2008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37"/>
      <c r="N4" s="6">
        <v>2007</v>
      </c>
      <c r="O4" s="144" t="s">
        <v>46</v>
      </c>
      <c r="P4" s="145"/>
    </row>
    <row r="5" spans="1:28" s="1" customFormat="1" ht="52.5" customHeight="1" thickBot="1">
      <c r="A5" s="141"/>
      <c r="B5" s="3" t="s">
        <v>3</v>
      </c>
      <c r="C5" s="3" t="s">
        <v>4</v>
      </c>
      <c r="D5" s="3" t="s">
        <v>18</v>
      </c>
      <c r="E5" s="23" t="s">
        <v>10</v>
      </c>
      <c r="F5" s="10" t="s">
        <v>9</v>
      </c>
      <c r="G5" s="10" t="s">
        <v>11</v>
      </c>
      <c r="H5" s="23" t="s">
        <v>47</v>
      </c>
      <c r="I5" s="10" t="s">
        <v>21</v>
      </c>
      <c r="J5" s="23" t="s">
        <v>20</v>
      </c>
      <c r="K5" s="3" t="s">
        <v>19</v>
      </c>
      <c r="L5" s="5" t="s">
        <v>6</v>
      </c>
      <c r="M5" s="38" t="s">
        <v>22</v>
      </c>
      <c r="N5" s="33" t="s">
        <v>48</v>
      </c>
      <c r="O5" s="7" t="s">
        <v>8</v>
      </c>
      <c r="P5" s="4" t="s">
        <v>5</v>
      </c>
      <c r="T5" s="146" t="s">
        <v>23</v>
      </c>
      <c r="U5" s="147"/>
      <c r="V5" s="147"/>
      <c r="W5" s="147"/>
      <c r="X5" s="147"/>
      <c r="Y5" s="147"/>
      <c r="Z5" s="147"/>
      <c r="AA5" s="147"/>
      <c r="AB5" s="147"/>
    </row>
    <row r="6" spans="1:25" s="15" customFormat="1" ht="20.25" customHeight="1">
      <c r="A6" s="11" t="s">
        <v>0</v>
      </c>
      <c r="B6" s="12">
        <v>183</v>
      </c>
      <c r="C6" s="12">
        <v>269</v>
      </c>
      <c r="D6" s="12">
        <f aca="true" t="shared" si="0" ref="D6:D13">SUM(B6:C6)</f>
        <v>452</v>
      </c>
      <c r="E6" s="12">
        <f>25+56</f>
        <v>81</v>
      </c>
      <c r="F6" s="12">
        <f>26+13</f>
        <v>39</v>
      </c>
      <c r="G6" s="12">
        <v>53</v>
      </c>
      <c r="H6" s="20">
        <f>+T6/D6</f>
        <v>209.1150442477876</v>
      </c>
      <c r="I6" s="13">
        <f aca="true" t="shared" si="1" ref="I6:I20">+E6/D6</f>
        <v>0.17920353982300885</v>
      </c>
      <c r="J6" s="13">
        <f aca="true" t="shared" si="2" ref="J6:J20">+F6/D6</f>
        <v>0.08628318584070796</v>
      </c>
      <c r="K6" s="24">
        <f aca="true" t="shared" si="3" ref="K6:K13">+(4000000/12)/D6</f>
        <v>737.4631268436577</v>
      </c>
      <c r="L6" s="14">
        <f>+(178+221)*90</f>
        <v>35910</v>
      </c>
      <c r="M6" s="39">
        <f>+D6/31</f>
        <v>14.580645161290322</v>
      </c>
      <c r="N6" s="27">
        <f aca="true" t="shared" si="4" ref="N6:N18">+(8252+3199)/12</f>
        <v>954.25</v>
      </c>
      <c r="O6" s="28">
        <f aca="true" t="shared" si="5" ref="O6:O20">+D6-N6</f>
        <v>-502.25</v>
      </c>
      <c r="P6" s="30">
        <f aca="true" t="shared" si="6" ref="P6:P20">+D6/N6</f>
        <v>0.47367042179722296</v>
      </c>
      <c r="T6" s="17">
        <v>94520</v>
      </c>
      <c r="U6" s="17">
        <v>110104</v>
      </c>
      <c r="V6" s="17">
        <v>72684</v>
      </c>
      <c r="W6" s="17">
        <v>119366</v>
      </c>
      <c r="X6" s="17">
        <v>114593</v>
      </c>
      <c r="Y6" s="17">
        <f>SUM(T6:X6)</f>
        <v>511267</v>
      </c>
    </row>
    <row r="7" spans="1:16" s="15" customFormat="1" ht="20.25" customHeight="1">
      <c r="A7" s="16" t="s">
        <v>1</v>
      </c>
      <c r="B7" s="17">
        <v>162</v>
      </c>
      <c r="C7" s="17">
        <v>270</v>
      </c>
      <c r="D7" s="12">
        <f t="shared" si="0"/>
        <v>432</v>
      </c>
      <c r="E7" s="12">
        <v>87</v>
      </c>
      <c r="F7" s="12">
        <v>22</v>
      </c>
      <c r="G7" s="12">
        <v>9</v>
      </c>
      <c r="H7" s="21">
        <f>+T6/D7</f>
        <v>218.7962962962963</v>
      </c>
      <c r="I7" s="13">
        <f t="shared" si="1"/>
        <v>0.2013888888888889</v>
      </c>
      <c r="J7" s="13">
        <f t="shared" si="2"/>
        <v>0.05092592592592592</v>
      </c>
      <c r="K7" s="24">
        <f t="shared" si="3"/>
        <v>771.6049382716049</v>
      </c>
      <c r="L7" s="14">
        <f>+(158+265)*90</f>
        <v>38070</v>
      </c>
      <c r="M7" s="39">
        <f>+D7/29</f>
        <v>14.89655172413793</v>
      </c>
      <c r="N7" s="27">
        <f t="shared" si="4"/>
        <v>954.25</v>
      </c>
      <c r="O7" s="28">
        <f t="shared" si="5"/>
        <v>-522.25</v>
      </c>
      <c r="P7" s="30">
        <f t="shared" si="6"/>
        <v>0.4527115535761069</v>
      </c>
    </row>
    <row r="8" spans="1:26" s="15" customFormat="1" ht="20.25" customHeight="1">
      <c r="A8" s="16" t="s">
        <v>2</v>
      </c>
      <c r="B8" s="17">
        <v>260</v>
      </c>
      <c r="C8" s="17">
        <v>334</v>
      </c>
      <c r="D8" s="12">
        <f t="shared" si="0"/>
        <v>594</v>
      </c>
      <c r="E8" s="12">
        <f>39+73</f>
        <v>112</v>
      </c>
      <c r="F8" s="12">
        <f>22+40</f>
        <v>62</v>
      </c>
      <c r="G8" s="12">
        <v>16</v>
      </c>
      <c r="H8" s="21">
        <f>+T6/D8</f>
        <v>159.12457912457913</v>
      </c>
      <c r="I8" s="13">
        <f t="shared" si="1"/>
        <v>0.18855218855218855</v>
      </c>
      <c r="J8" s="13">
        <f t="shared" si="2"/>
        <v>0.10437710437710437</v>
      </c>
      <c r="K8" s="24">
        <f t="shared" si="3"/>
        <v>561.1672278338945</v>
      </c>
      <c r="L8" s="14">
        <f aca="true" t="shared" si="7" ref="L8:L20">+(D8-G8)*90</f>
        <v>52020</v>
      </c>
      <c r="M8" s="39">
        <f>+D8/31</f>
        <v>19.161290322580644</v>
      </c>
      <c r="N8" s="27">
        <f t="shared" si="4"/>
        <v>954.25</v>
      </c>
      <c r="O8" s="28">
        <f t="shared" si="5"/>
        <v>-360.25</v>
      </c>
      <c r="P8" s="30">
        <f t="shared" si="6"/>
        <v>0.622478386167147</v>
      </c>
      <c r="T8"/>
      <c r="U8"/>
      <c r="V8"/>
      <c r="W8"/>
      <c r="X8"/>
      <c r="Y8"/>
      <c r="Z8"/>
    </row>
    <row r="9" spans="1:26" s="15" customFormat="1" ht="20.25" customHeight="1">
      <c r="A9" s="16" t="s">
        <v>24</v>
      </c>
      <c r="B9" s="17">
        <v>193</v>
      </c>
      <c r="C9" s="17">
        <v>321</v>
      </c>
      <c r="D9" s="12">
        <v>514</v>
      </c>
      <c r="E9" s="12">
        <v>114</v>
      </c>
      <c r="F9" s="12">
        <v>40</v>
      </c>
      <c r="G9" s="12">
        <v>11</v>
      </c>
      <c r="H9" s="21">
        <v>183.89105058365757</v>
      </c>
      <c r="I9" s="13">
        <f t="shared" si="1"/>
        <v>0.22178988326848248</v>
      </c>
      <c r="J9" s="13">
        <f t="shared" si="2"/>
        <v>0.07782101167315175</v>
      </c>
      <c r="K9" s="24">
        <f t="shared" si="3"/>
        <v>648.5084306095979</v>
      </c>
      <c r="L9" s="14">
        <f t="shared" si="7"/>
        <v>45270</v>
      </c>
      <c r="M9" s="39">
        <f>+D9/30</f>
        <v>17.133333333333333</v>
      </c>
      <c r="N9" s="27">
        <f t="shared" si="4"/>
        <v>954.25</v>
      </c>
      <c r="O9" s="28">
        <f t="shared" si="5"/>
        <v>-440.25</v>
      </c>
      <c r="P9" s="30">
        <f t="shared" si="6"/>
        <v>0.5386429132826828</v>
      </c>
      <c r="T9"/>
      <c r="U9"/>
      <c r="V9"/>
      <c r="W9"/>
      <c r="X9"/>
      <c r="Y9"/>
      <c r="Z9"/>
    </row>
    <row r="10" spans="1:26" s="15" customFormat="1" ht="20.25" customHeight="1">
      <c r="A10" s="16" t="s">
        <v>25</v>
      </c>
      <c r="B10" s="17">
        <v>240</v>
      </c>
      <c r="C10" s="17">
        <v>307</v>
      </c>
      <c r="D10" s="12">
        <f t="shared" si="0"/>
        <v>547</v>
      </c>
      <c r="E10" s="12">
        <f>35+51</f>
        <v>86</v>
      </c>
      <c r="F10" s="12">
        <f>21+18</f>
        <v>39</v>
      </c>
      <c r="G10" s="12">
        <f>1+8</f>
        <v>9</v>
      </c>
      <c r="H10" s="21">
        <f>+T6/D10</f>
        <v>172.79707495429616</v>
      </c>
      <c r="I10" s="13">
        <f t="shared" si="1"/>
        <v>0.15722120658135283</v>
      </c>
      <c r="J10" s="13">
        <f t="shared" si="2"/>
        <v>0.0712979890310786</v>
      </c>
      <c r="K10" s="24">
        <f t="shared" si="3"/>
        <v>609.3845216331505</v>
      </c>
      <c r="L10" s="14">
        <f t="shared" si="7"/>
        <v>48420</v>
      </c>
      <c r="M10" s="39">
        <f>+D10/31</f>
        <v>17.64516129032258</v>
      </c>
      <c r="N10" s="27">
        <f t="shared" si="4"/>
        <v>954.25</v>
      </c>
      <c r="O10" s="28">
        <f t="shared" si="5"/>
        <v>-407.25</v>
      </c>
      <c r="P10" s="30">
        <f t="shared" si="6"/>
        <v>0.5732250458475242</v>
      </c>
      <c r="T10"/>
      <c r="U10"/>
      <c r="V10"/>
      <c r="W10"/>
      <c r="X10"/>
      <c r="Y10"/>
      <c r="Z10"/>
    </row>
    <row r="11" spans="1:26" s="15" customFormat="1" ht="20.25" customHeight="1" thickBot="1">
      <c r="A11" s="57" t="s">
        <v>26</v>
      </c>
      <c r="B11" s="58">
        <v>241</v>
      </c>
      <c r="C11" s="58">
        <v>285</v>
      </c>
      <c r="D11" s="58">
        <f t="shared" si="0"/>
        <v>526</v>
      </c>
      <c r="E11" s="58">
        <f>34+57</f>
        <v>91</v>
      </c>
      <c r="F11" s="58">
        <f>23+14</f>
        <v>37</v>
      </c>
      <c r="G11" s="58">
        <f>4+11</f>
        <v>15</v>
      </c>
      <c r="H11" s="59">
        <f>+T6/D11</f>
        <v>179.6958174904943</v>
      </c>
      <c r="I11" s="60">
        <f t="shared" si="1"/>
        <v>0.17300380228136883</v>
      </c>
      <c r="J11" s="60">
        <f t="shared" si="2"/>
        <v>0.07034220532319392</v>
      </c>
      <c r="K11" s="61">
        <f t="shared" si="3"/>
        <v>633.7135614702154</v>
      </c>
      <c r="L11" s="62">
        <f t="shared" si="7"/>
        <v>45990</v>
      </c>
      <c r="M11" s="63">
        <f>+D11/30</f>
        <v>17.533333333333335</v>
      </c>
      <c r="N11" s="64">
        <f t="shared" si="4"/>
        <v>954.25</v>
      </c>
      <c r="O11" s="65">
        <f t="shared" si="5"/>
        <v>-428.25</v>
      </c>
      <c r="P11" s="66">
        <f t="shared" si="6"/>
        <v>0.5512182342153523</v>
      </c>
      <c r="T11"/>
      <c r="U11"/>
      <c r="V11"/>
      <c r="W11"/>
      <c r="X11"/>
      <c r="Y11"/>
      <c r="Z11"/>
    </row>
    <row r="12" spans="1:26" s="15" customFormat="1" ht="20.25" customHeight="1" thickBot="1" thickTop="1">
      <c r="A12" s="48" t="s">
        <v>28</v>
      </c>
      <c r="B12" s="49">
        <f aca="true" t="shared" si="8" ref="B12:G12">SUM(B6:B11)</f>
        <v>1279</v>
      </c>
      <c r="C12" s="49">
        <f t="shared" si="8"/>
        <v>1786</v>
      </c>
      <c r="D12" s="49">
        <f t="shared" si="8"/>
        <v>3065</v>
      </c>
      <c r="E12" s="49">
        <f t="shared" si="8"/>
        <v>571</v>
      </c>
      <c r="F12" s="49">
        <f t="shared" si="8"/>
        <v>239</v>
      </c>
      <c r="G12" s="49">
        <f t="shared" si="8"/>
        <v>113</v>
      </c>
      <c r="H12" s="50">
        <f>+T6/D12</f>
        <v>30.838499184339316</v>
      </c>
      <c r="I12" s="43">
        <f t="shared" si="1"/>
        <v>0.1862969004893964</v>
      </c>
      <c r="J12" s="43">
        <f t="shared" si="2"/>
        <v>0.07797716150081566</v>
      </c>
      <c r="K12" s="67">
        <f>+(4000000/2)/D12</f>
        <v>652.5285481239804</v>
      </c>
      <c r="L12" s="67">
        <f t="shared" si="7"/>
        <v>265680</v>
      </c>
      <c r="M12" s="68">
        <f>+D12/(31+29+31+30+31+30)</f>
        <v>16.84065934065934</v>
      </c>
      <c r="N12" s="45">
        <f>+(8252+3199)/12*6</f>
        <v>5725.5</v>
      </c>
      <c r="O12" s="46">
        <f t="shared" si="5"/>
        <v>-2660.5</v>
      </c>
      <c r="P12" s="47">
        <f t="shared" si="6"/>
        <v>0.5353244258143394</v>
      </c>
      <c r="T12"/>
      <c r="U12"/>
      <c r="V12"/>
      <c r="W12"/>
      <c r="X12"/>
      <c r="Y12"/>
      <c r="Z12"/>
    </row>
    <row r="13" spans="1:26" s="15" customFormat="1" ht="20.25" customHeight="1" thickTop="1">
      <c r="A13" s="11" t="s">
        <v>27</v>
      </c>
      <c r="B13" s="12">
        <v>223</v>
      </c>
      <c r="C13" s="12">
        <v>304</v>
      </c>
      <c r="D13" s="12">
        <f t="shared" si="0"/>
        <v>527</v>
      </c>
      <c r="E13" s="12"/>
      <c r="F13" s="12"/>
      <c r="G13" s="12"/>
      <c r="H13" s="20">
        <f>+T6/D13</f>
        <v>179.3548387096774</v>
      </c>
      <c r="I13" s="13">
        <f t="shared" si="1"/>
        <v>0</v>
      </c>
      <c r="J13" s="13">
        <f t="shared" si="2"/>
        <v>0</v>
      </c>
      <c r="K13" s="24">
        <f t="shared" si="3"/>
        <v>632.5110689437065</v>
      </c>
      <c r="L13" s="14">
        <f t="shared" si="7"/>
        <v>47430</v>
      </c>
      <c r="M13" s="39">
        <f>+D13/31</f>
        <v>17</v>
      </c>
      <c r="N13" s="27">
        <f t="shared" si="4"/>
        <v>954.25</v>
      </c>
      <c r="O13" s="28">
        <f t="shared" si="5"/>
        <v>-427.25</v>
      </c>
      <c r="P13" s="30">
        <f t="shared" si="6"/>
        <v>0.5522661776264082</v>
      </c>
      <c r="T13"/>
      <c r="U13"/>
      <c r="V13"/>
      <c r="W13"/>
      <c r="X13"/>
      <c r="Y13"/>
      <c r="Z13"/>
    </row>
    <row r="14" spans="1:26" s="15" customFormat="1" ht="20.25" customHeight="1">
      <c r="A14" s="11" t="s">
        <v>30</v>
      </c>
      <c r="B14" s="12">
        <v>199</v>
      </c>
      <c r="C14" s="12">
        <v>288</v>
      </c>
      <c r="D14" s="12">
        <f>SUM(B14:C14)</f>
        <v>487</v>
      </c>
      <c r="E14" s="12">
        <f>56+29</f>
        <v>85</v>
      </c>
      <c r="F14" s="12">
        <f>27+15</f>
        <v>42</v>
      </c>
      <c r="G14" s="12">
        <f>3+7</f>
        <v>10</v>
      </c>
      <c r="H14" s="20">
        <f>+T6/D14</f>
        <v>194.08624229979466</v>
      </c>
      <c r="I14" s="13">
        <f t="shared" si="1"/>
        <v>0.17453798767967146</v>
      </c>
      <c r="J14" s="13">
        <f t="shared" si="2"/>
        <v>0.08624229979466119</v>
      </c>
      <c r="K14" s="24">
        <f>+(4000000/12)/D14</f>
        <v>684.4626967830253</v>
      </c>
      <c r="L14" s="14">
        <f t="shared" si="7"/>
        <v>42930</v>
      </c>
      <c r="M14" s="39">
        <f>+D14/31</f>
        <v>15.709677419354838</v>
      </c>
      <c r="N14" s="27">
        <f t="shared" si="4"/>
        <v>954.25</v>
      </c>
      <c r="O14" s="28">
        <f t="shared" si="5"/>
        <v>-467.25</v>
      </c>
      <c r="P14" s="30">
        <f t="shared" si="6"/>
        <v>0.5103484411841761</v>
      </c>
      <c r="T14"/>
      <c r="U14"/>
      <c r="V14"/>
      <c r="W14"/>
      <c r="X14"/>
      <c r="Y14"/>
      <c r="Z14"/>
    </row>
    <row r="15" spans="1:26" s="15" customFormat="1" ht="20.25" customHeight="1">
      <c r="A15" s="11" t="s">
        <v>31</v>
      </c>
      <c r="B15" s="12">
        <v>171</v>
      </c>
      <c r="C15" s="12">
        <v>244</v>
      </c>
      <c r="D15" s="12">
        <f>SUM(B15:C15)</f>
        <v>415</v>
      </c>
      <c r="E15" s="12">
        <f>32+67</f>
        <v>99</v>
      </c>
      <c r="F15" s="12">
        <f>20+26</f>
        <v>46</v>
      </c>
      <c r="G15" s="12">
        <f>3+1</f>
        <v>4</v>
      </c>
      <c r="H15" s="20">
        <f>+T6/D15</f>
        <v>227.75903614457832</v>
      </c>
      <c r="I15" s="13">
        <f t="shared" si="1"/>
        <v>0.2385542168674699</v>
      </c>
      <c r="J15" s="13">
        <f t="shared" si="2"/>
        <v>0.1108433734939759</v>
      </c>
      <c r="K15" s="24">
        <f>+(4000000/12)/D15</f>
        <v>803.2128514056225</v>
      </c>
      <c r="L15" s="14">
        <f t="shared" si="7"/>
        <v>36990</v>
      </c>
      <c r="M15" s="39">
        <f>+D15/30</f>
        <v>13.833333333333334</v>
      </c>
      <c r="N15" s="27">
        <f t="shared" si="4"/>
        <v>954.25</v>
      </c>
      <c r="O15" s="28">
        <f t="shared" si="5"/>
        <v>-539.25</v>
      </c>
      <c r="P15" s="30">
        <f t="shared" si="6"/>
        <v>0.43489651558815823</v>
      </c>
      <c r="T15"/>
      <c r="U15"/>
      <c r="V15"/>
      <c r="W15"/>
      <c r="X15"/>
      <c r="Y15"/>
      <c r="Z15"/>
    </row>
    <row r="16" spans="1:26" s="15" customFormat="1" ht="20.25" customHeight="1">
      <c r="A16" s="11" t="s">
        <v>32</v>
      </c>
      <c r="B16" s="12">
        <v>181</v>
      </c>
      <c r="C16" s="12">
        <v>202</v>
      </c>
      <c r="D16" s="12">
        <f>SUM(B16:C16)</f>
        <v>383</v>
      </c>
      <c r="E16" s="12">
        <f>45+23</f>
        <v>68</v>
      </c>
      <c r="F16" s="12">
        <f>18+10</f>
        <v>28</v>
      </c>
      <c r="G16" s="12">
        <f>3+3</f>
        <v>6</v>
      </c>
      <c r="H16" s="20">
        <f>+T6/D16</f>
        <v>246.78851174934726</v>
      </c>
      <c r="I16" s="13">
        <f t="shared" si="1"/>
        <v>0.17754569190600522</v>
      </c>
      <c r="J16" s="13">
        <f t="shared" si="2"/>
        <v>0.0731070496083551</v>
      </c>
      <c r="K16" s="24">
        <f>+(4000000/12)/D16</f>
        <v>870.3220191470843</v>
      </c>
      <c r="L16" s="14">
        <f t="shared" si="7"/>
        <v>33930</v>
      </c>
      <c r="M16" s="39">
        <f>+D16/31</f>
        <v>12.35483870967742</v>
      </c>
      <c r="N16" s="27">
        <f t="shared" si="4"/>
        <v>954.25</v>
      </c>
      <c r="O16" s="28">
        <f t="shared" si="5"/>
        <v>-571.25</v>
      </c>
      <c r="P16" s="30">
        <f t="shared" si="6"/>
        <v>0.40136232643437253</v>
      </c>
      <c r="T16"/>
      <c r="U16"/>
      <c r="V16"/>
      <c r="W16"/>
      <c r="X16"/>
      <c r="Y16"/>
      <c r="Z16"/>
    </row>
    <row r="17" spans="1:26" s="15" customFormat="1" ht="20.25" customHeight="1">
      <c r="A17" s="11" t="s">
        <v>33</v>
      </c>
      <c r="B17" s="12">
        <v>211</v>
      </c>
      <c r="C17" s="12">
        <v>253</v>
      </c>
      <c r="D17" s="12">
        <f>SUM(B17:C17)</f>
        <v>464</v>
      </c>
      <c r="E17" s="12">
        <f>54+33</f>
        <v>87</v>
      </c>
      <c r="F17" s="12">
        <f>11+13</f>
        <v>24</v>
      </c>
      <c r="G17" s="12">
        <f>4+2</f>
        <v>6</v>
      </c>
      <c r="H17" s="20">
        <f>+T6/D17</f>
        <v>203.70689655172413</v>
      </c>
      <c r="I17" s="13">
        <f t="shared" si="1"/>
        <v>0.1875</v>
      </c>
      <c r="J17" s="13">
        <f t="shared" si="2"/>
        <v>0.05172413793103448</v>
      </c>
      <c r="K17" s="24">
        <f>+(4000000/12)/D17</f>
        <v>718.3908045977012</v>
      </c>
      <c r="L17" s="14">
        <f t="shared" si="7"/>
        <v>41220</v>
      </c>
      <c r="M17" s="39">
        <f>+D17/30</f>
        <v>15.466666666666667</v>
      </c>
      <c r="N17" s="27">
        <f t="shared" si="4"/>
        <v>954.25</v>
      </c>
      <c r="O17" s="28">
        <f t="shared" si="5"/>
        <v>-490.25</v>
      </c>
      <c r="P17" s="30">
        <f t="shared" si="6"/>
        <v>0.48624574272989257</v>
      </c>
      <c r="T17"/>
      <c r="U17"/>
      <c r="V17"/>
      <c r="W17"/>
      <c r="X17"/>
      <c r="Y17"/>
      <c r="Z17"/>
    </row>
    <row r="18" spans="1:26" s="15" customFormat="1" ht="20.25" customHeight="1" thickBot="1">
      <c r="A18" s="82" t="s">
        <v>34</v>
      </c>
      <c r="B18" s="83">
        <v>257</v>
      </c>
      <c r="C18" s="83">
        <v>317</v>
      </c>
      <c r="D18" s="83">
        <f>SUM(B18:C18)</f>
        <v>574</v>
      </c>
      <c r="E18" s="83">
        <f>43+55</f>
        <v>98</v>
      </c>
      <c r="F18" s="83">
        <f>20+15</f>
        <v>35</v>
      </c>
      <c r="G18" s="83">
        <f>7+1</f>
        <v>8</v>
      </c>
      <c r="H18" s="84">
        <f>+T6/D18</f>
        <v>164.66898954703834</v>
      </c>
      <c r="I18" s="85">
        <f t="shared" si="1"/>
        <v>0.17073170731707318</v>
      </c>
      <c r="J18" s="85">
        <f t="shared" si="2"/>
        <v>0.06097560975609756</v>
      </c>
      <c r="K18" s="86">
        <f>+(4000000/12)/D18</f>
        <v>580.7200929152149</v>
      </c>
      <c r="L18" s="87">
        <f t="shared" si="7"/>
        <v>50940</v>
      </c>
      <c r="M18" s="88">
        <f>+D18/31</f>
        <v>18.516129032258064</v>
      </c>
      <c r="N18" s="89">
        <f t="shared" si="4"/>
        <v>954.25</v>
      </c>
      <c r="O18" s="90">
        <f t="shared" si="5"/>
        <v>-380.25</v>
      </c>
      <c r="P18" s="91">
        <f t="shared" si="6"/>
        <v>0.6015195179460309</v>
      </c>
      <c r="T18"/>
      <c r="U18"/>
      <c r="V18"/>
      <c r="W18"/>
      <c r="X18"/>
      <c r="Y18"/>
      <c r="Z18"/>
    </row>
    <row r="19" spans="1:26" s="15" customFormat="1" ht="20.25" customHeight="1" thickBot="1" thickTop="1">
      <c r="A19" s="92" t="s">
        <v>28</v>
      </c>
      <c r="B19" s="98">
        <f aca="true" t="shared" si="9" ref="B19:G19">SUM(B13:B18)</f>
        <v>1242</v>
      </c>
      <c r="C19" s="98">
        <f t="shared" si="9"/>
        <v>1608</v>
      </c>
      <c r="D19" s="98">
        <f t="shared" si="9"/>
        <v>2850</v>
      </c>
      <c r="E19" s="98">
        <f t="shared" si="9"/>
        <v>437</v>
      </c>
      <c r="F19" s="98">
        <f t="shared" si="9"/>
        <v>175</v>
      </c>
      <c r="G19" s="98">
        <f t="shared" si="9"/>
        <v>34</v>
      </c>
      <c r="H19" s="93">
        <f>+T6/D19</f>
        <v>33.164912280701756</v>
      </c>
      <c r="I19" s="94">
        <f t="shared" si="1"/>
        <v>0.15333333333333332</v>
      </c>
      <c r="J19" s="94">
        <f t="shared" si="2"/>
        <v>0.06140350877192982</v>
      </c>
      <c r="K19" s="67">
        <f>+(4000000/2)/D19</f>
        <v>701.7543859649123</v>
      </c>
      <c r="L19" s="67">
        <f t="shared" si="7"/>
        <v>253440</v>
      </c>
      <c r="M19" s="68">
        <f>+D19/(31+31+30+31+30+31)</f>
        <v>15.48913043478261</v>
      </c>
      <c r="N19" s="95">
        <f>+(8252+3199)/12*6</f>
        <v>5725.5</v>
      </c>
      <c r="O19" s="96">
        <f t="shared" si="5"/>
        <v>-2875.5</v>
      </c>
      <c r="P19" s="97">
        <f t="shared" si="6"/>
        <v>0.49777312025150644</v>
      </c>
      <c r="T19"/>
      <c r="U19"/>
      <c r="V19"/>
      <c r="W19"/>
      <c r="X19"/>
      <c r="Y19"/>
      <c r="Z19"/>
    </row>
    <row r="20" spans="1:16" s="15" customFormat="1" ht="20.25" customHeight="1" thickBot="1" thickTop="1">
      <c r="A20" s="18" t="s">
        <v>35</v>
      </c>
      <c r="B20" s="19">
        <f aca="true" t="shared" si="10" ref="B20:G20">+B19+B12</f>
        <v>2521</v>
      </c>
      <c r="C20" s="19">
        <f t="shared" si="10"/>
        <v>3394</v>
      </c>
      <c r="D20" s="19">
        <f t="shared" si="10"/>
        <v>5915</v>
      </c>
      <c r="E20" s="19">
        <f t="shared" si="10"/>
        <v>1008</v>
      </c>
      <c r="F20" s="19">
        <f t="shared" si="10"/>
        <v>414</v>
      </c>
      <c r="G20" s="19">
        <f t="shared" si="10"/>
        <v>147</v>
      </c>
      <c r="H20" s="22">
        <f>+T6/D20</f>
        <v>15.97971259509721</v>
      </c>
      <c r="I20" s="25">
        <f t="shared" si="1"/>
        <v>0.17041420118343195</v>
      </c>
      <c r="J20" s="25">
        <f t="shared" si="2"/>
        <v>0.06999154691462384</v>
      </c>
      <c r="K20" s="26">
        <f>+(4000000)/D20</f>
        <v>676.2468300929839</v>
      </c>
      <c r="L20" s="35">
        <f t="shared" si="7"/>
        <v>519120</v>
      </c>
      <c r="M20" s="40">
        <f>+D20/365</f>
        <v>16.205479452054796</v>
      </c>
      <c r="N20" s="29">
        <f>+(8252+3199)/12*12</f>
        <v>11451</v>
      </c>
      <c r="O20" s="31">
        <f t="shared" si="5"/>
        <v>-5536</v>
      </c>
      <c r="P20" s="32">
        <f t="shared" si="6"/>
        <v>0.5165487730329229</v>
      </c>
    </row>
    <row r="21" ht="4.5" customHeight="1"/>
    <row r="22" spans="1:10" ht="16.5" thickBot="1">
      <c r="A22" s="8" t="s">
        <v>14</v>
      </c>
      <c r="J22" s="41"/>
    </row>
    <row r="23" spans="1:16" ht="14.25" customHeight="1">
      <c r="A23" s="140" t="s">
        <v>7</v>
      </c>
      <c r="B23" s="142">
        <v>2008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37"/>
      <c r="N23" s="6">
        <v>2007</v>
      </c>
      <c r="O23" s="144" t="s">
        <v>46</v>
      </c>
      <c r="P23" s="145"/>
    </row>
    <row r="24" spans="1:26" s="1" customFormat="1" ht="49.5" customHeight="1" thickBot="1">
      <c r="A24" s="141"/>
      <c r="B24" s="3" t="s">
        <v>3</v>
      </c>
      <c r="C24" s="3" t="s">
        <v>4</v>
      </c>
      <c r="D24" s="3" t="s">
        <v>18</v>
      </c>
      <c r="E24" s="23" t="s">
        <v>10</v>
      </c>
      <c r="F24" s="10" t="s">
        <v>9</v>
      </c>
      <c r="G24" s="10" t="s">
        <v>11</v>
      </c>
      <c r="H24" s="23" t="s">
        <v>47</v>
      </c>
      <c r="I24" s="10" t="s">
        <v>21</v>
      </c>
      <c r="J24" s="23" t="s">
        <v>20</v>
      </c>
      <c r="K24" s="3" t="s">
        <v>19</v>
      </c>
      <c r="L24" s="5" t="s">
        <v>6</v>
      </c>
      <c r="M24" s="38" t="s">
        <v>22</v>
      </c>
      <c r="N24" s="33" t="s">
        <v>48</v>
      </c>
      <c r="O24" s="7" t="s">
        <v>8</v>
      </c>
      <c r="P24" s="4" t="s">
        <v>5</v>
      </c>
      <c r="T24"/>
      <c r="U24"/>
      <c r="V24"/>
      <c r="W24"/>
      <c r="X24"/>
      <c r="Y24"/>
      <c r="Z24"/>
    </row>
    <row r="25" spans="1:26" s="15" customFormat="1" ht="20.25" customHeight="1">
      <c r="A25" s="11" t="s">
        <v>0</v>
      </c>
      <c r="B25" s="20">
        <v>198</v>
      </c>
      <c r="C25" s="20">
        <v>214</v>
      </c>
      <c r="D25" s="20">
        <f aca="true" t="shared" si="11" ref="D25:D37">SUM(B25:C25)</f>
        <v>412</v>
      </c>
      <c r="E25" s="20">
        <f>27+62</f>
        <v>89</v>
      </c>
      <c r="F25" s="20">
        <v>40</v>
      </c>
      <c r="G25" s="20">
        <v>12</v>
      </c>
      <c r="H25" s="20">
        <f>+U6/D25</f>
        <v>267.24271844660194</v>
      </c>
      <c r="I25" s="13">
        <f aca="true" t="shared" si="12" ref="I25:I39">+E25/D25</f>
        <v>0.21601941747572814</v>
      </c>
      <c r="J25" s="13">
        <f aca="true" t="shared" si="13" ref="J25:J39">+F25/D25</f>
        <v>0.0970873786407767</v>
      </c>
      <c r="K25" s="24">
        <f aca="true" t="shared" si="14" ref="K25:K37">+(4000000/12)/D25</f>
        <v>809.0614886731391</v>
      </c>
      <c r="L25" s="14">
        <f aca="true" t="shared" si="15" ref="L25:L39">+(D25-G25)*90</f>
        <v>36000</v>
      </c>
      <c r="M25" s="39">
        <f>+D25/31</f>
        <v>13.290322580645162</v>
      </c>
      <c r="N25" s="27">
        <f aca="true" t="shared" si="16" ref="N25:N37">+(5234+4784)/12</f>
        <v>834.8333333333334</v>
      </c>
      <c r="O25" s="28">
        <f aca="true" t="shared" si="17" ref="O25:O39">+D25-N25</f>
        <v>-422.83333333333337</v>
      </c>
      <c r="P25" s="30">
        <f aca="true" t="shared" si="18" ref="P25:P39">+D25/N25</f>
        <v>0.4935116789778399</v>
      </c>
      <c r="T25"/>
      <c r="U25"/>
      <c r="V25"/>
      <c r="W25"/>
      <c r="X25"/>
      <c r="Y25"/>
      <c r="Z25"/>
    </row>
    <row r="26" spans="1:26" s="15" customFormat="1" ht="20.25" customHeight="1">
      <c r="A26" s="16" t="s">
        <v>1</v>
      </c>
      <c r="B26" s="21">
        <v>253</v>
      </c>
      <c r="C26" s="21">
        <v>245</v>
      </c>
      <c r="D26" s="20">
        <f t="shared" si="11"/>
        <v>498</v>
      </c>
      <c r="E26" s="20">
        <f>37+55</f>
        <v>92</v>
      </c>
      <c r="F26" s="20">
        <f>27+14</f>
        <v>41</v>
      </c>
      <c r="G26" s="20">
        <v>28</v>
      </c>
      <c r="H26" s="21">
        <f>+U6/D26</f>
        <v>221.09236947791166</v>
      </c>
      <c r="I26" s="13">
        <f t="shared" si="12"/>
        <v>0.18473895582329317</v>
      </c>
      <c r="J26" s="13">
        <f t="shared" si="13"/>
        <v>0.0823293172690763</v>
      </c>
      <c r="K26" s="24">
        <f t="shared" si="14"/>
        <v>669.3440428380187</v>
      </c>
      <c r="L26" s="14">
        <f t="shared" si="15"/>
        <v>42300</v>
      </c>
      <c r="M26" s="39">
        <f>+D26/29</f>
        <v>17.17241379310345</v>
      </c>
      <c r="N26" s="27">
        <f t="shared" si="16"/>
        <v>834.8333333333334</v>
      </c>
      <c r="O26" s="28">
        <f t="shared" si="17"/>
        <v>-336.83333333333337</v>
      </c>
      <c r="P26" s="30">
        <f t="shared" si="18"/>
        <v>0.5965262527450589</v>
      </c>
      <c r="T26"/>
      <c r="U26"/>
      <c r="V26"/>
      <c r="W26"/>
      <c r="X26"/>
      <c r="Y26"/>
      <c r="Z26"/>
    </row>
    <row r="27" spans="1:26" s="15" customFormat="1" ht="20.25" customHeight="1">
      <c r="A27" s="16" t="s">
        <v>2</v>
      </c>
      <c r="B27" s="21">
        <v>373</v>
      </c>
      <c r="C27" s="21">
        <v>404</v>
      </c>
      <c r="D27" s="20">
        <f t="shared" si="11"/>
        <v>777</v>
      </c>
      <c r="E27" s="20">
        <f>68+45</f>
        <v>113</v>
      </c>
      <c r="F27" s="20">
        <f>15+29</f>
        <v>44</v>
      </c>
      <c r="G27" s="20">
        <f>32+40</f>
        <v>72</v>
      </c>
      <c r="H27" s="21">
        <f>+U6/D27</f>
        <v>141.7039897039897</v>
      </c>
      <c r="I27" s="13">
        <f t="shared" si="12"/>
        <v>0.14543114543114544</v>
      </c>
      <c r="J27" s="13">
        <f t="shared" si="13"/>
        <v>0.05662805662805663</v>
      </c>
      <c r="K27" s="24">
        <f t="shared" si="14"/>
        <v>429.000429000429</v>
      </c>
      <c r="L27" s="14">
        <f t="shared" si="15"/>
        <v>63450</v>
      </c>
      <c r="M27" s="39">
        <f>+D27/31</f>
        <v>25.06451612903226</v>
      </c>
      <c r="N27" s="27">
        <f t="shared" si="16"/>
        <v>834.8333333333334</v>
      </c>
      <c r="O27" s="28">
        <f t="shared" si="17"/>
        <v>-57.83333333333337</v>
      </c>
      <c r="P27" s="30">
        <f t="shared" si="18"/>
        <v>0.9307246955480135</v>
      </c>
      <c r="T27"/>
      <c r="U27"/>
      <c r="V27"/>
      <c r="W27"/>
      <c r="X27"/>
      <c r="Y27"/>
      <c r="Z27"/>
    </row>
    <row r="28" spans="1:26" s="15" customFormat="1" ht="20.25" customHeight="1">
      <c r="A28" s="16" t="s">
        <v>24</v>
      </c>
      <c r="B28" s="21">
        <v>321</v>
      </c>
      <c r="C28" s="21">
        <v>286</v>
      </c>
      <c r="D28" s="20">
        <f t="shared" si="11"/>
        <v>607</v>
      </c>
      <c r="E28" s="20">
        <v>111</v>
      </c>
      <c r="F28" s="20">
        <v>22</v>
      </c>
      <c r="G28" s="20">
        <v>18</v>
      </c>
      <c r="H28" s="21">
        <f>+U6/D28</f>
        <v>181.39044481054367</v>
      </c>
      <c r="I28" s="13">
        <f t="shared" si="12"/>
        <v>0.1828665568369028</v>
      </c>
      <c r="J28" s="13">
        <f t="shared" si="13"/>
        <v>0.036243822075782535</v>
      </c>
      <c r="K28" s="24">
        <f t="shared" si="14"/>
        <v>549.1488193300385</v>
      </c>
      <c r="L28" s="14">
        <f t="shared" si="15"/>
        <v>53010</v>
      </c>
      <c r="M28" s="39">
        <f>+D28/30</f>
        <v>20.233333333333334</v>
      </c>
      <c r="N28" s="27">
        <f t="shared" si="16"/>
        <v>834.8333333333334</v>
      </c>
      <c r="O28" s="28">
        <f t="shared" si="17"/>
        <v>-227.83333333333337</v>
      </c>
      <c r="P28" s="30">
        <f t="shared" si="18"/>
        <v>0.7270912357756039</v>
      </c>
      <c r="T28"/>
      <c r="U28"/>
      <c r="V28"/>
      <c r="W28"/>
      <c r="X28"/>
      <c r="Y28"/>
      <c r="Z28"/>
    </row>
    <row r="29" spans="1:26" s="15" customFormat="1" ht="20.25" customHeight="1">
      <c r="A29" s="16" t="s">
        <v>25</v>
      </c>
      <c r="B29" s="21">
        <v>372</v>
      </c>
      <c r="C29" s="21">
        <v>300</v>
      </c>
      <c r="D29" s="20">
        <f t="shared" si="11"/>
        <v>672</v>
      </c>
      <c r="E29" s="20">
        <f>50+43</f>
        <v>93</v>
      </c>
      <c r="F29" s="20">
        <f>21+14</f>
        <v>35</v>
      </c>
      <c r="G29" s="20">
        <f>21+32</f>
        <v>53</v>
      </c>
      <c r="H29" s="21">
        <f>+U6/D29</f>
        <v>163.8452380952381</v>
      </c>
      <c r="I29" s="13">
        <f t="shared" si="12"/>
        <v>0.13839285714285715</v>
      </c>
      <c r="J29" s="13">
        <f t="shared" si="13"/>
        <v>0.052083333333333336</v>
      </c>
      <c r="K29" s="24">
        <f t="shared" si="14"/>
        <v>496.031746031746</v>
      </c>
      <c r="L29" s="14">
        <f t="shared" si="15"/>
        <v>55710</v>
      </c>
      <c r="M29" s="39">
        <f>+D29/31</f>
        <v>21.677419354838708</v>
      </c>
      <c r="N29" s="27">
        <f t="shared" si="16"/>
        <v>834.8333333333334</v>
      </c>
      <c r="O29" s="28">
        <f t="shared" si="17"/>
        <v>-162.83333333333337</v>
      </c>
      <c r="P29" s="30">
        <f t="shared" si="18"/>
        <v>0.8049510880415253</v>
      </c>
      <c r="T29"/>
      <c r="U29"/>
      <c r="V29"/>
      <c r="W29"/>
      <c r="X29"/>
      <c r="Y29"/>
      <c r="Z29"/>
    </row>
    <row r="30" spans="1:26" s="15" customFormat="1" ht="20.25" customHeight="1" thickBot="1">
      <c r="A30" s="57" t="s">
        <v>26</v>
      </c>
      <c r="B30" s="59">
        <v>393</v>
      </c>
      <c r="C30" s="59">
        <v>333</v>
      </c>
      <c r="D30" s="59">
        <f t="shared" si="11"/>
        <v>726</v>
      </c>
      <c r="E30" s="59">
        <f>36+52</f>
        <v>88</v>
      </c>
      <c r="F30" s="59">
        <f>17+11</f>
        <v>28</v>
      </c>
      <c r="G30" s="59">
        <f>13+16</f>
        <v>29</v>
      </c>
      <c r="H30" s="59">
        <f>+U6/D30</f>
        <v>151.65840220385675</v>
      </c>
      <c r="I30" s="60">
        <f t="shared" si="12"/>
        <v>0.12121212121212122</v>
      </c>
      <c r="J30" s="60">
        <f t="shared" si="13"/>
        <v>0.03856749311294766</v>
      </c>
      <c r="K30" s="61">
        <f t="shared" si="14"/>
        <v>459.1368227731864</v>
      </c>
      <c r="L30" s="62">
        <f t="shared" si="15"/>
        <v>62730</v>
      </c>
      <c r="M30" s="63">
        <f>+D30/30</f>
        <v>24.2</v>
      </c>
      <c r="N30" s="69">
        <f t="shared" si="16"/>
        <v>834.8333333333334</v>
      </c>
      <c r="O30" s="65">
        <f t="shared" si="17"/>
        <v>-108.83333333333337</v>
      </c>
      <c r="P30" s="66">
        <f t="shared" si="18"/>
        <v>0.8696346576162907</v>
      </c>
      <c r="T30"/>
      <c r="U30"/>
      <c r="V30"/>
      <c r="W30"/>
      <c r="X30"/>
      <c r="Y30"/>
      <c r="Z30"/>
    </row>
    <row r="31" spans="1:26" s="15" customFormat="1" ht="20.25" customHeight="1" thickBot="1" thickTop="1">
      <c r="A31" s="48" t="s">
        <v>28</v>
      </c>
      <c r="B31" s="50">
        <f aca="true" t="shared" si="19" ref="B31:G31">SUM(B25:B30)</f>
        <v>1910</v>
      </c>
      <c r="C31" s="50">
        <f t="shared" si="19"/>
        <v>1782</v>
      </c>
      <c r="D31" s="50">
        <f t="shared" si="19"/>
        <v>3692</v>
      </c>
      <c r="E31" s="50">
        <f t="shared" si="19"/>
        <v>586</v>
      </c>
      <c r="F31" s="50">
        <f t="shared" si="19"/>
        <v>210</v>
      </c>
      <c r="G31" s="50">
        <f t="shared" si="19"/>
        <v>212</v>
      </c>
      <c r="H31" s="120">
        <f>+U7/D31</f>
        <v>0</v>
      </c>
      <c r="I31" s="43">
        <f>+E31/D31</f>
        <v>0.15872156013001085</v>
      </c>
      <c r="J31" s="43">
        <f t="shared" si="13"/>
        <v>0.056879739978331526</v>
      </c>
      <c r="K31" s="67">
        <f>+(4000000/2)/D31</f>
        <v>541.7118093174431</v>
      </c>
      <c r="L31" s="52">
        <f>SUM(L25:L30)</f>
        <v>313200</v>
      </c>
      <c r="M31" s="68">
        <f>+D31/(31+29+31+30+31+30)</f>
        <v>20.285714285714285</v>
      </c>
      <c r="N31" s="45">
        <f>+(5234+4784)/12*6</f>
        <v>5009</v>
      </c>
      <c r="O31" s="46">
        <f t="shared" si="17"/>
        <v>-1317</v>
      </c>
      <c r="P31" s="47">
        <f t="shared" si="18"/>
        <v>0.7370732681173887</v>
      </c>
      <c r="T31"/>
      <c r="U31"/>
      <c r="V31"/>
      <c r="W31"/>
      <c r="X31"/>
      <c r="Y31"/>
      <c r="Z31"/>
    </row>
    <row r="32" spans="1:26" s="15" customFormat="1" ht="20.25" customHeight="1" thickTop="1">
      <c r="A32" s="16" t="s">
        <v>27</v>
      </c>
      <c r="B32" s="21">
        <v>310</v>
      </c>
      <c r="C32" s="21">
        <v>336</v>
      </c>
      <c r="D32" s="20">
        <f t="shared" si="11"/>
        <v>646</v>
      </c>
      <c r="E32" s="20">
        <f>63+26</f>
        <v>89</v>
      </c>
      <c r="F32" s="20">
        <f>14+14</f>
        <v>28</v>
      </c>
      <c r="G32" s="20">
        <f>10+27</f>
        <v>37</v>
      </c>
      <c r="H32" s="21">
        <f>+U6/D32</f>
        <v>170.43962848297213</v>
      </c>
      <c r="I32" s="13">
        <f t="shared" si="12"/>
        <v>0.13777089783281735</v>
      </c>
      <c r="J32" s="13">
        <f t="shared" si="13"/>
        <v>0.043343653250773995</v>
      </c>
      <c r="K32" s="24">
        <f t="shared" si="14"/>
        <v>515.9958720330237</v>
      </c>
      <c r="L32" s="14">
        <f t="shared" si="15"/>
        <v>54810</v>
      </c>
      <c r="M32" s="39">
        <f>+D32/31</f>
        <v>20.838709677419356</v>
      </c>
      <c r="N32" s="27">
        <f t="shared" si="16"/>
        <v>834.8333333333334</v>
      </c>
      <c r="O32" s="28">
        <f t="shared" si="17"/>
        <v>-188.83333333333337</v>
      </c>
      <c r="P32" s="30">
        <f t="shared" si="18"/>
        <v>0.7738071471351566</v>
      </c>
      <c r="T32"/>
      <c r="U32"/>
      <c r="V32"/>
      <c r="W32"/>
      <c r="X32"/>
      <c r="Y32"/>
      <c r="Z32"/>
    </row>
    <row r="33" spans="1:26" s="15" customFormat="1" ht="20.25" customHeight="1">
      <c r="A33" s="11" t="s">
        <v>30</v>
      </c>
      <c r="B33" s="12">
        <v>283</v>
      </c>
      <c r="C33" s="12">
        <v>334</v>
      </c>
      <c r="D33" s="12">
        <f t="shared" si="11"/>
        <v>617</v>
      </c>
      <c r="E33" s="12">
        <f>56+23</f>
        <v>79</v>
      </c>
      <c r="F33" s="12">
        <f>21+18</f>
        <v>39</v>
      </c>
      <c r="G33" s="12">
        <f>17+19</f>
        <v>36</v>
      </c>
      <c r="H33" s="20">
        <f>+U6/D33</f>
        <v>178.45056726094003</v>
      </c>
      <c r="I33" s="13">
        <f t="shared" si="12"/>
        <v>0.1280388978930308</v>
      </c>
      <c r="J33" s="13">
        <f t="shared" si="13"/>
        <v>0.06320907617504051</v>
      </c>
      <c r="K33" s="24">
        <f>+(4000000/12)/D33</f>
        <v>540.2485143165856</v>
      </c>
      <c r="L33" s="14">
        <f t="shared" si="15"/>
        <v>52290</v>
      </c>
      <c r="M33" s="39">
        <f>+D33/31</f>
        <v>19.903225806451612</v>
      </c>
      <c r="N33" s="27">
        <f t="shared" si="16"/>
        <v>834.8333333333334</v>
      </c>
      <c r="O33" s="28">
        <f t="shared" si="17"/>
        <v>-217.83333333333337</v>
      </c>
      <c r="P33" s="30">
        <f t="shared" si="18"/>
        <v>0.7390696745857456</v>
      </c>
      <c r="T33"/>
      <c r="U33"/>
      <c r="V33"/>
      <c r="W33"/>
      <c r="X33"/>
      <c r="Y33"/>
      <c r="Z33"/>
    </row>
    <row r="34" spans="1:26" s="15" customFormat="1" ht="20.25" customHeight="1">
      <c r="A34" s="11" t="s">
        <v>31</v>
      </c>
      <c r="B34" s="12">
        <v>215</v>
      </c>
      <c r="C34" s="12">
        <v>285</v>
      </c>
      <c r="D34" s="12">
        <f t="shared" si="11"/>
        <v>500</v>
      </c>
      <c r="E34" s="12">
        <f>52+25</f>
        <v>77</v>
      </c>
      <c r="F34" s="12">
        <f>16+8</f>
        <v>24</v>
      </c>
      <c r="G34" s="12">
        <f>8+16</f>
        <v>24</v>
      </c>
      <c r="H34" s="20">
        <f>+U6/D34</f>
        <v>220.208</v>
      </c>
      <c r="I34" s="13">
        <f t="shared" si="12"/>
        <v>0.154</v>
      </c>
      <c r="J34" s="13">
        <f t="shared" si="13"/>
        <v>0.048</v>
      </c>
      <c r="K34" s="24">
        <f t="shared" si="14"/>
        <v>666.6666666666666</v>
      </c>
      <c r="L34" s="14">
        <f t="shared" si="15"/>
        <v>42840</v>
      </c>
      <c r="M34" s="39">
        <f>+D34/30</f>
        <v>16.666666666666668</v>
      </c>
      <c r="N34" s="27">
        <f t="shared" si="16"/>
        <v>834.8333333333334</v>
      </c>
      <c r="O34" s="28">
        <f t="shared" si="17"/>
        <v>-334.83333333333337</v>
      </c>
      <c r="P34" s="30">
        <f t="shared" si="18"/>
        <v>0.5989219405070872</v>
      </c>
      <c r="T34"/>
      <c r="U34"/>
      <c r="V34"/>
      <c r="W34"/>
      <c r="X34"/>
      <c r="Y34"/>
      <c r="Z34"/>
    </row>
    <row r="35" spans="1:26" s="15" customFormat="1" ht="20.25" customHeight="1">
      <c r="A35" s="11" t="s">
        <v>32</v>
      </c>
      <c r="B35" s="12">
        <v>281</v>
      </c>
      <c r="C35" s="12">
        <v>262</v>
      </c>
      <c r="D35" s="12">
        <f t="shared" si="11"/>
        <v>543</v>
      </c>
      <c r="E35" s="12">
        <f>56+49</f>
        <v>105</v>
      </c>
      <c r="F35" s="12">
        <f>16+21</f>
        <v>37</v>
      </c>
      <c r="G35" s="12">
        <f>11+19</f>
        <v>30</v>
      </c>
      <c r="H35" s="20">
        <f>+U6/D35</f>
        <v>202.7697974217311</v>
      </c>
      <c r="I35" s="13">
        <f t="shared" si="12"/>
        <v>0.19337016574585636</v>
      </c>
      <c r="J35" s="13">
        <f t="shared" si="13"/>
        <v>0.06813996316758748</v>
      </c>
      <c r="K35" s="24">
        <f t="shared" si="14"/>
        <v>613.8735420503376</v>
      </c>
      <c r="L35" s="14">
        <f t="shared" si="15"/>
        <v>46170</v>
      </c>
      <c r="M35" s="39">
        <f>+D35/31</f>
        <v>17.516129032258064</v>
      </c>
      <c r="N35" s="27">
        <f t="shared" si="16"/>
        <v>834.8333333333334</v>
      </c>
      <c r="O35" s="28">
        <f t="shared" si="17"/>
        <v>-291.83333333333337</v>
      </c>
      <c r="P35" s="30">
        <f t="shared" si="18"/>
        <v>0.6504292273906968</v>
      </c>
      <c r="T35"/>
      <c r="U35"/>
      <c r="V35"/>
      <c r="W35"/>
      <c r="X35"/>
      <c r="Y35"/>
      <c r="Z35"/>
    </row>
    <row r="36" spans="1:26" s="15" customFormat="1" ht="20.25" customHeight="1">
      <c r="A36" s="11" t="s">
        <v>33</v>
      </c>
      <c r="B36" s="12">
        <v>299</v>
      </c>
      <c r="C36" s="12">
        <v>279</v>
      </c>
      <c r="D36" s="12">
        <f t="shared" si="11"/>
        <v>578</v>
      </c>
      <c r="E36" s="12">
        <f>61+48</f>
        <v>109</v>
      </c>
      <c r="F36" s="12">
        <f>26+21</f>
        <v>47</v>
      </c>
      <c r="G36" s="12">
        <f>30+39</f>
        <v>69</v>
      </c>
      <c r="H36" s="20">
        <f>+U6/D36</f>
        <v>190.49134948096886</v>
      </c>
      <c r="I36" s="13">
        <f t="shared" si="12"/>
        <v>0.18858131487889274</v>
      </c>
      <c r="J36" s="13">
        <f t="shared" si="13"/>
        <v>0.08131487889273356</v>
      </c>
      <c r="K36" s="24">
        <f t="shared" si="14"/>
        <v>576.7012687427912</v>
      </c>
      <c r="L36" s="14">
        <f t="shared" si="15"/>
        <v>45810</v>
      </c>
      <c r="M36" s="39">
        <f>+D36/30</f>
        <v>19.266666666666666</v>
      </c>
      <c r="N36" s="27">
        <f t="shared" si="16"/>
        <v>834.8333333333334</v>
      </c>
      <c r="O36" s="28">
        <f t="shared" si="17"/>
        <v>-256.83333333333337</v>
      </c>
      <c r="P36" s="30">
        <f t="shared" si="18"/>
        <v>0.6923537632261928</v>
      </c>
      <c r="T36"/>
      <c r="U36"/>
      <c r="V36"/>
      <c r="W36"/>
      <c r="X36"/>
      <c r="Y36"/>
      <c r="Z36"/>
    </row>
    <row r="37" spans="1:26" s="15" customFormat="1" ht="20.25" customHeight="1" thickBot="1">
      <c r="A37" s="82" t="s">
        <v>34</v>
      </c>
      <c r="B37" s="83">
        <v>239</v>
      </c>
      <c r="C37" s="83">
        <v>226</v>
      </c>
      <c r="D37" s="83">
        <f t="shared" si="11"/>
        <v>465</v>
      </c>
      <c r="E37" s="83">
        <f>25+43</f>
        <v>68</v>
      </c>
      <c r="F37" s="83">
        <f>21+11</f>
        <v>32</v>
      </c>
      <c r="G37" s="83">
        <f>13+21</f>
        <v>34</v>
      </c>
      <c r="H37" s="84">
        <f>+U6/D37</f>
        <v>236.78279569892473</v>
      </c>
      <c r="I37" s="85">
        <f t="shared" si="12"/>
        <v>0.14623655913978495</v>
      </c>
      <c r="J37" s="85">
        <f t="shared" si="13"/>
        <v>0.06881720430107527</v>
      </c>
      <c r="K37" s="86">
        <f t="shared" si="14"/>
        <v>716.8458781362007</v>
      </c>
      <c r="L37" s="87">
        <f t="shared" si="15"/>
        <v>38790</v>
      </c>
      <c r="M37" s="88">
        <f>+D37/31</f>
        <v>15</v>
      </c>
      <c r="N37" s="27">
        <f t="shared" si="16"/>
        <v>834.8333333333334</v>
      </c>
      <c r="O37" s="90">
        <f t="shared" si="17"/>
        <v>-369.83333333333337</v>
      </c>
      <c r="P37" s="91">
        <f t="shared" si="18"/>
        <v>0.5569974046715911</v>
      </c>
      <c r="T37"/>
      <c r="U37"/>
      <c r="V37"/>
      <c r="W37"/>
      <c r="X37"/>
      <c r="Y37"/>
      <c r="Z37"/>
    </row>
    <row r="38" spans="1:26" s="15" customFormat="1" ht="20.25" customHeight="1" thickBot="1" thickTop="1">
      <c r="A38" s="92" t="s">
        <v>28</v>
      </c>
      <c r="B38" s="93">
        <f aca="true" t="shared" si="20" ref="B38:G38">SUM(B32:B37)</f>
        <v>1627</v>
      </c>
      <c r="C38" s="93">
        <f t="shared" si="20"/>
        <v>1722</v>
      </c>
      <c r="D38" s="93">
        <f t="shared" si="20"/>
        <v>3349</v>
      </c>
      <c r="E38" s="93">
        <f t="shared" si="20"/>
        <v>527</v>
      </c>
      <c r="F38" s="93">
        <f t="shared" si="20"/>
        <v>207</v>
      </c>
      <c r="G38" s="93">
        <f t="shared" si="20"/>
        <v>230</v>
      </c>
      <c r="H38" s="93">
        <f>+U6/D38</f>
        <v>32.876679605852495</v>
      </c>
      <c r="I38" s="94">
        <f t="shared" si="12"/>
        <v>0.15736040609137056</v>
      </c>
      <c r="J38" s="94">
        <f t="shared" si="13"/>
        <v>0.06180949537175276</v>
      </c>
      <c r="K38" s="67">
        <f>+(4000000/2)/D38</f>
        <v>597.1931919976113</v>
      </c>
      <c r="L38" s="67">
        <f t="shared" si="15"/>
        <v>280710</v>
      </c>
      <c r="M38" s="68">
        <f>+D38/(31+31+30+31+30+31)</f>
        <v>18.20108695652174</v>
      </c>
      <c r="N38" s="95">
        <f>+(5234+4784)/12*6</f>
        <v>5009</v>
      </c>
      <c r="O38" s="96">
        <f t="shared" si="17"/>
        <v>-1660</v>
      </c>
      <c r="P38" s="97">
        <f t="shared" si="18"/>
        <v>0.668596526252745</v>
      </c>
      <c r="T38"/>
      <c r="U38"/>
      <c r="V38"/>
      <c r="W38"/>
      <c r="X38"/>
      <c r="Y38"/>
      <c r="Z38"/>
    </row>
    <row r="39" spans="1:16" s="15" customFormat="1" ht="20.25" customHeight="1" thickBot="1" thickTop="1">
      <c r="A39" s="18" t="s">
        <v>35</v>
      </c>
      <c r="B39" s="22">
        <f aca="true" t="shared" si="21" ref="B39:G39">+B38+B31</f>
        <v>3537</v>
      </c>
      <c r="C39" s="22">
        <f t="shared" si="21"/>
        <v>3504</v>
      </c>
      <c r="D39" s="22">
        <f t="shared" si="21"/>
        <v>7041</v>
      </c>
      <c r="E39" s="22">
        <f t="shared" si="21"/>
        <v>1113</v>
      </c>
      <c r="F39" s="22">
        <f t="shared" si="21"/>
        <v>417</v>
      </c>
      <c r="G39" s="22">
        <f t="shared" si="21"/>
        <v>442</v>
      </c>
      <c r="H39" s="22">
        <f>+U6/D39</f>
        <v>15.637551484164181</v>
      </c>
      <c r="I39" s="25">
        <f t="shared" si="12"/>
        <v>0.15807413719642097</v>
      </c>
      <c r="J39" s="25">
        <f t="shared" si="13"/>
        <v>0.059224541968470386</v>
      </c>
      <c r="K39" s="26">
        <f>+(4000000)/D39</f>
        <v>568.1011219997159</v>
      </c>
      <c r="L39" s="35">
        <f t="shared" si="15"/>
        <v>593910</v>
      </c>
      <c r="M39" s="40">
        <f>+D39/365</f>
        <v>19.29041095890411</v>
      </c>
      <c r="N39" s="29">
        <f>+(5234+4784)/12*12</f>
        <v>10018</v>
      </c>
      <c r="O39" s="31">
        <f t="shared" si="17"/>
        <v>-2977</v>
      </c>
      <c r="P39" s="32">
        <f t="shared" si="18"/>
        <v>0.7028348971850669</v>
      </c>
    </row>
    <row r="40" ht="16.5" thickBot="1">
      <c r="A40" s="8" t="s">
        <v>15</v>
      </c>
    </row>
    <row r="41" spans="1:16" ht="18" customHeight="1">
      <c r="A41" s="140" t="s">
        <v>7</v>
      </c>
      <c r="B41" s="142">
        <v>2008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37"/>
      <c r="N41" s="6">
        <v>2007</v>
      </c>
      <c r="O41" s="144" t="s">
        <v>46</v>
      </c>
      <c r="P41" s="145"/>
    </row>
    <row r="42" spans="1:26" s="1" customFormat="1" ht="52.5" customHeight="1" thickBot="1">
      <c r="A42" s="141"/>
      <c r="B42" s="3" t="s">
        <v>3</v>
      </c>
      <c r="C42" s="3" t="s">
        <v>4</v>
      </c>
      <c r="D42" s="3" t="s">
        <v>18</v>
      </c>
      <c r="E42" s="23" t="s">
        <v>10</v>
      </c>
      <c r="F42" s="10" t="s">
        <v>9</v>
      </c>
      <c r="G42" s="10" t="s">
        <v>11</v>
      </c>
      <c r="H42" s="23" t="s">
        <v>47</v>
      </c>
      <c r="I42" s="10" t="s">
        <v>21</v>
      </c>
      <c r="J42" s="23" t="s">
        <v>20</v>
      </c>
      <c r="K42" s="3" t="s">
        <v>19</v>
      </c>
      <c r="L42" s="5" t="s">
        <v>6</v>
      </c>
      <c r="M42" s="38" t="s">
        <v>22</v>
      </c>
      <c r="N42" s="33" t="s">
        <v>48</v>
      </c>
      <c r="O42" s="7" t="s">
        <v>8</v>
      </c>
      <c r="P42" s="4" t="s">
        <v>5</v>
      </c>
      <c r="T42"/>
      <c r="U42"/>
      <c r="V42"/>
      <c r="W42"/>
      <c r="X42"/>
      <c r="Y42"/>
      <c r="Z42"/>
    </row>
    <row r="43" spans="1:26" s="15" customFormat="1" ht="20.25" customHeight="1">
      <c r="A43" s="11" t="s">
        <v>0</v>
      </c>
      <c r="B43" s="12">
        <v>200</v>
      </c>
      <c r="C43" s="12">
        <v>262</v>
      </c>
      <c r="D43" s="12">
        <f aca="true" t="shared" si="22" ref="D43:D55">SUM(B43:C43)</f>
        <v>462</v>
      </c>
      <c r="E43" s="12">
        <f>29+67</f>
        <v>96</v>
      </c>
      <c r="F43" s="12">
        <v>18</v>
      </c>
      <c r="G43" s="12">
        <v>28</v>
      </c>
      <c r="H43" s="20">
        <f>+V6/D43</f>
        <v>157.32467532467533</v>
      </c>
      <c r="I43" s="13">
        <f aca="true" t="shared" si="23" ref="I43:I57">+E43/D43</f>
        <v>0.2077922077922078</v>
      </c>
      <c r="J43" s="13">
        <f aca="true" t="shared" si="24" ref="J43:J57">+F43/D43</f>
        <v>0.03896103896103896</v>
      </c>
      <c r="K43" s="24">
        <f aca="true" t="shared" si="25" ref="K43:K50">+(4000000/12)/D43</f>
        <v>721.5007215007215</v>
      </c>
      <c r="L43" s="14">
        <f aca="true" t="shared" si="26" ref="L43:L57">+(D43-G43)*90</f>
        <v>39060</v>
      </c>
      <c r="M43" s="39">
        <f>+D43/31</f>
        <v>14.903225806451612</v>
      </c>
      <c r="N43" s="27">
        <f aca="true" t="shared" si="27" ref="N43:N55">+(10789+5455)/12</f>
        <v>1353.6666666666667</v>
      </c>
      <c r="O43" s="28">
        <f aca="true" t="shared" si="28" ref="O43:O57">+D43-N43</f>
        <v>-891.6666666666667</v>
      </c>
      <c r="P43" s="30">
        <f aca="true" t="shared" si="29" ref="P43:P57">+D43/N43</f>
        <v>0.3412952474759911</v>
      </c>
      <c r="T43"/>
      <c r="U43"/>
      <c r="V43"/>
      <c r="W43"/>
      <c r="X43"/>
      <c r="Y43"/>
      <c r="Z43"/>
    </row>
    <row r="44" spans="1:26" s="15" customFormat="1" ht="20.25" customHeight="1">
      <c r="A44" s="16" t="s">
        <v>1</v>
      </c>
      <c r="B44" s="17">
        <v>203</v>
      </c>
      <c r="C44" s="17">
        <v>234</v>
      </c>
      <c r="D44" s="12">
        <f t="shared" si="22"/>
        <v>437</v>
      </c>
      <c r="E44" s="12">
        <v>96</v>
      </c>
      <c r="F44" s="12">
        <v>20</v>
      </c>
      <c r="G44" s="12">
        <v>21</v>
      </c>
      <c r="H44" s="21">
        <f>+V6/D44</f>
        <v>166.32494279176203</v>
      </c>
      <c r="I44" s="13">
        <f t="shared" si="23"/>
        <v>0.21967963386727687</v>
      </c>
      <c r="J44" s="13">
        <f t="shared" si="24"/>
        <v>0.04576659038901602</v>
      </c>
      <c r="K44" s="24">
        <f t="shared" si="25"/>
        <v>762.7765064836003</v>
      </c>
      <c r="L44" s="14">
        <f t="shared" si="26"/>
        <v>37440</v>
      </c>
      <c r="M44" s="39">
        <f>+D44/29</f>
        <v>15.068965517241379</v>
      </c>
      <c r="N44" s="27">
        <f t="shared" si="27"/>
        <v>1353.6666666666667</v>
      </c>
      <c r="O44" s="28">
        <f t="shared" si="28"/>
        <v>-916.6666666666667</v>
      </c>
      <c r="P44" s="30">
        <f t="shared" si="29"/>
        <v>0.322826889928589</v>
      </c>
      <c r="T44"/>
      <c r="U44"/>
      <c r="V44"/>
      <c r="W44"/>
      <c r="X44"/>
      <c r="Y44"/>
      <c r="Z44"/>
    </row>
    <row r="45" spans="1:26" s="15" customFormat="1" ht="20.25" customHeight="1">
      <c r="A45" s="16" t="s">
        <v>2</v>
      </c>
      <c r="B45" s="17">
        <v>224</v>
      </c>
      <c r="C45" s="17">
        <v>369</v>
      </c>
      <c r="D45" s="12">
        <f t="shared" si="22"/>
        <v>593</v>
      </c>
      <c r="E45" s="12">
        <f>31+81</f>
        <v>112</v>
      </c>
      <c r="F45" s="12">
        <f>15+11</f>
        <v>26</v>
      </c>
      <c r="G45" s="12">
        <f>10+8</f>
        <v>18</v>
      </c>
      <c r="H45" s="21">
        <f>+V6/D45</f>
        <v>122.56998313659359</v>
      </c>
      <c r="I45" s="13">
        <f t="shared" si="23"/>
        <v>0.18887015177065766</v>
      </c>
      <c r="J45" s="13">
        <f t="shared" si="24"/>
        <v>0.04384485666104553</v>
      </c>
      <c r="K45" s="24">
        <f t="shared" si="25"/>
        <v>562.1135469364812</v>
      </c>
      <c r="L45" s="14">
        <f t="shared" si="26"/>
        <v>51750</v>
      </c>
      <c r="M45" s="39">
        <f>+D45/31</f>
        <v>19.129032258064516</v>
      </c>
      <c r="N45" s="27">
        <f t="shared" si="27"/>
        <v>1353.6666666666667</v>
      </c>
      <c r="O45" s="28">
        <f t="shared" si="28"/>
        <v>-760.6666666666667</v>
      </c>
      <c r="P45" s="30">
        <f t="shared" si="29"/>
        <v>0.4380694410243782</v>
      </c>
      <c r="T45"/>
      <c r="U45"/>
      <c r="V45"/>
      <c r="W45"/>
      <c r="X45"/>
      <c r="Y45"/>
      <c r="Z45"/>
    </row>
    <row r="46" spans="1:26" s="15" customFormat="1" ht="20.25" customHeight="1">
      <c r="A46" s="16" t="s">
        <v>24</v>
      </c>
      <c r="B46" s="17">
        <v>250</v>
      </c>
      <c r="C46" s="17">
        <v>234</v>
      </c>
      <c r="D46" s="12">
        <f t="shared" si="22"/>
        <v>484</v>
      </c>
      <c r="E46" s="12">
        <v>112</v>
      </c>
      <c r="F46" s="12">
        <v>21</v>
      </c>
      <c r="G46" s="12">
        <v>24</v>
      </c>
      <c r="H46" s="21">
        <f>+V6/D46</f>
        <v>150.17355371900825</v>
      </c>
      <c r="I46" s="13">
        <f t="shared" si="23"/>
        <v>0.23140495867768596</v>
      </c>
      <c r="J46" s="13">
        <f t="shared" si="24"/>
        <v>0.04338842975206612</v>
      </c>
      <c r="K46" s="24">
        <f t="shared" si="25"/>
        <v>688.7052341597796</v>
      </c>
      <c r="L46" s="14">
        <f t="shared" si="26"/>
        <v>41400</v>
      </c>
      <c r="M46" s="39">
        <f>+D46/30</f>
        <v>16.133333333333333</v>
      </c>
      <c r="N46" s="27">
        <f t="shared" si="27"/>
        <v>1353.6666666666667</v>
      </c>
      <c r="O46" s="28">
        <f t="shared" si="28"/>
        <v>-869.6666666666667</v>
      </c>
      <c r="P46" s="30">
        <f t="shared" si="29"/>
        <v>0.35754740211770497</v>
      </c>
      <c r="T46"/>
      <c r="U46"/>
      <c r="V46"/>
      <c r="W46"/>
      <c r="X46"/>
      <c r="Y46"/>
      <c r="Z46"/>
    </row>
    <row r="47" spans="1:26" s="15" customFormat="1" ht="20.25" customHeight="1">
      <c r="A47" s="16" t="s">
        <v>25</v>
      </c>
      <c r="B47" s="17">
        <v>321</v>
      </c>
      <c r="C47" s="17">
        <v>320</v>
      </c>
      <c r="D47" s="12">
        <f t="shared" si="22"/>
        <v>641</v>
      </c>
      <c r="E47" s="12">
        <f>78+36</f>
        <v>114</v>
      </c>
      <c r="F47" s="12">
        <f>6+22</f>
        <v>28</v>
      </c>
      <c r="G47" s="12">
        <f>14+26</f>
        <v>40</v>
      </c>
      <c r="H47" s="21">
        <f>+V6/D47</f>
        <v>113.39157566302652</v>
      </c>
      <c r="I47" s="13">
        <f t="shared" si="23"/>
        <v>0.17784711388455537</v>
      </c>
      <c r="J47" s="13">
        <f t="shared" si="24"/>
        <v>0.0436817472698908</v>
      </c>
      <c r="K47" s="24">
        <f t="shared" si="25"/>
        <v>520.0208008320333</v>
      </c>
      <c r="L47" s="14">
        <f t="shared" si="26"/>
        <v>54090</v>
      </c>
      <c r="M47" s="39">
        <f>+D47/31</f>
        <v>20.677419354838708</v>
      </c>
      <c r="N47" s="27">
        <f t="shared" si="27"/>
        <v>1353.6666666666667</v>
      </c>
      <c r="O47" s="28">
        <f t="shared" si="28"/>
        <v>-712.6666666666667</v>
      </c>
      <c r="P47" s="30">
        <f t="shared" si="29"/>
        <v>0.4735286875153903</v>
      </c>
      <c r="T47"/>
      <c r="U47"/>
      <c r="V47"/>
      <c r="W47"/>
      <c r="X47"/>
      <c r="Y47"/>
      <c r="Z47"/>
    </row>
    <row r="48" spans="1:26" s="15" customFormat="1" ht="20.25" customHeight="1" thickBot="1">
      <c r="A48" s="57" t="s">
        <v>26</v>
      </c>
      <c r="B48" s="58">
        <v>282</v>
      </c>
      <c r="C48" s="58">
        <v>300</v>
      </c>
      <c r="D48" s="58">
        <f t="shared" si="22"/>
        <v>582</v>
      </c>
      <c r="E48" s="58">
        <f>34+83</f>
        <v>117</v>
      </c>
      <c r="F48" s="58">
        <f>13+11</f>
        <v>24</v>
      </c>
      <c r="G48" s="58">
        <f>33+22</f>
        <v>55</v>
      </c>
      <c r="H48" s="59">
        <f>+V6/D48</f>
        <v>124.88659793814433</v>
      </c>
      <c r="I48" s="60">
        <f t="shared" si="23"/>
        <v>0.20103092783505155</v>
      </c>
      <c r="J48" s="60">
        <f t="shared" si="24"/>
        <v>0.041237113402061855</v>
      </c>
      <c r="K48" s="61">
        <f t="shared" si="25"/>
        <v>572.737686139748</v>
      </c>
      <c r="L48" s="62">
        <f t="shared" si="26"/>
        <v>47430</v>
      </c>
      <c r="M48" s="63">
        <f>+D48/30</f>
        <v>19.4</v>
      </c>
      <c r="N48" s="64">
        <f t="shared" si="27"/>
        <v>1353.6666666666667</v>
      </c>
      <c r="O48" s="65">
        <f t="shared" si="28"/>
        <v>-771.6666666666667</v>
      </c>
      <c r="P48" s="66">
        <f t="shared" si="29"/>
        <v>0.42994336370352126</v>
      </c>
      <c r="T48"/>
      <c r="U48"/>
      <c r="V48"/>
      <c r="W48"/>
      <c r="X48"/>
      <c r="Y48"/>
      <c r="Z48"/>
    </row>
    <row r="49" spans="1:26" s="15" customFormat="1" ht="20.25" customHeight="1" thickBot="1" thickTop="1">
      <c r="A49" s="48" t="s">
        <v>29</v>
      </c>
      <c r="B49" s="50">
        <f aca="true" t="shared" si="30" ref="B49:G49">SUM(B43:B48)</f>
        <v>1480</v>
      </c>
      <c r="C49" s="50">
        <f t="shared" si="30"/>
        <v>1719</v>
      </c>
      <c r="D49" s="50">
        <f t="shared" si="30"/>
        <v>3199</v>
      </c>
      <c r="E49" s="50">
        <f t="shared" si="30"/>
        <v>647</v>
      </c>
      <c r="F49" s="50">
        <f t="shared" si="30"/>
        <v>137</v>
      </c>
      <c r="G49" s="50">
        <f t="shared" si="30"/>
        <v>186</v>
      </c>
      <c r="H49" s="120">
        <f>+V6/D49</f>
        <v>22.720850265708034</v>
      </c>
      <c r="I49" s="43">
        <f t="shared" si="23"/>
        <v>0.20225070334479525</v>
      </c>
      <c r="J49" s="43">
        <f t="shared" si="24"/>
        <v>0.04282588308846515</v>
      </c>
      <c r="K49" s="44">
        <f>+(4000000/12)*6/D49</f>
        <v>625.1953735542357</v>
      </c>
      <c r="L49" s="52">
        <f>SUM(L43:L48)</f>
        <v>271170</v>
      </c>
      <c r="M49" s="68">
        <f>+D49/(31+29+31+30+31+30)</f>
        <v>17.576923076923077</v>
      </c>
      <c r="N49" s="45">
        <f>+(10789+5455)/12*6</f>
        <v>8122</v>
      </c>
      <c r="O49" s="46">
        <f t="shared" si="28"/>
        <v>-4923</v>
      </c>
      <c r="P49" s="47">
        <f t="shared" si="29"/>
        <v>0.3938685052942625</v>
      </c>
      <c r="T49"/>
      <c r="U49"/>
      <c r="V49"/>
      <c r="W49"/>
      <c r="X49"/>
      <c r="Y49"/>
      <c r="Z49"/>
    </row>
    <row r="50" spans="1:26" s="15" customFormat="1" ht="20.25" customHeight="1" thickTop="1">
      <c r="A50" s="16" t="s">
        <v>27</v>
      </c>
      <c r="B50" s="17">
        <v>301</v>
      </c>
      <c r="C50" s="17">
        <v>372</v>
      </c>
      <c r="D50" s="12">
        <f t="shared" si="22"/>
        <v>673</v>
      </c>
      <c r="E50" s="12">
        <f>39+76</f>
        <v>115</v>
      </c>
      <c r="F50" s="12">
        <f>12+16</f>
        <v>28</v>
      </c>
      <c r="G50" s="12">
        <f>20+14</f>
        <v>34</v>
      </c>
      <c r="H50" s="21">
        <f>+V6/D50</f>
        <v>108</v>
      </c>
      <c r="I50" s="13">
        <f t="shared" si="23"/>
        <v>0.17087667161961367</v>
      </c>
      <c r="J50" s="13">
        <f t="shared" si="24"/>
        <v>0.041604754829123326</v>
      </c>
      <c r="K50" s="24">
        <f t="shared" si="25"/>
        <v>495.29470034670624</v>
      </c>
      <c r="L50" s="14">
        <f t="shared" si="26"/>
        <v>57510</v>
      </c>
      <c r="M50" s="39">
        <f>+D50/31</f>
        <v>21.70967741935484</v>
      </c>
      <c r="N50" s="27">
        <f t="shared" si="27"/>
        <v>1353.6666666666667</v>
      </c>
      <c r="O50" s="28">
        <f t="shared" si="28"/>
        <v>-680.6666666666667</v>
      </c>
      <c r="P50" s="30">
        <f t="shared" si="29"/>
        <v>0.497168185176065</v>
      </c>
      <c r="T50"/>
      <c r="U50"/>
      <c r="V50"/>
      <c r="W50"/>
      <c r="X50"/>
      <c r="Y50"/>
      <c r="Z50"/>
    </row>
    <row r="51" spans="1:26" s="15" customFormat="1" ht="20.25" customHeight="1">
      <c r="A51" s="11" t="s">
        <v>30</v>
      </c>
      <c r="B51" s="12">
        <v>251</v>
      </c>
      <c r="C51" s="12">
        <v>366</v>
      </c>
      <c r="D51" s="12">
        <f t="shared" si="22"/>
        <v>617</v>
      </c>
      <c r="E51" s="12">
        <f>83+35</f>
        <v>118</v>
      </c>
      <c r="F51" s="12">
        <f>13+12</f>
        <v>25</v>
      </c>
      <c r="G51" s="12">
        <f>20+14</f>
        <v>34</v>
      </c>
      <c r="H51" s="20">
        <f>+V6/D51</f>
        <v>117.80226904376013</v>
      </c>
      <c r="I51" s="13">
        <f t="shared" si="23"/>
        <v>0.1912479740680713</v>
      </c>
      <c r="J51" s="13">
        <f t="shared" si="24"/>
        <v>0.04051863857374392</v>
      </c>
      <c r="K51" s="24">
        <f>+(4000000/12)/D51</f>
        <v>540.2485143165856</v>
      </c>
      <c r="L51" s="14">
        <f t="shared" si="26"/>
        <v>52470</v>
      </c>
      <c r="M51" s="39">
        <f>+D51/31</f>
        <v>19.903225806451612</v>
      </c>
      <c r="N51" s="27">
        <f t="shared" si="27"/>
        <v>1353.6666666666667</v>
      </c>
      <c r="O51" s="28">
        <f t="shared" si="28"/>
        <v>-736.6666666666667</v>
      </c>
      <c r="P51" s="30">
        <f t="shared" si="29"/>
        <v>0.45579906426988426</v>
      </c>
      <c r="T51"/>
      <c r="U51"/>
      <c r="V51"/>
      <c r="W51"/>
      <c r="X51"/>
      <c r="Y51"/>
      <c r="Z51"/>
    </row>
    <row r="52" spans="1:26" s="15" customFormat="1" ht="20.25" customHeight="1">
      <c r="A52" s="11" t="s">
        <v>31</v>
      </c>
      <c r="B52" s="12">
        <v>133</v>
      </c>
      <c r="C52" s="12">
        <v>290</v>
      </c>
      <c r="D52" s="12">
        <f t="shared" si="22"/>
        <v>423</v>
      </c>
      <c r="E52" s="12">
        <f>62+13</f>
        <v>75</v>
      </c>
      <c r="F52" s="12">
        <f>2+12</f>
        <v>14</v>
      </c>
      <c r="G52" s="12">
        <f>8+12</f>
        <v>20</v>
      </c>
      <c r="H52" s="20">
        <f>+V6/D52</f>
        <v>171.82978723404256</v>
      </c>
      <c r="I52" s="13">
        <f t="shared" si="23"/>
        <v>0.1773049645390071</v>
      </c>
      <c r="J52" s="13">
        <f t="shared" si="24"/>
        <v>0.03309692671394799</v>
      </c>
      <c r="K52" s="24">
        <f>+(4000000/12)/D52</f>
        <v>788.0220646178093</v>
      </c>
      <c r="L52" s="14">
        <f t="shared" si="26"/>
        <v>36270</v>
      </c>
      <c r="M52" s="39">
        <f>+D52/30</f>
        <v>14.1</v>
      </c>
      <c r="N52" s="27">
        <f t="shared" si="27"/>
        <v>1353.6666666666667</v>
      </c>
      <c r="O52" s="28">
        <f t="shared" si="28"/>
        <v>-930.6666666666667</v>
      </c>
      <c r="P52" s="30">
        <f t="shared" si="29"/>
        <v>0.31248460970204384</v>
      </c>
      <c r="T52"/>
      <c r="U52"/>
      <c r="V52"/>
      <c r="W52"/>
      <c r="X52"/>
      <c r="Y52"/>
      <c r="Z52"/>
    </row>
    <row r="53" spans="1:26" s="15" customFormat="1" ht="20.25" customHeight="1">
      <c r="A53" s="11" t="s">
        <v>32</v>
      </c>
      <c r="B53" s="12">
        <v>212</v>
      </c>
      <c r="C53" s="12">
        <v>274</v>
      </c>
      <c r="D53" s="12">
        <f t="shared" si="22"/>
        <v>486</v>
      </c>
      <c r="E53" s="12">
        <f>31+54</f>
        <v>85</v>
      </c>
      <c r="F53" s="12">
        <f>8+13</f>
        <v>21</v>
      </c>
      <c r="G53" s="12">
        <f>17+15</f>
        <v>32</v>
      </c>
      <c r="H53" s="20">
        <f>+V6/D53</f>
        <v>149.55555555555554</v>
      </c>
      <c r="I53" s="13">
        <f t="shared" si="23"/>
        <v>0.1748971193415638</v>
      </c>
      <c r="J53" s="13">
        <f t="shared" si="24"/>
        <v>0.043209876543209874</v>
      </c>
      <c r="K53" s="24">
        <f>+(4000000/12)/D53</f>
        <v>685.8710562414266</v>
      </c>
      <c r="L53" s="14">
        <f t="shared" si="26"/>
        <v>40860</v>
      </c>
      <c r="M53" s="39">
        <f>+D53/31</f>
        <v>15.67741935483871</v>
      </c>
      <c r="N53" s="27">
        <f t="shared" si="27"/>
        <v>1353.6666666666667</v>
      </c>
      <c r="O53" s="28">
        <f t="shared" si="28"/>
        <v>-867.6666666666667</v>
      </c>
      <c r="P53" s="30">
        <f t="shared" si="29"/>
        <v>0.35902487072149714</v>
      </c>
      <c r="T53"/>
      <c r="U53"/>
      <c r="V53"/>
      <c r="W53"/>
      <c r="X53"/>
      <c r="Y53"/>
      <c r="Z53"/>
    </row>
    <row r="54" spans="1:26" s="15" customFormat="1" ht="20.25" customHeight="1">
      <c r="A54" s="11" t="s">
        <v>33</v>
      </c>
      <c r="B54" s="12">
        <v>207</v>
      </c>
      <c r="C54" s="12">
        <v>255</v>
      </c>
      <c r="D54" s="12">
        <f t="shared" si="22"/>
        <v>462</v>
      </c>
      <c r="E54" s="12">
        <f>28+66</f>
        <v>94</v>
      </c>
      <c r="F54" s="12">
        <f>8+11</f>
        <v>19</v>
      </c>
      <c r="G54" s="12">
        <f>12+16</f>
        <v>28</v>
      </c>
      <c r="H54" s="20">
        <f>+V6/D54</f>
        <v>157.32467532467533</v>
      </c>
      <c r="I54" s="13">
        <f t="shared" si="23"/>
        <v>0.20346320346320346</v>
      </c>
      <c r="J54" s="13">
        <f t="shared" si="24"/>
        <v>0.04112554112554113</v>
      </c>
      <c r="K54" s="24">
        <f>+(4000000/12)/D54</f>
        <v>721.5007215007215</v>
      </c>
      <c r="L54" s="14">
        <f t="shared" si="26"/>
        <v>39060</v>
      </c>
      <c r="M54" s="39">
        <f>+D54/30</f>
        <v>15.4</v>
      </c>
      <c r="N54" s="27">
        <f t="shared" si="27"/>
        <v>1353.6666666666667</v>
      </c>
      <c r="O54" s="28">
        <f t="shared" si="28"/>
        <v>-891.6666666666667</v>
      </c>
      <c r="P54" s="30">
        <f t="shared" si="29"/>
        <v>0.3412952474759911</v>
      </c>
      <c r="T54"/>
      <c r="U54"/>
      <c r="V54"/>
      <c r="W54"/>
      <c r="X54"/>
      <c r="Y54"/>
      <c r="Z54"/>
    </row>
    <row r="55" spans="1:26" s="15" customFormat="1" ht="20.25" customHeight="1" thickBot="1">
      <c r="A55" s="82" t="s">
        <v>34</v>
      </c>
      <c r="B55" s="83">
        <v>314</v>
      </c>
      <c r="C55" s="83">
        <v>310</v>
      </c>
      <c r="D55" s="83">
        <f t="shared" si="22"/>
        <v>624</v>
      </c>
      <c r="E55" s="83">
        <f>49+29</f>
        <v>78</v>
      </c>
      <c r="F55" s="83">
        <f>15+6</f>
        <v>21</v>
      </c>
      <c r="G55" s="83">
        <f>19+14</f>
        <v>33</v>
      </c>
      <c r="H55" s="84">
        <f>+V6/D55</f>
        <v>116.48076923076923</v>
      </c>
      <c r="I55" s="85">
        <f t="shared" si="23"/>
        <v>0.125</v>
      </c>
      <c r="J55" s="85">
        <f t="shared" si="24"/>
        <v>0.03365384615384615</v>
      </c>
      <c r="K55" s="86">
        <f>+(4000000/12)/D55</f>
        <v>534.1880341880342</v>
      </c>
      <c r="L55" s="87">
        <f t="shared" si="26"/>
        <v>53190</v>
      </c>
      <c r="M55" s="88">
        <f>+D55/31</f>
        <v>20.129032258064516</v>
      </c>
      <c r="N55" s="27">
        <f t="shared" si="27"/>
        <v>1353.6666666666667</v>
      </c>
      <c r="O55" s="90">
        <f t="shared" si="28"/>
        <v>-729.6666666666667</v>
      </c>
      <c r="P55" s="91">
        <f t="shared" si="29"/>
        <v>0.46097020438315683</v>
      </c>
      <c r="T55"/>
      <c r="U55"/>
      <c r="V55"/>
      <c r="W55"/>
      <c r="X55"/>
      <c r="Y55"/>
      <c r="Z55"/>
    </row>
    <row r="56" spans="1:26" s="15" customFormat="1" ht="20.25" customHeight="1" thickBot="1" thickTop="1">
      <c r="A56" s="92" t="s">
        <v>28</v>
      </c>
      <c r="B56" s="98">
        <f aca="true" t="shared" si="31" ref="B56:G56">SUM(B50:B55)</f>
        <v>1418</v>
      </c>
      <c r="C56" s="98">
        <f t="shared" si="31"/>
        <v>1867</v>
      </c>
      <c r="D56" s="98">
        <f t="shared" si="31"/>
        <v>3285</v>
      </c>
      <c r="E56" s="98">
        <f t="shared" si="31"/>
        <v>565</v>
      </c>
      <c r="F56" s="98">
        <f t="shared" si="31"/>
        <v>128</v>
      </c>
      <c r="G56" s="98">
        <f t="shared" si="31"/>
        <v>181</v>
      </c>
      <c r="H56" s="93">
        <f>+V6/D56</f>
        <v>22.126027397260273</v>
      </c>
      <c r="I56" s="94">
        <f t="shared" si="23"/>
        <v>0.1719939117199391</v>
      </c>
      <c r="J56" s="94">
        <f t="shared" si="24"/>
        <v>0.03896499238964993</v>
      </c>
      <c r="K56" s="67">
        <f>+(4000000/2)/D56</f>
        <v>608.8280060882801</v>
      </c>
      <c r="L56" s="67">
        <f t="shared" si="26"/>
        <v>279360</v>
      </c>
      <c r="M56" s="68">
        <f>+D56/(31+31+30+31+30+31)</f>
        <v>17.85326086956522</v>
      </c>
      <c r="N56" s="95">
        <f>+(10789+5455)/12*6</f>
        <v>8122</v>
      </c>
      <c r="O56" s="96">
        <f t="shared" si="28"/>
        <v>-4837</v>
      </c>
      <c r="P56" s="97">
        <f t="shared" si="29"/>
        <v>0.40445703028810637</v>
      </c>
      <c r="T56"/>
      <c r="U56"/>
      <c r="V56"/>
      <c r="W56"/>
      <c r="X56"/>
      <c r="Y56"/>
      <c r="Z56"/>
    </row>
    <row r="57" spans="1:16" s="15" customFormat="1" ht="20.25" customHeight="1" thickBot="1" thickTop="1">
      <c r="A57" s="18" t="s">
        <v>35</v>
      </c>
      <c r="B57" s="22">
        <f aca="true" t="shared" si="32" ref="B57:G57">+B49+B56</f>
        <v>2898</v>
      </c>
      <c r="C57" s="22">
        <f t="shared" si="32"/>
        <v>3586</v>
      </c>
      <c r="D57" s="22">
        <f t="shared" si="32"/>
        <v>6484</v>
      </c>
      <c r="E57" s="22">
        <f t="shared" si="32"/>
        <v>1212</v>
      </c>
      <c r="F57" s="22">
        <f t="shared" si="32"/>
        <v>265</v>
      </c>
      <c r="G57" s="22">
        <f t="shared" si="32"/>
        <v>367</v>
      </c>
      <c r="H57" s="22">
        <f>+V6/D57</f>
        <v>11.209747069710055</v>
      </c>
      <c r="I57" s="25">
        <f t="shared" si="23"/>
        <v>0.18692165330043184</v>
      </c>
      <c r="J57" s="25">
        <f t="shared" si="24"/>
        <v>0.04086983343615053</v>
      </c>
      <c r="K57" s="26">
        <f>+(4000000)/D57</f>
        <v>616.9031462060457</v>
      </c>
      <c r="L57" s="35">
        <f t="shared" si="26"/>
        <v>550530</v>
      </c>
      <c r="M57" s="40">
        <f>+D57/365</f>
        <v>17.764383561643836</v>
      </c>
      <c r="N57" s="29">
        <f>+(10789+5455)/12*12</f>
        <v>16244</v>
      </c>
      <c r="O57" s="31">
        <f t="shared" si="28"/>
        <v>-9760</v>
      </c>
      <c r="P57" s="32">
        <f t="shared" si="29"/>
        <v>0.3991627677911844</v>
      </c>
    </row>
    <row r="58" ht="3.75" customHeight="1"/>
    <row r="59" ht="16.5" thickBot="1">
      <c r="A59" s="8" t="s">
        <v>16</v>
      </c>
    </row>
    <row r="60" spans="1:16" ht="15" customHeight="1">
      <c r="A60" s="140" t="s">
        <v>7</v>
      </c>
      <c r="B60" s="142">
        <v>2008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37"/>
      <c r="N60" s="6">
        <v>2007</v>
      </c>
      <c r="O60" s="144" t="s">
        <v>46</v>
      </c>
      <c r="P60" s="145"/>
    </row>
    <row r="61" spans="1:26" s="1" customFormat="1" ht="52.5" customHeight="1" thickBot="1">
      <c r="A61" s="141"/>
      <c r="B61" s="3" t="s">
        <v>3</v>
      </c>
      <c r="C61" s="3" t="s">
        <v>4</v>
      </c>
      <c r="D61" s="3" t="s">
        <v>18</v>
      </c>
      <c r="E61" s="23" t="s">
        <v>10</v>
      </c>
      <c r="F61" s="10" t="s">
        <v>9</v>
      </c>
      <c r="G61" s="10" t="s">
        <v>11</v>
      </c>
      <c r="H61" s="23" t="s">
        <v>47</v>
      </c>
      <c r="I61" s="10" t="s">
        <v>21</v>
      </c>
      <c r="J61" s="23" t="s">
        <v>20</v>
      </c>
      <c r="K61" s="3" t="s">
        <v>19</v>
      </c>
      <c r="L61" s="5" t="s">
        <v>6</v>
      </c>
      <c r="M61" s="38" t="s">
        <v>22</v>
      </c>
      <c r="N61" s="33" t="s">
        <v>48</v>
      </c>
      <c r="O61" s="7" t="s">
        <v>8</v>
      </c>
      <c r="P61" s="4" t="s">
        <v>5</v>
      </c>
      <c r="T61"/>
      <c r="U61"/>
      <c r="V61"/>
      <c r="W61"/>
      <c r="X61"/>
      <c r="Y61"/>
      <c r="Z61"/>
    </row>
    <row r="62" spans="1:26" s="15" customFormat="1" ht="20.25" customHeight="1">
      <c r="A62" s="11" t="s">
        <v>0</v>
      </c>
      <c r="B62" s="12">
        <v>111</v>
      </c>
      <c r="C62" s="12">
        <f>248+61</f>
        <v>309</v>
      </c>
      <c r="D62" s="12">
        <f aca="true" t="shared" si="33" ref="D62:D74">SUM(B62:C62)</f>
        <v>420</v>
      </c>
      <c r="E62" s="12">
        <f>67+5</f>
        <v>72</v>
      </c>
      <c r="F62" s="12">
        <f>31+4</f>
        <v>35</v>
      </c>
      <c r="G62" s="12">
        <f>15+6</f>
        <v>21</v>
      </c>
      <c r="H62" s="20">
        <f>+W6/D62</f>
        <v>284.2047619047619</v>
      </c>
      <c r="I62" s="13">
        <f aca="true" t="shared" si="34" ref="I62:I76">+E62/D62</f>
        <v>0.17142857142857143</v>
      </c>
      <c r="J62" s="13">
        <f aca="true" t="shared" si="35" ref="J62:J76">+F62/D62</f>
        <v>0.08333333333333333</v>
      </c>
      <c r="K62" s="24">
        <f aca="true" t="shared" si="36" ref="K62:K67">+(4000000/12+52000)/D62</f>
        <v>917.4603174603175</v>
      </c>
      <c r="L62" s="14">
        <f aca="true" t="shared" si="37" ref="L62:L76">+(D62-G62)*90</f>
        <v>35910</v>
      </c>
      <c r="M62" s="39">
        <f>+D62/31</f>
        <v>13.548387096774194</v>
      </c>
      <c r="N62" s="27">
        <f aca="true" t="shared" si="38" ref="N62:N74">+(9321+3858)/12</f>
        <v>1098.25</v>
      </c>
      <c r="O62" s="28">
        <f aca="true" t="shared" si="39" ref="O62:O76">+D62-N62</f>
        <v>-678.25</v>
      </c>
      <c r="P62" s="30">
        <f aca="true" t="shared" si="40" ref="P62:P76">+D62/N62</f>
        <v>0.3824265877532438</v>
      </c>
      <c r="T62"/>
      <c r="U62"/>
      <c r="V62"/>
      <c r="W62"/>
      <c r="X62"/>
      <c r="Y62"/>
      <c r="Z62"/>
    </row>
    <row r="63" spans="1:26" s="15" customFormat="1" ht="20.25" customHeight="1">
      <c r="A63" s="16" t="s">
        <v>1</v>
      </c>
      <c r="B63" s="17">
        <v>170</v>
      </c>
      <c r="C63" s="17">
        <f>232+52</f>
        <v>284</v>
      </c>
      <c r="D63" s="12">
        <f t="shared" si="33"/>
        <v>454</v>
      </c>
      <c r="E63" s="12">
        <f>59+8</f>
        <v>67</v>
      </c>
      <c r="F63" s="12">
        <f>23+6</f>
        <v>29</v>
      </c>
      <c r="G63" s="12">
        <f>28+5</f>
        <v>33</v>
      </c>
      <c r="H63" s="21">
        <f>+W6/D63</f>
        <v>262.92070484581495</v>
      </c>
      <c r="I63" s="13">
        <f t="shared" si="34"/>
        <v>0.14757709251101322</v>
      </c>
      <c r="J63" s="13">
        <f t="shared" si="35"/>
        <v>0.06387665198237885</v>
      </c>
      <c r="K63" s="24">
        <f t="shared" si="36"/>
        <v>848.7518355359765</v>
      </c>
      <c r="L63" s="14">
        <f t="shared" si="37"/>
        <v>37890</v>
      </c>
      <c r="M63" s="39">
        <f>+D63/29</f>
        <v>15.655172413793103</v>
      </c>
      <c r="N63" s="27">
        <f t="shared" si="38"/>
        <v>1098.25</v>
      </c>
      <c r="O63" s="28">
        <f t="shared" si="39"/>
        <v>-644.25</v>
      </c>
      <c r="P63" s="30">
        <f t="shared" si="40"/>
        <v>0.41338493057136355</v>
      </c>
      <c r="T63"/>
      <c r="U63"/>
      <c r="V63"/>
      <c r="W63"/>
      <c r="X63"/>
      <c r="Y63"/>
      <c r="Z63"/>
    </row>
    <row r="64" spans="1:26" s="15" customFormat="1" ht="20.25" customHeight="1">
      <c r="A64" s="16" t="s">
        <v>2</v>
      </c>
      <c r="B64" s="17">
        <v>270</v>
      </c>
      <c r="C64" s="17">
        <f>83+319</f>
        <v>402</v>
      </c>
      <c r="D64" s="12">
        <f t="shared" si="33"/>
        <v>672</v>
      </c>
      <c r="E64" s="12">
        <f>9+44+101</f>
        <v>154</v>
      </c>
      <c r="F64" s="12">
        <f>7+17+35</f>
        <v>59</v>
      </c>
      <c r="G64" s="12">
        <f>8+31+7</f>
        <v>46</v>
      </c>
      <c r="H64" s="21">
        <f>+W6/D64</f>
        <v>177.6279761904762</v>
      </c>
      <c r="I64" s="13">
        <f t="shared" si="34"/>
        <v>0.22916666666666666</v>
      </c>
      <c r="J64" s="13">
        <f t="shared" si="35"/>
        <v>0.08779761904761904</v>
      </c>
      <c r="K64" s="24">
        <f t="shared" si="36"/>
        <v>573.4126984126984</v>
      </c>
      <c r="L64" s="14">
        <f t="shared" si="37"/>
        <v>56340</v>
      </c>
      <c r="M64" s="39">
        <f>+D64/31</f>
        <v>21.677419354838708</v>
      </c>
      <c r="N64" s="27">
        <f t="shared" si="38"/>
        <v>1098.25</v>
      </c>
      <c r="O64" s="28">
        <f t="shared" si="39"/>
        <v>-426.25</v>
      </c>
      <c r="P64" s="30">
        <f t="shared" si="40"/>
        <v>0.6118825404051901</v>
      </c>
      <c r="T64"/>
      <c r="U64"/>
      <c r="V64"/>
      <c r="W64"/>
      <c r="X64"/>
      <c r="Y64"/>
      <c r="Z64"/>
    </row>
    <row r="65" spans="1:26" s="15" customFormat="1" ht="20.25" customHeight="1">
      <c r="A65" s="16" t="s">
        <v>24</v>
      </c>
      <c r="B65" s="17">
        <v>255</v>
      </c>
      <c r="C65" s="17">
        <f>289</f>
        <v>289</v>
      </c>
      <c r="D65" s="12">
        <f t="shared" si="33"/>
        <v>544</v>
      </c>
      <c r="E65" s="12">
        <v>115</v>
      </c>
      <c r="F65" s="12">
        <v>63</v>
      </c>
      <c r="G65" s="12">
        <v>47</v>
      </c>
      <c r="H65" s="21">
        <f>+W6/D65</f>
        <v>219.42279411764707</v>
      </c>
      <c r="I65" s="13">
        <f t="shared" si="34"/>
        <v>0.2113970588235294</v>
      </c>
      <c r="J65" s="13">
        <f t="shared" si="35"/>
        <v>0.11580882352941177</v>
      </c>
      <c r="K65" s="24">
        <f t="shared" si="36"/>
        <v>708.3333333333333</v>
      </c>
      <c r="L65" s="14">
        <f t="shared" si="37"/>
        <v>44730</v>
      </c>
      <c r="M65" s="39">
        <f>+D65/30</f>
        <v>18.133333333333333</v>
      </c>
      <c r="N65" s="27">
        <f t="shared" si="38"/>
        <v>1098.25</v>
      </c>
      <c r="O65" s="28">
        <f t="shared" si="39"/>
        <v>-554.25</v>
      </c>
      <c r="P65" s="30">
        <f t="shared" si="40"/>
        <v>0.49533348508991576</v>
      </c>
      <c r="T65"/>
      <c r="U65"/>
      <c r="V65"/>
      <c r="W65"/>
      <c r="X65"/>
      <c r="Y65"/>
      <c r="Z65"/>
    </row>
    <row r="66" spans="1:26" s="15" customFormat="1" ht="20.25" customHeight="1">
      <c r="A66" s="16" t="s">
        <v>25</v>
      </c>
      <c r="B66" s="17">
        <v>280</v>
      </c>
      <c r="C66" s="17">
        <f>273+84</f>
        <v>357</v>
      </c>
      <c r="D66" s="12">
        <f t="shared" si="33"/>
        <v>637</v>
      </c>
      <c r="E66" s="12">
        <f>121+49+9</f>
        <v>179</v>
      </c>
      <c r="F66" s="12">
        <f>48+21+7</f>
        <v>76</v>
      </c>
      <c r="G66" s="12">
        <f>27+39+11</f>
        <v>77</v>
      </c>
      <c r="H66" s="21">
        <f>+W6/D66</f>
        <v>187.3877551020408</v>
      </c>
      <c r="I66" s="13">
        <f t="shared" si="34"/>
        <v>0.28100470957613816</v>
      </c>
      <c r="J66" s="13">
        <f t="shared" si="35"/>
        <v>0.11930926216640503</v>
      </c>
      <c r="K66" s="24">
        <f t="shared" si="36"/>
        <v>604.9188906331763</v>
      </c>
      <c r="L66" s="14">
        <f t="shared" si="37"/>
        <v>50400</v>
      </c>
      <c r="M66" s="39">
        <f>+D66/31</f>
        <v>20.548387096774192</v>
      </c>
      <c r="N66" s="27">
        <f t="shared" si="38"/>
        <v>1098.25</v>
      </c>
      <c r="O66" s="28">
        <f t="shared" si="39"/>
        <v>-461.25</v>
      </c>
      <c r="P66" s="30">
        <f t="shared" si="40"/>
        <v>0.5800136580924198</v>
      </c>
      <c r="T66"/>
      <c r="U66"/>
      <c r="V66"/>
      <c r="W66"/>
      <c r="X66"/>
      <c r="Y66"/>
      <c r="Z66"/>
    </row>
    <row r="67" spans="1:26" s="15" customFormat="1" ht="20.25" customHeight="1" thickBot="1">
      <c r="A67" s="57" t="s">
        <v>26</v>
      </c>
      <c r="B67" s="58">
        <v>214</v>
      </c>
      <c r="C67" s="58">
        <f>302+56</f>
        <v>358</v>
      </c>
      <c r="D67" s="58">
        <f t="shared" si="33"/>
        <v>572</v>
      </c>
      <c r="E67" s="58">
        <f>86+27+5</f>
        <v>118</v>
      </c>
      <c r="F67" s="58">
        <f>30+18+0</f>
        <v>48</v>
      </c>
      <c r="G67" s="58">
        <f>7+24+2</f>
        <v>33</v>
      </c>
      <c r="H67" s="59">
        <f>+W6/D67</f>
        <v>208.6818181818182</v>
      </c>
      <c r="I67" s="60">
        <f t="shared" si="34"/>
        <v>0.2062937062937063</v>
      </c>
      <c r="J67" s="60">
        <f t="shared" si="35"/>
        <v>0.08391608391608392</v>
      </c>
      <c r="K67" s="61">
        <f t="shared" si="36"/>
        <v>673.6596736596737</v>
      </c>
      <c r="L67" s="62">
        <f t="shared" si="37"/>
        <v>48510</v>
      </c>
      <c r="M67" s="63">
        <f>+D67/30</f>
        <v>19.066666666666666</v>
      </c>
      <c r="N67" s="64">
        <f t="shared" si="38"/>
        <v>1098.25</v>
      </c>
      <c r="O67" s="65">
        <f t="shared" si="39"/>
        <v>-526.25</v>
      </c>
      <c r="P67" s="66">
        <f t="shared" si="40"/>
        <v>0.520828590940132</v>
      </c>
      <c r="T67"/>
      <c r="U67"/>
      <c r="V67"/>
      <c r="W67"/>
      <c r="X67"/>
      <c r="Y67"/>
      <c r="Z67"/>
    </row>
    <row r="68" spans="1:26" s="15" customFormat="1" ht="20.25" customHeight="1" thickBot="1" thickTop="1">
      <c r="A68" s="48" t="s">
        <v>29</v>
      </c>
      <c r="B68" s="50">
        <f aca="true" t="shared" si="41" ref="B68:G68">SUM(B62:B67)</f>
        <v>1300</v>
      </c>
      <c r="C68" s="50">
        <f t="shared" si="41"/>
        <v>1999</v>
      </c>
      <c r="D68" s="50">
        <f t="shared" si="41"/>
        <v>3299</v>
      </c>
      <c r="E68" s="50">
        <f t="shared" si="41"/>
        <v>705</v>
      </c>
      <c r="F68" s="50">
        <f t="shared" si="41"/>
        <v>310</v>
      </c>
      <c r="G68" s="50">
        <f t="shared" si="41"/>
        <v>257</v>
      </c>
      <c r="H68" s="50">
        <f>+W6/D68</f>
        <v>36.18247953925432</v>
      </c>
      <c r="I68" s="43">
        <f t="shared" si="34"/>
        <v>0.21370112155198545</v>
      </c>
      <c r="J68" s="43">
        <f t="shared" si="35"/>
        <v>0.09396786905122764</v>
      </c>
      <c r="K68" s="44">
        <f>+((4000000/12+52000)*6)/D68</f>
        <v>700.8184298272204</v>
      </c>
      <c r="L68" s="52">
        <f>SUM(L62:L67)</f>
        <v>273780</v>
      </c>
      <c r="M68" s="68">
        <f>+D68/(31+29+31+30+31+30)</f>
        <v>18.126373626373628</v>
      </c>
      <c r="N68" s="45">
        <f>+(9321+3858)/12*6</f>
        <v>6589.5</v>
      </c>
      <c r="O68" s="46">
        <f t="shared" si="39"/>
        <v>-3290.5</v>
      </c>
      <c r="P68" s="47">
        <f t="shared" si="40"/>
        <v>0.5006449654753775</v>
      </c>
      <c r="T68"/>
      <c r="U68"/>
      <c r="V68"/>
      <c r="W68"/>
      <c r="X68"/>
      <c r="Y68"/>
      <c r="Z68"/>
    </row>
    <row r="69" spans="1:26" s="79" customFormat="1" ht="20.25" customHeight="1" thickTop="1">
      <c r="A69" s="70" t="s">
        <v>27</v>
      </c>
      <c r="B69" s="71">
        <v>213</v>
      </c>
      <c r="C69" s="71">
        <f>68+263</f>
        <v>331</v>
      </c>
      <c r="D69" s="72">
        <f t="shared" si="33"/>
        <v>544</v>
      </c>
      <c r="E69" s="72">
        <f>5+65+20</f>
        <v>90</v>
      </c>
      <c r="F69" s="72">
        <f>2+22+6</f>
        <v>30</v>
      </c>
      <c r="G69" s="72">
        <f>13+3+15</f>
        <v>31</v>
      </c>
      <c r="H69" s="121">
        <f>+W6/D69</f>
        <v>219.42279411764707</v>
      </c>
      <c r="I69" s="73">
        <f t="shared" si="34"/>
        <v>0.16544117647058823</v>
      </c>
      <c r="J69" s="73">
        <f t="shared" si="35"/>
        <v>0.05514705882352941</v>
      </c>
      <c r="K69" s="74">
        <f aca="true" t="shared" si="42" ref="K69:K74">+(4000000/12+52000)/D69</f>
        <v>708.3333333333333</v>
      </c>
      <c r="L69" s="75">
        <f t="shared" si="37"/>
        <v>46170</v>
      </c>
      <c r="M69" s="39">
        <f>+D69/31</f>
        <v>17.548387096774192</v>
      </c>
      <c r="N69" s="76">
        <f t="shared" si="38"/>
        <v>1098.25</v>
      </c>
      <c r="O69" s="77">
        <f t="shared" si="39"/>
        <v>-554.25</v>
      </c>
      <c r="P69" s="78">
        <f t="shared" si="40"/>
        <v>0.49533348508991576</v>
      </c>
      <c r="T69" s="80"/>
      <c r="U69" s="80"/>
      <c r="V69" s="80"/>
      <c r="W69" s="80"/>
      <c r="X69" s="80"/>
      <c r="Y69" s="80"/>
      <c r="Z69" s="80"/>
    </row>
    <row r="70" spans="1:26" s="15" customFormat="1" ht="20.25" customHeight="1">
      <c r="A70" s="11" t="s">
        <v>30</v>
      </c>
      <c r="B70" s="12">
        <v>251</v>
      </c>
      <c r="C70" s="12">
        <f>336+80</f>
        <v>416</v>
      </c>
      <c r="D70" s="12">
        <f t="shared" si="33"/>
        <v>667</v>
      </c>
      <c r="E70" s="12">
        <f>35+78+11</f>
        <v>124</v>
      </c>
      <c r="F70" s="12">
        <f>12+32+3</f>
        <v>47</v>
      </c>
      <c r="G70" s="12">
        <f>14+14+5</f>
        <v>33</v>
      </c>
      <c r="H70" s="20">
        <f>+W6/D70</f>
        <v>178.95952023988005</v>
      </c>
      <c r="I70" s="13">
        <f t="shared" si="34"/>
        <v>0.18590704647676162</v>
      </c>
      <c r="J70" s="13">
        <f t="shared" si="35"/>
        <v>0.0704647676161919</v>
      </c>
      <c r="K70" s="74">
        <f t="shared" si="42"/>
        <v>577.711144427786</v>
      </c>
      <c r="L70" s="14">
        <f t="shared" si="37"/>
        <v>57060</v>
      </c>
      <c r="M70" s="39">
        <f>+D70/31</f>
        <v>21.516129032258064</v>
      </c>
      <c r="N70" s="76">
        <f t="shared" si="38"/>
        <v>1098.25</v>
      </c>
      <c r="O70" s="28">
        <f t="shared" si="39"/>
        <v>-431.25</v>
      </c>
      <c r="P70" s="30">
        <f t="shared" si="40"/>
        <v>0.6073298429319371</v>
      </c>
      <c r="T70"/>
      <c r="U70"/>
      <c r="V70"/>
      <c r="W70"/>
      <c r="X70"/>
      <c r="Y70"/>
      <c r="Z70"/>
    </row>
    <row r="71" spans="1:26" s="15" customFormat="1" ht="20.25" customHeight="1">
      <c r="A71" s="11" t="s">
        <v>31</v>
      </c>
      <c r="B71" s="12">
        <v>177</v>
      </c>
      <c r="C71" s="12">
        <f>216+44</f>
        <v>260</v>
      </c>
      <c r="D71" s="12">
        <f t="shared" si="33"/>
        <v>437</v>
      </c>
      <c r="E71" s="12">
        <f>56+18+14</f>
        <v>88</v>
      </c>
      <c r="F71" s="12">
        <f>31+9+4</f>
        <v>44</v>
      </c>
      <c r="G71" s="12">
        <f>10+12+3</f>
        <v>25</v>
      </c>
      <c r="H71" s="20">
        <f>+W6/D71</f>
        <v>273.1487414187643</v>
      </c>
      <c r="I71" s="13">
        <f t="shared" si="34"/>
        <v>0.20137299771167047</v>
      </c>
      <c r="J71" s="13">
        <f t="shared" si="35"/>
        <v>0.10068649885583524</v>
      </c>
      <c r="K71" s="74">
        <f t="shared" si="42"/>
        <v>881.7696414950419</v>
      </c>
      <c r="L71" s="14">
        <f t="shared" si="37"/>
        <v>37080</v>
      </c>
      <c r="M71" s="39">
        <f>+D71/30</f>
        <v>14.566666666666666</v>
      </c>
      <c r="N71" s="76">
        <f t="shared" si="38"/>
        <v>1098.25</v>
      </c>
      <c r="O71" s="28">
        <f t="shared" si="39"/>
        <v>-661.25</v>
      </c>
      <c r="P71" s="30">
        <f t="shared" si="40"/>
        <v>0.39790575916230364</v>
      </c>
      <c r="T71"/>
      <c r="U71"/>
      <c r="V71"/>
      <c r="W71"/>
      <c r="X71"/>
      <c r="Y71"/>
      <c r="Z71"/>
    </row>
    <row r="72" spans="1:26" s="15" customFormat="1" ht="20.25" customHeight="1">
      <c r="A72" s="11" t="s">
        <v>32</v>
      </c>
      <c r="B72" s="12">
        <v>196</v>
      </c>
      <c r="C72" s="12">
        <f>235+51</f>
        <v>286</v>
      </c>
      <c r="D72" s="12">
        <f t="shared" si="33"/>
        <v>482</v>
      </c>
      <c r="E72" s="12">
        <f>63+27+5</f>
        <v>95</v>
      </c>
      <c r="F72" s="12">
        <f>22+11+5</f>
        <v>38</v>
      </c>
      <c r="G72" s="12">
        <f>17+21+5</f>
        <v>43</v>
      </c>
      <c r="H72" s="20">
        <f>+W6/D72</f>
        <v>247.64730290456433</v>
      </c>
      <c r="I72" s="13">
        <f t="shared" si="34"/>
        <v>0.1970954356846473</v>
      </c>
      <c r="J72" s="13">
        <f t="shared" si="35"/>
        <v>0.07883817427385892</v>
      </c>
      <c r="K72" s="74">
        <f t="shared" si="42"/>
        <v>799.4467496542185</v>
      </c>
      <c r="L72" s="14">
        <f t="shared" si="37"/>
        <v>39510</v>
      </c>
      <c r="M72" s="39">
        <f>+D72/31</f>
        <v>15.548387096774194</v>
      </c>
      <c r="N72" s="76">
        <f t="shared" si="38"/>
        <v>1098.25</v>
      </c>
      <c r="O72" s="28">
        <f t="shared" si="39"/>
        <v>-616.25</v>
      </c>
      <c r="P72" s="30">
        <f t="shared" si="40"/>
        <v>0.4388800364215798</v>
      </c>
      <c r="T72"/>
      <c r="U72"/>
      <c r="V72"/>
      <c r="W72"/>
      <c r="X72"/>
      <c r="Y72"/>
      <c r="Z72"/>
    </row>
    <row r="73" spans="1:26" s="15" customFormat="1" ht="20.25" customHeight="1">
      <c r="A73" s="11" t="s">
        <v>33</v>
      </c>
      <c r="B73" s="12">
        <v>232</v>
      </c>
      <c r="C73" s="12">
        <f>41+235</f>
        <v>276</v>
      </c>
      <c r="D73" s="12">
        <f t="shared" si="33"/>
        <v>508</v>
      </c>
      <c r="E73" s="12">
        <f>25+6</f>
        <v>31</v>
      </c>
      <c r="F73" s="12">
        <f>18+1</f>
        <v>19</v>
      </c>
      <c r="G73" s="12">
        <f>23+1</f>
        <v>24</v>
      </c>
      <c r="H73" s="20">
        <f>+W6/D73</f>
        <v>234.9724409448819</v>
      </c>
      <c r="I73" s="13">
        <f t="shared" si="34"/>
        <v>0.0610236220472441</v>
      </c>
      <c r="J73" s="13">
        <f t="shared" si="35"/>
        <v>0.03740157480314961</v>
      </c>
      <c r="K73" s="74">
        <f t="shared" si="42"/>
        <v>758.5301837270341</v>
      </c>
      <c r="L73" s="14">
        <f t="shared" si="37"/>
        <v>43560</v>
      </c>
      <c r="M73" s="39">
        <f>+D73/30</f>
        <v>16.933333333333334</v>
      </c>
      <c r="N73" s="76">
        <f t="shared" si="38"/>
        <v>1098.25</v>
      </c>
      <c r="O73" s="28">
        <f t="shared" si="39"/>
        <v>-590.25</v>
      </c>
      <c r="P73" s="30">
        <f t="shared" si="40"/>
        <v>0.4625540632824949</v>
      </c>
      <c r="T73"/>
      <c r="U73"/>
      <c r="V73"/>
      <c r="W73"/>
      <c r="X73"/>
      <c r="Y73"/>
      <c r="Z73"/>
    </row>
    <row r="74" spans="1:26" s="15" customFormat="1" ht="20.25" customHeight="1" thickBot="1">
      <c r="A74" s="82" t="s">
        <v>34</v>
      </c>
      <c r="B74" s="83">
        <v>325</v>
      </c>
      <c r="C74" s="83">
        <v>291</v>
      </c>
      <c r="D74" s="83">
        <f t="shared" si="33"/>
        <v>616</v>
      </c>
      <c r="E74" s="83">
        <f>63+33</f>
        <v>96</v>
      </c>
      <c r="F74" s="83">
        <f>19+10</f>
        <v>29</v>
      </c>
      <c r="G74" s="83">
        <f>7+15</f>
        <v>22</v>
      </c>
      <c r="H74" s="84">
        <f>+W6/D74</f>
        <v>193.77597402597402</v>
      </c>
      <c r="I74" s="85">
        <f t="shared" si="34"/>
        <v>0.15584415584415584</v>
      </c>
      <c r="J74" s="85">
        <f t="shared" si="35"/>
        <v>0.04707792207792208</v>
      </c>
      <c r="K74" s="74">
        <f t="shared" si="42"/>
        <v>625.5411255411256</v>
      </c>
      <c r="L74" s="87">
        <f t="shared" si="37"/>
        <v>53460</v>
      </c>
      <c r="M74" s="88">
        <f>+D74/31</f>
        <v>19.870967741935484</v>
      </c>
      <c r="N74" s="76">
        <f t="shared" si="38"/>
        <v>1098.25</v>
      </c>
      <c r="O74" s="90">
        <f t="shared" si="39"/>
        <v>-482.25</v>
      </c>
      <c r="P74" s="91">
        <f t="shared" si="40"/>
        <v>0.5608923287047576</v>
      </c>
      <c r="T74"/>
      <c r="U74"/>
      <c r="V74"/>
      <c r="W74"/>
      <c r="X74"/>
      <c r="Y74"/>
      <c r="Z74"/>
    </row>
    <row r="75" spans="1:26" s="15" customFormat="1" ht="20.25" customHeight="1" thickBot="1" thickTop="1">
      <c r="A75" s="92" t="s">
        <v>28</v>
      </c>
      <c r="B75" s="98">
        <f aca="true" t="shared" si="43" ref="B75:G75">SUM(B69:B74)</f>
        <v>1394</v>
      </c>
      <c r="C75" s="98">
        <f t="shared" si="43"/>
        <v>1860</v>
      </c>
      <c r="D75" s="98">
        <f t="shared" si="43"/>
        <v>3254</v>
      </c>
      <c r="E75" s="98">
        <f t="shared" si="43"/>
        <v>524</v>
      </c>
      <c r="F75" s="98">
        <f t="shared" si="43"/>
        <v>207</v>
      </c>
      <c r="G75" s="98">
        <f t="shared" si="43"/>
        <v>178</v>
      </c>
      <c r="H75" s="93">
        <f>+W6/D75</f>
        <v>36.68285187461586</v>
      </c>
      <c r="I75" s="94">
        <f t="shared" si="34"/>
        <v>0.16103257529194837</v>
      </c>
      <c r="J75" s="94">
        <f t="shared" si="35"/>
        <v>0.0636140135218193</v>
      </c>
      <c r="K75" s="67">
        <f>+((4000000/12+52000)*6)/D75</f>
        <v>710.5101413644745</v>
      </c>
      <c r="L75" s="67">
        <f t="shared" si="37"/>
        <v>276840</v>
      </c>
      <c r="M75" s="68">
        <f>+D75/(31+31+30+31+30+31)</f>
        <v>17.684782608695652</v>
      </c>
      <c r="N75" s="95">
        <f>+(9321+3858)/12*6</f>
        <v>6589.5</v>
      </c>
      <c r="O75" s="96">
        <f t="shared" si="39"/>
        <v>-3335.5</v>
      </c>
      <c r="P75" s="97">
        <f t="shared" si="40"/>
        <v>0.4938159192654981</v>
      </c>
      <c r="T75"/>
      <c r="U75"/>
      <c r="V75"/>
      <c r="W75"/>
      <c r="X75"/>
      <c r="Y75"/>
      <c r="Z75"/>
    </row>
    <row r="76" spans="1:16" s="15" customFormat="1" ht="20.25" customHeight="1" thickBot="1" thickTop="1">
      <c r="A76" s="18" t="s">
        <v>35</v>
      </c>
      <c r="B76" s="22">
        <f aca="true" t="shared" si="44" ref="B76:G76">+B75+B68</f>
        <v>2694</v>
      </c>
      <c r="C76" s="22">
        <f t="shared" si="44"/>
        <v>3859</v>
      </c>
      <c r="D76" s="22">
        <f t="shared" si="44"/>
        <v>6553</v>
      </c>
      <c r="E76" s="22">
        <f t="shared" si="44"/>
        <v>1229</v>
      </c>
      <c r="F76" s="22">
        <f t="shared" si="44"/>
        <v>517</v>
      </c>
      <c r="G76" s="22">
        <f t="shared" si="44"/>
        <v>435</v>
      </c>
      <c r="H76" s="22">
        <f>+W6/D76</f>
        <v>18.215473828780713</v>
      </c>
      <c r="I76" s="25">
        <f t="shared" si="34"/>
        <v>0.1875476880817946</v>
      </c>
      <c r="J76" s="25">
        <f t="shared" si="35"/>
        <v>0.07889516252098276</v>
      </c>
      <c r="K76" s="26">
        <f>+(4000000+52000*12)/D76</f>
        <v>705.6310086983061</v>
      </c>
      <c r="L76" s="35">
        <f t="shared" si="37"/>
        <v>550620</v>
      </c>
      <c r="M76" s="40">
        <f>+D76/365</f>
        <v>17.953424657534246</v>
      </c>
      <c r="N76" s="29">
        <f>+(9321+3858)/12*12</f>
        <v>13179</v>
      </c>
      <c r="O76" s="31">
        <f t="shared" si="39"/>
        <v>-6626</v>
      </c>
      <c r="P76" s="32">
        <f t="shared" si="40"/>
        <v>0.49723044237043784</v>
      </c>
    </row>
    <row r="77" ht="3.75" customHeight="1"/>
    <row r="78" ht="16.5" thickBot="1">
      <c r="A78" s="8" t="s">
        <v>12</v>
      </c>
    </row>
    <row r="79" spans="1:16" ht="18" customHeight="1">
      <c r="A79" s="140" t="s">
        <v>7</v>
      </c>
      <c r="B79" s="142">
        <v>2008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37"/>
      <c r="N79" s="6">
        <v>2007</v>
      </c>
      <c r="O79" s="144" t="s">
        <v>46</v>
      </c>
      <c r="P79" s="145"/>
    </row>
    <row r="80" spans="1:26" s="1" customFormat="1" ht="52.5" customHeight="1" thickBot="1">
      <c r="A80" s="141"/>
      <c r="B80" s="3" t="s">
        <v>3</v>
      </c>
      <c r="C80" s="3" t="s">
        <v>4</v>
      </c>
      <c r="D80" s="3" t="s">
        <v>18</v>
      </c>
      <c r="E80" s="23" t="s">
        <v>10</v>
      </c>
      <c r="F80" s="10" t="s">
        <v>9</v>
      </c>
      <c r="G80" s="10" t="s">
        <v>11</v>
      </c>
      <c r="H80" s="23" t="s">
        <v>47</v>
      </c>
      <c r="I80" s="10" t="s">
        <v>21</v>
      </c>
      <c r="J80" s="23" t="s">
        <v>20</v>
      </c>
      <c r="K80" s="3" t="s">
        <v>19</v>
      </c>
      <c r="L80" s="5" t="s">
        <v>6</v>
      </c>
      <c r="M80" s="38" t="s">
        <v>22</v>
      </c>
      <c r="N80" s="33" t="s">
        <v>48</v>
      </c>
      <c r="O80" s="7" t="s">
        <v>8</v>
      </c>
      <c r="P80" s="4" t="s">
        <v>5</v>
      </c>
      <c r="T80"/>
      <c r="U80"/>
      <c r="V80"/>
      <c r="W80"/>
      <c r="X80"/>
      <c r="Y80"/>
      <c r="Z80"/>
    </row>
    <row r="81" spans="1:26" s="15" customFormat="1" ht="20.25" customHeight="1">
      <c r="A81" s="11" t="s">
        <v>0</v>
      </c>
      <c r="B81" s="12">
        <f>126+40</f>
        <v>166</v>
      </c>
      <c r="C81" s="12">
        <f>107+119+178</f>
        <v>404</v>
      </c>
      <c r="D81" s="12">
        <f aca="true" t="shared" si="45" ref="D81:D93">SUM(B81:C81)</f>
        <v>570</v>
      </c>
      <c r="E81" s="12">
        <f>88+10</f>
        <v>98</v>
      </c>
      <c r="F81" s="12">
        <f>21+11</f>
        <v>32</v>
      </c>
      <c r="G81" s="12">
        <f>10+5</f>
        <v>15</v>
      </c>
      <c r="H81" s="20">
        <f>+X6/D81</f>
        <v>201.040350877193</v>
      </c>
      <c r="I81" s="13">
        <f aca="true" t="shared" si="46" ref="I81:I95">+E81/D81</f>
        <v>0.17192982456140352</v>
      </c>
      <c r="J81" s="13">
        <f aca="true" t="shared" si="47" ref="J81:J95">+F81/D81</f>
        <v>0.056140350877192984</v>
      </c>
      <c r="K81" s="24">
        <f aca="true" t="shared" si="48" ref="K81:K93">+(4000000/12+69000)/D81</f>
        <v>705.8479532163742</v>
      </c>
      <c r="L81" s="14">
        <f aca="true" t="shared" si="49" ref="L81:L95">+(D81-G81)*90</f>
        <v>49950</v>
      </c>
      <c r="M81" s="39">
        <f>+D81/31</f>
        <v>18.387096774193548</v>
      </c>
      <c r="N81" s="27">
        <f aca="true" t="shared" si="50" ref="N81:N93">+(13103+6802)/12</f>
        <v>1658.75</v>
      </c>
      <c r="O81" s="28">
        <f aca="true" t="shared" si="51" ref="O81:O95">+D81-N81</f>
        <v>-1088.75</v>
      </c>
      <c r="P81" s="30">
        <f aca="true" t="shared" si="52" ref="P81:P95">+D81/N81</f>
        <v>0.3436322532027129</v>
      </c>
      <c r="T81"/>
      <c r="U81"/>
      <c r="V81"/>
      <c r="W81"/>
      <c r="X81"/>
      <c r="Y81"/>
      <c r="Z81"/>
    </row>
    <row r="82" spans="1:26" s="15" customFormat="1" ht="20.25" customHeight="1">
      <c r="A82" s="16" t="s">
        <v>1</v>
      </c>
      <c r="B82" s="17">
        <f>112+48</f>
        <v>160</v>
      </c>
      <c r="C82" s="17">
        <f>112+135+131</f>
        <v>378</v>
      </c>
      <c r="D82" s="12">
        <f t="shared" si="45"/>
        <v>538</v>
      </c>
      <c r="E82" s="12">
        <f>47+11</f>
        <v>58</v>
      </c>
      <c r="F82" s="12">
        <f>23+4</f>
        <v>27</v>
      </c>
      <c r="G82" s="12">
        <f>14+7</f>
        <v>21</v>
      </c>
      <c r="H82" s="21">
        <f>+X6/D82</f>
        <v>212.9981412639405</v>
      </c>
      <c r="I82" s="13">
        <f t="shared" si="46"/>
        <v>0.10780669144981413</v>
      </c>
      <c r="J82" s="13">
        <f t="shared" si="47"/>
        <v>0.05018587360594796</v>
      </c>
      <c r="K82" s="24">
        <f t="shared" si="48"/>
        <v>747.8314745972738</v>
      </c>
      <c r="L82" s="14">
        <f t="shared" si="49"/>
        <v>46530</v>
      </c>
      <c r="M82" s="39">
        <f>+D82/29</f>
        <v>18.551724137931036</v>
      </c>
      <c r="N82" s="27">
        <f t="shared" si="50"/>
        <v>1658.75</v>
      </c>
      <c r="O82" s="28">
        <f t="shared" si="51"/>
        <v>-1120.75</v>
      </c>
      <c r="P82" s="30">
        <f t="shared" si="52"/>
        <v>0.32434061793519214</v>
      </c>
      <c r="T82"/>
      <c r="U82"/>
      <c r="V82"/>
      <c r="W82"/>
      <c r="X82"/>
      <c r="Y82"/>
      <c r="Z82"/>
    </row>
    <row r="83" spans="1:26" s="15" customFormat="1" ht="20.25" customHeight="1">
      <c r="A83" s="16" t="s">
        <v>2</v>
      </c>
      <c r="B83" s="17">
        <f>164+62</f>
        <v>226</v>
      </c>
      <c r="C83" s="17">
        <f>177+223+156</f>
        <v>556</v>
      </c>
      <c r="D83" s="12">
        <f t="shared" si="45"/>
        <v>782</v>
      </c>
      <c r="E83" s="12">
        <f>31+27+19</f>
        <v>77</v>
      </c>
      <c r="F83" s="12">
        <f>12+10+6</f>
        <v>28</v>
      </c>
      <c r="G83" s="12">
        <f>10+5+21</f>
        <v>36</v>
      </c>
      <c r="H83" s="21">
        <f>+X6/D83</f>
        <v>146.53836317135548</v>
      </c>
      <c r="I83" s="13">
        <f t="shared" si="46"/>
        <v>0.09846547314578005</v>
      </c>
      <c r="J83" s="13">
        <f t="shared" si="47"/>
        <v>0.03580562659846547</v>
      </c>
      <c r="K83" s="24">
        <f t="shared" si="48"/>
        <v>514.4927536231884</v>
      </c>
      <c r="L83" s="14">
        <f t="shared" si="49"/>
        <v>67140</v>
      </c>
      <c r="M83" s="39">
        <f>+D83/31</f>
        <v>25.225806451612904</v>
      </c>
      <c r="N83" s="27">
        <f t="shared" si="50"/>
        <v>1658.75</v>
      </c>
      <c r="O83" s="28">
        <f t="shared" si="51"/>
        <v>-876.75</v>
      </c>
      <c r="P83" s="30">
        <f t="shared" si="52"/>
        <v>0.4714393368500377</v>
      </c>
      <c r="T83"/>
      <c r="U83"/>
      <c r="V83"/>
      <c r="W83"/>
      <c r="X83"/>
      <c r="Y83"/>
      <c r="Z83"/>
    </row>
    <row r="84" spans="1:26" s="15" customFormat="1" ht="20.25" customHeight="1">
      <c r="A84" s="16" t="s">
        <v>24</v>
      </c>
      <c r="B84" s="17">
        <f>155+54</f>
        <v>209</v>
      </c>
      <c r="C84" s="17">
        <f>128+177+109</f>
        <v>414</v>
      </c>
      <c r="D84" s="12">
        <f t="shared" si="45"/>
        <v>623</v>
      </c>
      <c r="E84" s="12">
        <f>56+17</f>
        <v>73</v>
      </c>
      <c r="F84" s="12">
        <f>16+6</f>
        <v>22</v>
      </c>
      <c r="G84" s="12">
        <f>11+16</f>
        <v>27</v>
      </c>
      <c r="H84" s="21">
        <f>+X6/D84</f>
        <v>183.93739967897272</v>
      </c>
      <c r="I84" s="13">
        <f t="shared" si="46"/>
        <v>0.11717495987158909</v>
      </c>
      <c r="J84" s="13">
        <f t="shared" si="47"/>
        <v>0.03531300160513644</v>
      </c>
      <c r="K84" s="24">
        <f t="shared" si="48"/>
        <v>645.7998929909041</v>
      </c>
      <c r="L84" s="14">
        <f t="shared" si="49"/>
        <v>53640</v>
      </c>
      <c r="M84" s="39">
        <f>+D84/30</f>
        <v>20.766666666666666</v>
      </c>
      <c r="N84" s="27">
        <f t="shared" si="50"/>
        <v>1658.75</v>
      </c>
      <c r="O84" s="28">
        <f t="shared" si="51"/>
        <v>-1035.75</v>
      </c>
      <c r="P84" s="30">
        <f t="shared" si="52"/>
        <v>0.37558402411454406</v>
      </c>
      <c r="T84"/>
      <c r="U84"/>
      <c r="V84"/>
      <c r="W84"/>
      <c r="X84"/>
      <c r="Y84"/>
      <c r="Z84"/>
    </row>
    <row r="85" spans="1:26" s="15" customFormat="1" ht="20.25" customHeight="1">
      <c r="A85" s="16" t="s">
        <v>25</v>
      </c>
      <c r="B85" s="17">
        <f>159+71</f>
        <v>230</v>
      </c>
      <c r="C85" s="17">
        <f>167+125+217</f>
        <v>509</v>
      </c>
      <c r="D85" s="12">
        <f t="shared" si="45"/>
        <v>739</v>
      </c>
      <c r="E85" s="12">
        <f>36+55+14</f>
        <v>105</v>
      </c>
      <c r="F85" s="12">
        <f>14+11+1</f>
        <v>26</v>
      </c>
      <c r="G85" s="12">
        <f>6+6+12</f>
        <v>24</v>
      </c>
      <c r="H85" s="21">
        <f>+X6/D85</f>
        <v>155.06495263870096</v>
      </c>
      <c r="I85" s="13">
        <f t="shared" si="46"/>
        <v>0.14208389715832206</v>
      </c>
      <c r="J85" s="13">
        <f t="shared" si="47"/>
        <v>0.035182679296346414</v>
      </c>
      <c r="K85" s="24">
        <f t="shared" si="48"/>
        <v>544.4294091114118</v>
      </c>
      <c r="L85" s="14">
        <f t="shared" si="49"/>
        <v>64350</v>
      </c>
      <c r="M85" s="39">
        <f>+D85/31</f>
        <v>23.838709677419356</v>
      </c>
      <c r="N85" s="27">
        <f t="shared" si="50"/>
        <v>1658.75</v>
      </c>
      <c r="O85" s="28">
        <f t="shared" si="51"/>
        <v>-919.75</v>
      </c>
      <c r="P85" s="30">
        <f t="shared" si="52"/>
        <v>0.4455162019593067</v>
      </c>
      <c r="T85"/>
      <c r="U85"/>
      <c r="V85"/>
      <c r="W85"/>
      <c r="X85"/>
      <c r="Y85"/>
      <c r="Z85"/>
    </row>
    <row r="86" spans="1:26" s="15" customFormat="1" ht="20.25" customHeight="1" thickBot="1">
      <c r="A86" s="57" t="s">
        <v>26</v>
      </c>
      <c r="B86" s="58">
        <f>191+64</f>
        <v>255</v>
      </c>
      <c r="C86" s="58">
        <f>150+109+186</f>
        <v>445</v>
      </c>
      <c r="D86" s="58">
        <f t="shared" si="45"/>
        <v>700</v>
      </c>
      <c r="E86" s="58">
        <f>25+35+12</f>
        <v>72</v>
      </c>
      <c r="F86" s="58">
        <f>7+12+5</f>
        <v>24</v>
      </c>
      <c r="G86" s="58">
        <f>7+7+13</f>
        <v>27</v>
      </c>
      <c r="H86" s="59">
        <f>+X6/D86</f>
        <v>163.7042857142857</v>
      </c>
      <c r="I86" s="60">
        <f t="shared" si="46"/>
        <v>0.10285714285714286</v>
      </c>
      <c r="J86" s="60">
        <f t="shared" si="47"/>
        <v>0.03428571428571429</v>
      </c>
      <c r="K86" s="61">
        <f t="shared" si="48"/>
        <v>574.7619047619047</v>
      </c>
      <c r="L86" s="62">
        <f t="shared" si="49"/>
        <v>60570</v>
      </c>
      <c r="M86" s="63">
        <f>+D86/30</f>
        <v>23.333333333333332</v>
      </c>
      <c r="N86" s="64">
        <f t="shared" si="50"/>
        <v>1658.75</v>
      </c>
      <c r="O86" s="65">
        <f t="shared" si="51"/>
        <v>-958.75</v>
      </c>
      <c r="P86" s="66">
        <f t="shared" si="52"/>
        <v>0.42200452147701584</v>
      </c>
      <c r="T86"/>
      <c r="U86"/>
      <c r="V86"/>
      <c r="W86"/>
      <c r="X86"/>
      <c r="Y86"/>
      <c r="Z86"/>
    </row>
    <row r="87" spans="1:26" s="15" customFormat="1" ht="20.25" customHeight="1" thickBot="1" thickTop="1">
      <c r="A87" s="48" t="s">
        <v>29</v>
      </c>
      <c r="B87" s="50">
        <f aca="true" t="shared" si="53" ref="B87:G87">SUM(B81:B86)</f>
        <v>1246</v>
      </c>
      <c r="C87" s="50">
        <f t="shared" si="53"/>
        <v>2706</v>
      </c>
      <c r="D87" s="50">
        <f t="shared" si="53"/>
        <v>3952</v>
      </c>
      <c r="E87" s="50">
        <f t="shared" si="53"/>
        <v>483</v>
      </c>
      <c r="F87" s="50">
        <f t="shared" si="53"/>
        <v>159</v>
      </c>
      <c r="G87" s="50">
        <f t="shared" si="53"/>
        <v>150</v>
      </c>
      <c r="H87" s="50">
        <f>+X6/D87</f>
        <v>28.996204453441294</v>
      </c>
      <c r="I87" s="51">
        <f t="shared" si="46"/>
        <v>0.1222165991902834</v>
      </c>
      <c r="J87" s="51">
        <f t="shared" si="47"/>
        <v>0.040232793522267205</v>
      </c>
      <c r="K87" s="52">
        <f>+((4000000/12+69000)*6)/D87</f>
        <v>610.82995951417</v>
      </c>
      <c r="L87" s="52">
        <f>SUM(L81:L86)</f>
        <v>342180</v>
      </c>
      <c r="M87" s="53">
        <f>+D87/(31+29+31+30+31+30)</f>
        <v>21.714285714285715</v>
      </c>
      <c r="N87" s="54">
        <f>+(13103+6802)/12*6</f>
        <v>9952.5</v>
      </c>
      <c r="O87" s="55">
        <f t="shared" si="51"/>
        <v>-6000.5</v>
      </c>
      <c r="P87" s="56">
        <f t="shared" si="52"/>
        <v>0.39708615925646823</v>
      </c>
      <c r="T87"/>
      <c r="U87"/>
      <c r="V87"/>
      <c r="W87"/>
      <c r="X87"/>
      <c r="Y87"/>
      <c r="Z87"/>
    </row>
    <row r="88" spans="1:26" s="15" customFormat="1" ht="20.25" customHeight="1" thickTop="1">
      <c r="A88" s="16" t="s">
        <v>27</v>
      </c>
      <c r="B88" s="17">
        <f>205+66</f>
        <v>271</v>
      </c>
      <c r="C88" s="17">
        <f>169+143+218</f>
        <v>530</v>
      </c>
      <c r="D88" s="12">
        <f t="shared" si="45"/>
        <v>801</v>
      </c>
      <c r="E88" s="12">
        <f>20+41+20</f>
        <v>81</v>
      </c>
      <c r="F88" s="12">
        <f>8+11+3</f>
        <v>22</v>
      </c>
      <c r="G88" s="12">
        <f>9+11+17</f>
        <v>37</v>
      </c>
      <c r="H88" s="21">
        <f>+X6/D88</f>
        <v>143.06242197253434</v>
      </c>
      <c r="I88" s="13">
        <f t="shared" si="46"/>
        <v>0.10112359550561797</v>
      </c>
      <c r="J88" s="13">
        <f t="shared" si="47"/>
        <v>0.02746566791510612</v>
      </c>
      <c r="K88" s="24">
        <f t="shared" si="48"/>
        <v>502.28880565959213</v>
      </c>
      <c r="L88" s="14">
        <f t="shared" si="49"/>
        <v>68760</v>
      </c>
      <c r="M88" s="39">
        <f>+D88/31</f>
        <v>25.838709677419356</v>
      </c>
      <c r="N88" s="27">
        <f t="shared" si="50"/>
        <v>1658.75</v>
      </c>
      <c r="O88" s="28">
        <f t="shared" si="51"/>
        <v>-857.75</v>
      </c>
      <c r="P88" s="30">
        <f t="shared" si="52"/>
        <v>0.48289374529012813</v>
      </c>
      <c r="T88"/>
      <c r="U88"/>
      <c r="V88"/>
      <c r="W88"/>
      <c r="X88"/>
      <c r="Y88"/>
      <c r="Z88"/>
    </row>
    <row r="89" spans="1:26" s="15" customFormat="1" ht="20.25" customHeight="1">
      <c r="A89" s="11" t="s">
        <v>30</v>
      </c>
      <c r="B89" s="12">
        <v>162</v>
      </c>
      <c r="C89" s="12">
        <f>182+124+279</f>
        <v>585</v>
      </c>
      <c r="D89" s="12">
        <f t="shared" si="45"/>
        <v>747</v>
      </c>
      <c r="E89" s="12">
        <f>27+40+7</f>
        <v>74</v>
      </c>
      <c r="F89" s="12">
        <f>7+10+3</f>
        <v>20</v>
      </c>
      <c r="G89" s="12">
        <f>6+7+15</f>
        <v>28</v>
      </c>
      <c r="H89" s="20">
        <f>+X6/D89</f>
        <v>153.40428380187416</v>
      </c>
      <c r="I89" s="13">
        <f t="shared" si="46"/>
        <v>0.09906291834002677</v>
      </c>
      <c r="J89" s="13">
        <f t="shared" si="47"/>
        <v>0.02677376171352075</v>
      </c>
      <c r="K89" s="24">
        <f t="shared" si="48"/>
        <v>538.5988398036591</v>
      </c>
      <c r="L89" s="14">
        <f t="shared" si="49"/>
        <v>64710</v>
      </c>
      <c r="M89" s="39">
        <f>+D89/31</f>
        <v>24.096774193548388</v>
      </c>
      <c r="N89" s="27">
        <f t="shared" si="50"/>
        <v>1658.75</v>
      </c>
      <c r="O89" s="28">
        <f t="shared" si="51"/>
        <v>-911.75</v>
      </c>
      <c r="P89" s="30">
        <f t="shared" si="52"/>
        <v>0.4503391107761869</v>
      </c>
      <c r="T89"/>
      <c r="U89"/>
      <c r="V89"/>
      <c r="W89"/>
      <c r="X89"/>
      <c r="Y89"/>
      <c r="Z89"/>
    </row>
    <row r="90" spans="1:26" s="15" customFormat="1" ht="20.25" customHeight="1">
      <c r="A90" s="11" t="s">
        <v>31</v>
      </c>
      <c r="B90" s="12">
        <v>109</v>
      </c>
      <c r="C90" s="12">
        <f>88+88+209</f>
        <v>385</v>
      </c>
      <c r="D90" s="12">
        <f t="shared" si="45"/>
        <v>494</v>
      </c>
      <c r="E90" s="12">
        <f>19+28+13</f>
        <v>60</v>
      </c>
      <c r="F90" s="12">
        <f>11+10+2</f>
        <v>23</v>
      </c>
      <c r="G90" s="12">
        <f>8+9+12</f>
        <v>29</v>
      </c>
      <c r="H90" s="20">
        <f>+X6/D90</f>
        <v>231.96963562753035</v>
      </c>
      <c r="I90" s="13">
        <f t="shared" si="46"/>
        <v>0.1214574898785425</v>
      </c>
      <c r="J90" s="13">
        <f t="shared" si="47"/>
        <v>0.0465587044534413</v>
      </c>
      <c r="K90" s="24">
        <f t="shared" si="48"/>
        <v>814.4399460188934</v>
      </c>
      <c r="L90" s="14">
        <f t="shared" si="49"/>
        <v>41850</v>
      </c>
      <c r="M90" s="39">
        <f>+D90/30</f>
        <v>16.466666666666665</v>
      </c>
      <c r="N90" s="27">
        <f t="shared" si="50"/>
        <v>1658.75</v>
      </c>
      <c r="O90" s="28">
        <f t="shared" si="51"/>
        <v>-1164.75</v>
      </c>
      <c r="P90" s="30">
        <f t="shared" si="52"/>
        <v>0.29781461944235116</v>
      </c>
      <c r="T90"/>
      <c r="U90"/>
      <c r="V90"/>
      <c r="W90"/>
      <c r="X90"/>
      <c r="Y90"/>
      <c r="Z90"/>
    </row>
    <row r="91" spans="1:26" s="15" customFormat="1" ht="20.25" customHeight="1">
      <c r="A91" s="11" t="s">
        <v>32</v>
      </c>
      <c r="B91" s="12">
        <v>118</v>
      </c>
      <c r="C91" s="12">
        <f>126+98+205</f>
        <v>429</v>
      </c>
      <c r="D91" s="12">
        <f t="shared" si="45"/>
        <v>547</v>
      </c>
      <c r="E91" s="12">
        <f>29+18+12</f>
        <v>59</v>
      </c>
      <c r="F91" s="12">
        <f>7+11+7</f>
        <v>25</v>
      </c>
      <c r="G91" s="12">
        <f>7+7+10</f>
        <v>24</v>
      </c>
      <c r="H91" s="20">
        <f>+X6/D91</f>
        <v>209.49360146252286</v>
      </c>
      <c r="I91" s="13">
        <f t="shared" si="46"/>
        <v>0.10786106032906764</v>
      </c>
      <c r="J91" s="13">
        <f t="shared" si="47"/>
        <v>0.04570383912248629</v>
      </c>
      <c r="K91" s="24">
        <f t="shared" si="48"/>
        <v>735.5271176112126</v>
      </c>
      <c r="L91" s="14">
        <f t="shared" si="49"/>
        <v>47070</v>
      </c>
      <c r="M91" s="39">
        <f>+D91/31</f>
        <v>17.64516129032258</v>
      </c>
      <c r="N91" s="27">
        <f t="shared" si="50"/>
        <v>1658.75</v>
      </c>
      <c r="O91" s="28">
        <f t="shared" si="51"/>
        <v>-1111.75</v>
      </c>
      <c r="P91" s="30">
        <f t="shared" si="52"/>
        <v>0.32976639035418237</v>
      </c>
      <c r="T91"/>
      <c r="U91"/>
      <c r="V91"/>
      <c r="W91"/>
      <c r="X91"/>
      <c r="Y91"/>
      <c r="Z91"/>
    </row>
    <row r="92" spans="1:26" s="15" customFormat="1" ht="20.25" customHeight="1">
      <c r="A92" s="11" t="s">
        <v>33</v>
      </c>
      <c r="B92" s="12">
        <v>128</v>
      </c>
      <c r="C92" s="12">
        <f>110+70+247</f>
        <v>427</v>
      </c>
      <c r="D92" s="12">
        <f t="shared" si="45"/>
        <v>555</v>
      </c>
      <c r="E92" s="12">
        <f>30+28</f>
        <v>58</v>
      </c>
      <c r="F92" s="12">
        <f>9+12</f>
        <v>21</v>
      </c>
      <c r="G92" s="12">
        <f>9+6</f>
        <v>15</v>
      </c>
      <c r="H92" s="20">
        <f>+X6/D92</f>
        <v>206.47387387387388</v>
      </c>
      <c r="I92" s="13">
        <f t="shared" si="46"/>
        <v>0.1045045045045045</v>
      </c>
      <c r="J92" s="13">
        <f t="shared" si="47"/>
        <v>0.03783783783783784</v>
      </c>
      <c r="K92" s="24">
        <f t="shared" si="48"/>
        <v>724.9249249249249</v>
      </c>
      <c r="L92" s="14">
        <f t="shared" si="49"/>
        <v>48600</v>
      </c>
      <c r="M92" s="39">
        <f>+D92/30</f>
        <v>18.5</v>
      </c>
      <c r="N92" s="27">
        <f t="shared" si="50"/>
        <v>1658.75</v>
      </c>
      <c r="O92" s="28">
        <f t="shared" si="51"/>
        <v>-1103.75</v>
      </c>
      <c r="P92" s="30">
        <f t="shared" si="52"/>
        <v>0.33458929917106256</v>
      </c>
      <c r="T92"/>
      <c r="U92"/>
      <c r="V92"/>
      <c r="W92"/>
      <c r="X92"/>
      <c r="Y92"/>
      <c r="Z92"/>
    </row>
    <row r="93" spans="1:26" s="15" customFormat="1" ht="20.25" customHeight="1" thickBot="1">
      <c r="A93" s="82" t="s">
        <v>34</v>
      </c>
      <c r="B93" s="83">
        <v>100</v>
      </c>
      <c r="C93" s="83">
        <f>95+150+250</f>
        <v>495</v>
      </c>
      <c r="D93" s="83">
        <f t="shared" si="45"/>
        <v>595</v>
      </c>
      <c r="E93" s="83">
        <f>16+9+9</f>
        <v>34</v>
      </c>
      <c r="F93" s="83">
        <f>6+3+7</f>
        <v>16</v>
      </c>
      <c r="G93" s="83">
        <f>9+3+11</f>
        <v>23</v>
      </c>
      <c r="H93" s="84">
        <f>+X6/D93</f>
        <v>192.59327731092438</v>
      </c>
      <c r="I93" s="85">
        <f t="shared" si="46"/>
        <v>0.05714285714285714</v>
      </c>
      <c r="J93" s="85">
        <f t="shared" si="47"/>
        <v>0.02689075630252101</v>
      </c>
      <c r="K93" s="86">
        <f t="shared" si="48"/>
        <v>676.1904761904761</v>
      </c>
      <c r="L93" s="87">
        <f t="shared" si="49"/>
        <v>51480</v>
      </c>
      <c r="M93" s="88">
        <f>+D93/31</f>
        <v>19.193548387096776</v>
      </c>
      <c r="N93" s="89">
        <f t="shared" si="50"/>
        <v>1658.75</v>
      </c>
      <c r="O93" s="90">
        <f t="shared" si="51"/>
        <v>-1063.75</v>
      </c>
      <c r="P93" s="91">
        <f t="shared" si="52"/>
        <v>0.35870384325546345</v>
      </c>
      <c r="T93"/>
      <c r="U93"/>
      <c r="V93"/>
      <c r="W93"/>
      <c r="X93"/>
      <c r="Y93"/>
      <c r="Z93"/>
    </row>
    <row r="94" spans="1:26" s="15" customFormat="1" ht="20.25" customHeight="1" thickBot="1" thickTop="1">
      <c r="A94" s="92" t="s">
        <v>28</v>
      </c>
      <c r="B94" s="98">
        <f aca="true" t="shared" si="54" ref="B94:G94">SUM(B88:B93)</f>
        <v>888</v>
      </c>
      <c r="C94" s="98">
        <f t="shared" si="54"/>
        <v>2851</v>
      </c>
      <c r="D94" s="98">
        <f t="shared" si="54"/>
        <v>3739</v>
      </c>
      <c r="E94" s="98">
        <f t="shared" si="54"/>
        <v>366</v>
      </c>
      <c r="F94" s="98">
        <f t="shared" si="54"/>
        <v>127</v>
      </c>
      <c r="G94" s="98">
        <f t="shared" si="54"/>
        <v>156</v>
      </c>
      <c r="H94" s="93">
        <f>+X6/D94</f>
        <v>30.64803423375234</v>
      </c>
      <c r="I94" s="94">
        <f t="shared" si="46"/>
        <v>0.09788713559775342</v>
      </c>
      <c r="J94" s="94">
        <f t="shared" si="47"/>
        <v>0.03396630115004012</v>
      </c>
      <c r="K94" s="67">
        <f>+((4000000/12+69000)*6)/D94</f>
        <v>645.6271730409201</v>
      </c>
      <c r="L94" s="67">
        <f t="shared" si="49"/>
        <v>322470</v>
      </c>
      <c r="M94" s="68">
        <f>+D94/(31+31+30+31+30+31)</f>
        <v>20.320652173913043</v>
      </c>
      <c r="N94" s="95">
        <f>+(13103+6802)/12*6</f>
        <v>9952.5</v>
      </c>
      <c r="O94" s="96">
        <f t="shared" si="51"/>
        <v>-6213.5</v>
      </c>
      <c r="P94" s="97">
        <f t="shared" si="52"/>
        <v>0.3756845013815624</v>
      </c>
      <c r="T94"/>
      <c r="U94"/>
      <c r="V94"/>
      <c r="W94"/>
      <c r="X94"/>
      <c r="Y94"/>
      <c r="Z94"/>
    </row>
    <row r="95" spans="1:16" s="15" customFormat="1" ht="20.25" customHeight="1" thickBot="1" thickTop="1">
      <c r="A95" s="18" t="s">
        <v>35</v>
      </c>
      <c r="B95" s="22">
        <f aca="true" t="shared" si="55" ref="B95:G95">+B94+B87</f>
        <v>2134</v>
      </c>
      <c r="C95" s="22">
        <f t="shared" si="55"/>
        <v>5557</v>
      </c>
      <c r="D95" s="22">
        <f t="shared" si="55"/>
        <v>7691</v>
      </c>
      <c r="E95" s="22">
        <f t="shared" si="55"/>
        <v>849</v>
      </c>
      <c r="F95" s="22">
        <f t="shared" si="55"/>
        <v>286</v>
      </c>
      <c r="G95" s="22">
        <f t="shared" si="55"/>
        <v>306</v>
      </c>
      <c r="H95" s="22">
        <f>+X6/D95</f>
        <v>14.899622935899103</v>
      </c>
      <c r="I95" s="25">
        <f t="shared" si="46"/>
        <v>0.11038876609023535</v>
      </c>
      <c r="J95" s="25">
        <f t="shared" si="47"/>
        <v>0.0371863216746847</v>
      </c>
      <c r="K95" s="26">
        <f>+(4000000+(69000)*12)/D95</f>
        <v>627.7467169418801</v>
      </c>
      <c r="L95" s="35">
        <f t="shared" si="49"/>
        <v>664650</v>
      </c>
      <c r="M95" s="40">
        <f>+D95/365</f>
        <v>21.07123287671233</v>
      </c>
      <c r="N95" s="29">
        <f>+(13103+6802)/12*12</f>
        <v>19905</v>
      </c>
      <c r="O95" s="31">
        <f t="shared" si="51"/>
        <v>-12214</v>
      </c>
      <c r="P95" s="32">
        <f t="shared" si="52"/>
        <v>0.38638533031901534</v>
      </c>
    </row>
    <row r="96" ht="0.75" customHeight="1"/>
    <row r="97" ht="24.75" customHeight="1"/>
    <row r="98" ht="16.5" thickBot="1">
      <c r="A98" s="8" t="s">
        <v>17</v>
      </c>
    </row>
    <row r="99" spans="1:16" ht="18" customHeight="1">
      <c r="A99" s="140" t="s">
        <v>7</v>
      </c>
      <c r="B99" s="142">
        <v>2008</v>
      </c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37"/>
      <c r="N99" s="6">
        <v>2007</v>
      </c>
      <c r="O99" s="144" t="s">
        <v>46</v>
      </c>
      <c r="P99" s="145"/>
    </row>
    <row r="100" spans="1:26" s="1" customFormat="1" ht="52.5" customHeight="1" thickBot="1">
      <c r="A100" s="141"/>
      <c r="B100" s="3" t="s">
        <v>3</v>
      </c>
      <c r="C100" s="3" t="s">
        <v>4</v>
      </c>
      <c r="D100" s="3" t="s">
        <v>18</v>
      </c>
      <c r="E100" s="23" t="s">
        <v>10</v>
      </c>
      <c r="F100" s="10" t="s">
        <v>9</v>
      </c>
      <c r="G100" s="10" t="s">
        <v>11</v>
      </c>
      <c r="H100" s="23" t="s">
        <v>49</v>
      </c>
      <c r="I100" s="10" t="s">
        <v>21</v>
      </c>
      <c r="J100" s="23" t="s">
        <v>20</v>
      </c>
      <c r="K100" s="3" t="s">
        <v>19</v>
      </c>
      <c r="L100" s="5" t="s">
        <v>6</v>
      </c>
      <c r="M100" s="38" t="s">
        <v>22</v>
      </c>
      <c r="N100" s="33" t="s">
        <v>48</v>
      </c>
      <c r="O100" s="7" t="s">
        <v>8</v>
      </c>
      <c r="P100" s="4" t="s">
        <v>5</v>
      </c>
      <c r="T100"/>
      <c r="U100"/>
      <c r="V100"/>
      <c r="W100"/>
      <c r="X100"/>
      <c r="Y100"/>
      <c r="Z100"/>
    </row>
    <row r="101" spans="1:26" s="15" customFormat="1" ht="20.25" customHeight="1">
      <c r="A101" s="11" t="s">
        <v>0</v>
      </c>
      <c r="B101" s="20">
        <f aca="true" t="shared" si="56" ref="B101:C106">+B81+B62+B43+B25+B6</f>
        <v>858</v>
      </c>
      <c r="C101" s="20">
        <f t="shared" si="56"/>
        <v>1458</v>
      </c>
      <c r="D101" s="20">
        <f aca="true" t="shared" si="57" ref="D101:D108">SUM(B101:C101)</f>
        <v>2316</v>
      </c>
      <c r="E101" s="12">
        <f aca="true" t="shared" si="58" ref="E101:G106">+E81+E62+E43+E25+E6</f>
        <v>436</v>
      </c>
      <c r="F101" s="12">
        <f t="shared" si="58"/>
        <v>164</v>
      </c>
      <c r="G101" s="12">
        <f t="shared" si="58"/>
        <v>129</v>
      </c>
      <c r="H101" s="20">
        <f>+Y6/D101</f>
        <v>220.7543177892919</v>
      </c>
      <c r="I101" s="13">
        <f aca="true" t="shared" si="59" ref="I101:I115">+E101/D101</f>
        <v>0.18825561312607944</v>
      </c>
      <c r="J101" s="13">
        <f aca="true" t="shared" si="60" ref="J101:J115">+F101/D101</f>
        <v>0.07081174438687392</v>
      </c>
      <c r="K101" s="24">
        <f aca="true" t="shared" si="61" ref="K101:K113">+(20000000/12+69000+52000)/D101</f>
        <v>771.8767990788716</v>
      </c>
      <c r="L101" s="14">
        <f aca="true" t="shared" si="62" ref="L101:L115">+(D101-G101)*90</f>
        <v>196830</v>
      </c>
      <c r="M101" s="39">
        <f>+D101/31</f>
        <v>74.70967741935483</v>
      </c>
      <c r="N101" s="27">
        <f aca="true" t="shared" si="63" ref="N101:N113">+(46699+24098)/12</f>
        <v>5899.75</v>
      </c>
      <c r="O101" s="28">
        <f aca="true" t="shared" si="64" ref="O101:O115">+D101-N101</f>
        <v>-3583.75</v>
      </c>
      <c r="P101" s="30">
        <f aca="true" t="shared" si="65" ref="P101:P115">+D101/N101</f>
        <v>0.3925590067375736</v>
      </c>
      <c r="T101"/>
      <c r="U101"/>
      <c r="V101"/>
      <c r="W101"/>
      <c r="X101"/>
      <c r="Y101"/>
      <c r="Z101"/>
    </row>
    <row r="102" spans="1:26" s="15" customFormat="1" ht="20.25" customHeight="1">
      <c r="A102" s="16" t="s">
        <v>1</v>
      </c>
      <c r="B102" s="21">
        <f t="shared" si="56"/>
        <v>948</v>
      </c>
      <c r="C102" s="21">
        <f t="shared" si="56"/>
        <v>1411</v>
      </c>
      <c r="D102" s="20">
        <f t="shared" si="57"/>
        <v>2359</v>
      </c>
      <c r="E102" s="12">
        <f t="shared" si="58"/>
        <v>400</v>
      </c>
      <c r="F102" s="12">
        <f t="shared" si="58"/>
        <v>139</v>
      </c>
      <c r="G102" s="12">
        <f t="shared" si="58"/>
        <v>112</v>
      </c>
      <c r="H102" s="21">
        <f>+Y6/D102</f>
        <v>216.73039423484528</v>
      </c>
      <c r="I102" s="13">
        <f t="shared" si="59"/>
        <v>0.1695633743111488</v>
      </c>
      <c r="J102" s="13">
        <f t="shared" si="60"/>
        <v>0.05892327257312421</v>
      </c>
      <c r="K102" s="24">
        <f t="shared" si="61"/>
        <v>757.8069803589092</v>
      </c>
      <c r="L102" s="14">
        <f t="shared" si="62"/>
        <v>202230</v>
      </c>
      <c r="M102" s="39">
        <f>+D102/29</f>
        <v>81.34482758620689</v>
      </c>
      <c r="N102" s="27">
        <f t="shared" si="63"/>
        <v>5899.75</v>
      </c>
      <c r="O102" s="28">
        <f t="shared" si="64"/>
        <v>-3540.75</v>
      </c>
      <c r="P102" s="30">
        <f t="shared" si="65"/>
        <v>0.3998474511631849</v>
      </c>
      <c r="T102"/>
      <c r="U102"/>
      <c r="V102"/>
      <c r="W102"/>
      <c r="X102"/>
      <c r="Y102"/>
      <c r="Z102"/>
    </row>
    <row r="103" spans="1:26" s="15" customFormat="1" ht="20.25" customHeight="1">
      <c r="A103" s="16" t="s">
        <v>2</v>
      </c>
      <c r="B103" s="21">
        <f t="shared" si="56"/>
        <v>1353</v>
      </c>
      <c r="C103" s="21">
        <f t="shared" si="56"/>
        <v>2065</v>
      </c>
      <c r="D103" s="20">
        <f t="shared" si="57"/>
        <v>3418</v>
      </c>
      <c r="E103" s="12">
        <f t="shared" si="58"/>
        <v>568</v>
      </c>
      <c r="F103" s="12">
        <f t="shared" si="58"/>
        <v>219</v>
      </c>
      <c r="G103" s="12">
        <f t="shared" si="58"/>
        <v>188</v>
      </c>
      <c r="H103" s="21">
        <f>+Y6/D103</f>
        <v>149.58074897600937</v>
      </c>
      <c r="I103" s="13">
        <f t="shared" si="59"/>
        <v>0.16617905207723815</v>
      </c>
      <c r="J103" s="13">
        <f t="shared" si="60"/>
        <v>0.06407255705090696</v>
      </c>
      <c r="K103" s="24">
        <f t="shared" si="61"/>
        <v>523.0154086210259</v>
      </c>
      <c r="L103" s="14">
        <f t="shared" si="62"/>
        <v>290700</v>
      </c>
      <c r="M103" s="39">
        <f>+D103/31</f>
        <v>110.25806451612904</v>
      </c>
      <c r="N103" s="27">
        <f t="shared" si="63"/>
        <v>5899.75</v>
      </c>
      <c r="O103" s="28">
        <f t="shared" si="64"/>
        <v>-2481.75</v>
      </c>
      <c r="P103" s="30">
        <f t="shared" si="65"/>
        <v>0.5793465824823085</v>
      </c>
      <c r="T103"/>
      <c r="U103"/>
      <c r="V103"/>
      <c r="W103"/>
      <c r="X103"/>
      <c r="Y103"/>
      <c r="Z103"/>
    </row>
    <row r="104" spans="1:26" s="15" customFormat="1" ht="20.25" customHeight="1">
      <c r="A104" s="16" t="s">
        <v>24</v>
      </c>
      <c r="B104" s="21">
        <f t="shared" si="56"/>
        <v>1228</v>
      </c>
      <c r="C104" s="21">
        <f t="shared" si="56"/>
        <v>1544</v>
      </c>
      <c r="D104" s="20">
        <f t="shared" si="57"/>
        <v>2772</v>
      </c>
      <c r="E104" s="12">
        <f t="shared" si="58"/>
        <v>525</v>
      </c>
      <c r="F104" s="12">
        <f t="shared" si="58"/>
        <v>168</v>
      </c>
      <c r="G104" s="12">
        <f t="shared" si="58"/>
        <v>127</v>
      </c>
      <c r="H104" s="21">
        <f>+Y6/D104</f>
        <v>184.4397546897547</v>
      </c>
      <c r="I104" s="13">
        <f t="shared" si="59"/>
        <v>0.1893939393939394</v>
      </c>
      <c r="J104" s="13">
        <f t="shared" si="60"/>
        <v>0.06060606060606061</v>
      </c>
      <c r="K104" s="24">
        <f t="shared" si="61"/>
        <v>644.901394901395</v>
      </c>
      <c r="L104" s="14">
        <f t="shared" si="62"/>
        <v>238050</v>
      </c>
      <c r="M104" s="39">
        <f>+D104/30</f>
        <v>92.4</v>
      </c>
      <c r="N104" s="27">
        <f t="shared" si="63"/>
        <v>5899.75</v>
      </c>
      <c r="O104" s="28">
        <f t="shared" si="64"/>
        <v>-3127.75</v>
      </c>
      <c r="P104" s="30">
        <f t="shared" si="65"/>
        <v>0.4698504173905674</v>
      </c>
      <c r="R104" s="42"/>
      <c r="S104" s="42"/>
      <c r="T104"/>
      <c r="U104"/>
      <c r="V104"/>
      <c r="W104"/>
      <c r="X104"/>
      <c r="Y104"/>
      <c r="Z104"/>
    </row>
    <row r="105" spans="1:26" s="15" customFormat="1" ht="20.25" customHeight="1">
      <c r="A105" s="16" t="s">
        <v>25</v>
      </c>
      <c r="B105" s="21">
        <f t="shared" si="56"/>
        <v>1443</v>
      </c>
      <c r="C105" s="21">
        <f t="shared" si="56"/>
        <v>1793</v>
      </c>
      <c r="D105" s="20">
        <f t="shared" si="57"/>
        <v>3236</v>
      </c>
      <c r="E105" s="12">
        <f t="shared" si="58"/>
        <v>577</v>
      </c>
      <c r="F105" s="12">
        <f t="shared" si="58"/>
        <v>204</v>
      </c>
      <c r="G105" s="12">
        <f t="shared" si="58"/>
        <v>203</v>
      </c>
      <c r="H105" s="21">
        <f>+Y6/D105</f>
        <v>157.99351050679851</v>
      </c>
      <c r="I105" s="13">
        <f t="shared" si="59"/>
        <v>0.17830655129789863</v>
      </c>
      <c r="J105" s="13">
        <f t="shared" si="60"/>
        <v>0.0630407911001236</v>
      </c>
      <c r="K105" s="24">
        <f t="shared" si="61"/>
        <v>552.4309847548413</v>
      </c>
      <c r="L105" s="14">
        <f t="shared" si="62"/>
        <v>272970</v>
      </c>
      <c r="M105" s="39">
        <f>+D105/31</f>
        <v>104.38709677419355</v>
      </c>
      <c r="N105" s="27">
        <f t="shared" si="63"/>
        <v>5899.75</v>
      </c>
      <c r="O105" s="28">
        <f t="shared" si="64"/>
        <v>-2663.75</v>
      </c>
      <c r="P105" s="30">
        <f t="shared" si="65"/>
        <v>0.54849781770414</v>
      </c>
      <c r="S105" s="42"/>
      <c r="T105"/>
      <c r="U105"/>
      <c r="V105"/>
      <c r="W105"/>
      <c r="X105"/>
      <c r="Y105"/>
      <c r="Z105"/>
    </row>
    <row r="106" spans="1:26" s="15" customFormat="1" ht="20.25" customHeight="1" thickBot="1">
      <c r="A106" s="57" t="s">
        <v>26</v>
      </c>
      <c r="B106" s="58">
        <f t="shared" si="56"/>
        <v>1385</v>
      </c>
      <c r="C106" s="58">
        <f t="shared" si="56"/>
        <v>1721</v>
      </c>
      <c r="D106" s="58">
        <f t="shared" si="57"/>
        <v>3106</v>
      </c>
      <c r="E106" s="58">
        <f t="shared" si="58"/>
        <v>486</v>
      </c>
      <c r="F106" s="58">
        <f t="shared" si="58"/>
        <v>161</v>
      </c>
      <c r="G106" s="58">
        <f t="shared" si="58"/>
        <v>159</v>
      </c>
      <c r="H106" s="59">
        <f>+Y6/D106</f>
        <v>164.60624597553124</v>
      </c>
      <c r="I106" s="60">
        <f t="shared" si="59"/>
        <v>0.15647134578235672</v>
      </c>
      <c r="J106" s="60">
        <f t="shared" si="60"/>
        <v>0.05183515775917579</v>
      </c>
      <c r="K106" s="61">
        <f t="shared" si="61"/>
        <v>575.5526937110968</v>
      </c>
      <c r="L106" s="62">
        <f t="shared" si="62"/>
        <v>265230</v>
      </c>
      <c r="M106" s="63">
        <f>+D106/30</f>
        <v>103.53333333333333</v>
      </c>
      <c r="N106" s="64">
        <f t="shared" si="63"/>
        <v>5899.75</v>
      </c>
      <c r="O106" s="65">
        <f t="shared" si="64"/>
        <v>-2793.75</v>
      </c>
      <c r="P106" s="66">
        <f t="shared" si="65"/>
        <v>0.5264629857197339</v>
      </c>
      <c r="T106"/>
      <c r="U106"/>
      <c r="V106"/>
      <c r="W106"/>
      <c r="X106"/>
      <c r="Y106"/>
      <c r="Z106"/>
    </row>
    <row r="107" spans="1:26" s="15" customFormat="1" ht="20.25" customHeight="1" thickBot="1" thickTop="1">
      <c r="A107" s="48" t="s">
        <v>29</v>
      </c>
      <c r="B107" s="50">
        <f aca="true" t="shared" si="66" ref="B107:G107">SUM(B101:B106)</f>
        <v>7215</v>
      </c>
      <c r="C107" s="50">
        <f t="shared" si="66"/>
        <v>9992</v>
      </c>
      <c r="D107" s="50">
        <f t="shared" si="66"/>
        <v>17207</v>
      </c>
      <c r="E107" s="50">
        <f t="shared" si="66"/>
        <v>2992</v>
      </c>
      <c r="F107" s="50">
        <f t="shared" si="66"/>
        <v>1055</v>
      </c>
      <c r="G107" s="50">
        <f t="shared" si="66"/>
        <v>918</v>
      </c>
      <c r="H107" s="120">
        <f>+Y6/D107</f>
        <v>29.71273318998082</v>
      </c>
      <c r="I107" s="43">
        <f t="shared" si="59"/>
        <v>0.17388272214796305</v>
      </c>
      <c r="J107" s="43">
        <f t="shared" si="60"/>
        <v>0.06131225663973964</v>
      </c>
      <c r="K107" s="44">
        <f>+((20000000/12+69000+52000)*6)/D107</f>
        <v>623.3509618178648</v>
      </c>
      <c r="L107" s="52">
        <f>SUM(L101:L106)</f>
        <v>1466010</v>
      </c>
      <c r="M107" s="53">
        <f>+D107/(31+29+31+30+31+30)</f>
        <v>94.54395604395604</v>
      </c>
      <c r="N107" s="45">
        <f>+(46699+24098)/12*6</f>
        <v>35398.5</v>
      </c>
      <c r="O107" s="46">
        <f>+D107-N107</f>
        <v>-18191.5</v>
      </c>
      <c r="P107" s="47">
        <f>+D107/N107</f>
        <v>0.4860940435329181</v>
      </c>
      <c r="T107"/>
      <c r="U107"/>
      <c r="V107"/>
      <c r="W107"/>
      <c r="X107"/>
      <c r="Y107"/>
      <c r="Z107"/>
    </row>
    <row r="108" spans="1:26" s="15" customFormat="1" ht="20.25" customHeight="1" thickTop="1">
      <c r="A108" s="16" t="s">
        <v>27</v>
      </c>
      <c r="B108" s="21">
        <f aca="true" t="shared" si="67" ref="B108:C113">+B88+B69+B50+B32+B13</f>
        <v>1318</v>
      </c>
      <c r="C108" s="21">
        <f t="shared" si="67"/>
        <v>1873</v>
      </c>
      <c r="D108" s="20">
        <f t="shared" si="57"/>
        <v>3191</v>
      </c>
      <c r="E108" s="12">
        <f aca="true" t="shared" si="68" ref="E108:G113">+E88+E69+E50+E32+E13</f>
        <v>375</v>
      </c>
      <c r="F108" s="12">
        <f t="shared" si="68"/>
        <v>108</v>
      </c>
      <c r="G108" s="12">
        <f t="shared" si="68"/>
        <v>139</v>
      </c>
      <c r="H108" s="21">
        <f>+Y6/D108</f>
        <v>160.22156063929802</v>
      </c>
      <c r="I108" s="13">
        <f t="shared" si="59"/>
        <v>0.11751801942964588</v>
      </c>
      <c r="J108" s="13">
        <f t="shared" si="60"/>
        <v>0.03384518959573801</v>
      </c>
      <c r="K108" s="24">
        <f t="shared" si="61"/>
        <v>560.2214561788363</v>
      </c>
      <c r="L108" s="14">
        <f t="shared" si="62"/>
        <v>274680</v>
      </c>
      <c r="M108" s="39">
        <f>+D108/31</f>
        <v>102.93548387096774</v>
      </c>
      <c r="N108" s="27">
        <f t="shared" si="63"/>
        <v>5899.75</v>
      </c>
      <c r="O108" s="28">
        <f t="shared" si="64"/>
        <v>-2708.75</v>
      </c>
      <c r="P108" s="30">
        <f t="shared" si="65"/>
        <v>0.540870375863384</v>
      </c>
      <c r="R108" s="42"/>
      <c r="T108"/>
      <c r="U108"/>
      <c r="V108"/>
      <c r="W108"/>
      <c r="X108"/>
      <c r="Y108"/>
      <c r="Z108"/>
    </row>
    <row r="109" spans="1:26" s="15" customFormat="1" ht="20.25" customHeight="1">
      <c r="A109" s="11" t="s">
        <v>30</v>
      </c>
      <c r="B109" s="21">
        <f t="shared" si="67"/>
        <v>1146</v>
      </c>
      <c r="C109" s="21">
        <f t="shared" si="67"/>
        <v>1989</v>
      </c>
      <c r="D109" s="20">
        <f>SUM(B109:C109)</f>
        <v>3135</v>
      </c>
      <c r="E109" s="12">
        <f t="shared" si="68"/>
        <v>480</v>
      </c>
      <c r="F109" s="12">
        <f t="shared" si="68"/>
        <v>173</v>
      </c>
      <c r="G109" s="12">
        <f t="shared" si="68"/>
        <v>141</v>
      </c>
      <c r="H109" s="20">
        <f>+Y6/D109</f>
        <v>163.0835725677831</v>
      </c>
      <c r="I109" s="13">
        <f t="shared" si="59"/>
        <v>0.15311004784688995</v>
      </c>
      <c r="J109" s="13">
        <f t="shared" si="60"/>
        <v>0.05518341307814992</v>
      </c>
      <c r="K109" s="24">
        <f t="shared" si="61"/>
        <v>570.2286018075492</v>
      </c>
      <c r="L109" s="14">
        <f t="shared" si="62"/>
        <v>269460</v>
      </c>
      <c r="M109" s="39">
        <f>+D109/31</f>
        <v>101.12903225806451</v>
      </c>
      <c r="N109" s="27">
        <f t="shared" si="63"/>
        <v>5899.75</v>
      </c>
      <c r="O109" s="28">
        <f t="shared" si="64"/>
        <v>-2764.75</v>
      </c>
      <c r="P109" s="30">
        <f t="shared" si="65"/>
        <v>0.5313784482393322</v>
      </c>
      <c r="T109"/>
      <c r="U109"/>
      <c r="V109"/>
      <c r="W109"/>
      <c r="X109"/>
      <c r="Y109"/>
      <c r="Z109"/>
    </row>
    <row r="110" spans="1:26" s="15" customFormat="1" ht="20.25" customHeight="1">
      <c r="A110" s="11" t="s">
        <v>31</v>
      </c>
      <c r="B110" s="21">
        <f t="shared" si="67"/>
        <v>805</v>
      </c>
      <c r="C110" s="21">
        <f t="shared" si="67"/>
        <v>1464</v>
      </c>
      <c r="D110" s="20">
        <f>SUM(B110:C110)</f>
        <v>2269</v>
      </c>
      <c r="E110" s="12">
        <f t="shared" si="68"/>
        <v>399</v>
      </c>
      <c r="F110" s="12">
        <f t="shared" si="68"/>
        <v>151</v>
      </c>
      <c r="G110" s="12">
        <f t="shared" si="68"/>
        <v>102</v>
      </c>
      <c r="H110" s="20">
        <f>+Y6/D110</f>
        <v>225.32701630674305</v>
      </c>
      <c r="I110" s="13">
        <f t="shared" si="59"/>
        <v>0.17584839136183342</v>
      </c>
      <c r="J110" s="13">
        <f t="shared" si="60"/>
        <v>0.06654914059056853</v>
      </c>
      <c r="K110" s="24">
        <f t="shared" si="61"/>
        <v>787.8654326428676</v>
      </c>
      <c r="L110" s="14">
        <f t="shared" si="62"/>
        <v>195030</v>
      </c>
      <c r="M110" s="39">
        <f>+D110/30</f>
        <v>75.63333333333334</v>
      </c>
      <c r="N110" s="27">
        <f t="shared" si="63"/>
        <v>5899.75</v>
      </c>
      <c r="O110" s="28">
        <f t="shared" si="64"/>
        <v>-3630.75</v>
      </c>
      <c r="P110" s="30">
        <f t="shared" si="65"/>
        <v>0.384592567481673</v>
      </c>
      <c r="T110"/>
      <c r="U110"/>
      <c r="V110"/>
      <c r="W110"/>
      <c r="X110"/>
      <c r="Y110"/>
      <c r="Z110"/>
    </row>
    <row r="111" spans="1:26" s="15" customFormat="1" ht="20.25" customHeight="1">
      <c r="A111" s="11" t="s">
        <v>32</v>
      </c>
      <c r="B111" s="21">
        <f t="shared" si="67"/>
        <v>988</v>
      </c>
      <c r="C111" s="21">
        <f t="shared" si="67"/>
        <v>1453</v>
      </c>
      <c r="D111" s="20">
        <f>SUM(B111:C111)</f>
        <v>2441</v>
      </c>
      <c r="E111" s="12">
        <f t="shared" si="68"/>
        <v>412</v>
      </c>
      <c r="F111" s="12">
        <f t="shared" si="68"/>
        <v>149</v>
      </c>
      <c r="G111" s="12">
        <f t="shared" si="68"/>
        <v>135</v>
      </c>
      <c r="H111" s="20">
        <f>+Y6/D111</f>
        <v>209.44981564932405</v>
      </c>
      <c r="I111" s="13">
        <f t="shared" si="59"/>
        <v>0.16878328553871363</v>
      </c>
      <c r="J111" s="13">
        <f t="shared" si="60"/>
        <v>0.06104055714870955</v>
      </c>
      <c r="K111" s="24">
        <f t="shared" si="61"/>
        <v>732.3501297282535</v>
      </c>
      <c r="L111" s="14">
        <f t="shared" si="62"/>
        <v>207540</v>
      </c>
      <c r="M111" s="39">
        <f>+D111/31</f>
        <v>78.74193548387096</v>
      </c>
      <c r="N111" s="27">
        <f t="shared" si="63"/>
        <v>5899.75</v>
      </c>
      <c r="O111" s="28">
        <f t="shared" si="64"/>
        <v>-3458.75</v>
      </c>
      <c r="P111" s="30">
        <f t="shared" si="65"/>
        <v>0.41374634518411796</v>
      </c>
      <c r="T111"/>
      <c r="U111"/>
      <c r="V111"/>
      <c r="W111"/>
      <c r="X111"/>
      <c r="Y111"/>
      <c r="Z111"/>
    </row>
    <row r="112" spans="1:26" s="15" customFormat="1" ht="20.25" customHeight="1">
      <c r="A112" s="11" t="s">
        <v>33</v>
      </c>
      <c r="B112" s="21">
        <f t="shared" si="67"/>
        <v>1077</v>
      </c>
      <c r="C112" s="21">
        <f t="shared" si="67"/>
        <v>1490</v>
      </c>
      <c r="D112" s="20">
        <f>SUM(B112:C112)</f>
        <v>2567</v>
      </c>
      <c r="E112" s="12">
        <f t="shared" si="68"/>
        <v>379</v>
      </c>
      <c r="F112" s="12">
        <f t="shared" si="68"/>
        <v>130</v>
      </c>
      <c r="G112" s="12">
        <f t="shared" si="68"/>
        <v>142</v>
      </c>
      <c r="H112" s="20">
        <f>+Y6/D112</f>
        <v>199.16906895208413</v>
      </c>
      <c r="I112" s="13">
        <f t="shared" si="59"/>
        <v>0.14764316322555512</v>
      </c>
      <c r="J112" s="13">
        <f t="shared" si="60"/>
        <v>0.050642773665757694</v>
      </c>
      <c r="K112" s="24">
        <f t="shared" si="61"/>
        <v>696.4030645370732</v>
      </c>
      <c r="L112" s="14">
        <f t="shared" si="62"/>
        <v>218250</v>
      </c>
      <c r="M112" s="39">
        <f>+D112/30</f>
        <v>85.56666666666666</v>
      </c>
      <c r="N112" s="27">
        <f t="shared" si="63"/>
        <v>5899.75</v>
      </c>
      <c r="O112" s="28">
        <f t="shared" si="64"/>
        <v>-3332.75</v>
      </c>
      <c r="P112" s="30">
        <f t="shared" si="65"/>
        <v>0.4351031823382347</v>
      </c>
      <c r="T112"/>
      <c r="U112"/>
      <c r="V112"/>
      <c r="W112"/>
      <c r="X112"/>
      <c r="Y112"/>
      <c r="Z112"/>
    </row>
    <row r="113" spans="1:26" s="15" customFormat="1" ht="20.25" customHeight="1" thickBot="1">
      <c r="A113" s="82" t="s">
        <v>34</v>
      </c>
      <c r="B113" s="99">
        <f t="shared" si="67"/>
        <v>1235</v>
      </c>
      <c r="C113" s="99">
        <f t="shared" si="67"/>
        <v>1639</v>
      </c>
      <c r="D113" s="84">
        <f>SUM(B113:C113)</f>
        <v>2874</v>
      </c>
      <c r="E113" s="83">
        <f t="shared" si="68"/>
        <v>374</v>
      </c>
      <c r="F113" s="83">
        <f t="shared" si="68"/>
        <v>133</v>
      </c>
      <c r="G113" s="83">
        <f t="shared" si="68"/>
        <v>120</v>
      </c>
      <c r="H113" s="84">
        <f>+Y6/D113</f>
        <v>177.89387613082812</v>
      </c>
      <c r="I113" s="85">
        <f t="shared" si="59"/>
        <v>0.1301322199025748</v>
      </c>
      <c r="J113" s="85">
        <f t="shared" si="60"/>
        <v>0.04627696590118302</v>
      </c>
      <c r="K113" s="86">
        <f t="shared" si="61"/>
        <v>622.0134539549989</v>
      </c>
      <c r="L113" s="87">
        <f t="shared" si="62"/>
        <v>247860</v>
      </c>
      <c r="M113" s="88">
        <f>+D113/31</f>
        <v>92.70967741935483</v>
      </c>
      <c r="N113" s="89">
        <f t="shared" si="63"/>
        <v>5899.75</v>
      </c>
      <c r="O113" s="90">
        <f t="shared" si="64"/>
        <v>-3025.75</v>
      </c>
      <c r="P113" s="91">
        <f t="shared" si="65"/>
        <v>0.48713928556294755</v>
      </c>
      <c r="T113"/>
      <c r="U113"/>
      <c r="V113"/>
      <c r="W113"/>
      <c r="X113"/>
      <c r="Y113"/>
      <c r="Z113"/>
    </row>
    <row r="114" spans="1:26" s="15" customFormat="1" ht="20.25" customHeight="1" thickBot="1" thickTop="1">
      <c r="A114" s="92" t="s">
        <v>28</v>
      </c>
      <c r="B114" s="93">
        <f aca="true" t="shared" si="69" ref="B114:G114">SUM(B108:B113)</f>
        <v>6569</v>
      </c>
      <c r="C114" s="93">
        <f t="shared" si="69"/>
        <v>9908</v>
      </c>
      <c r="D114" s="93">
        <f t="shared" si="69"/>
        <v>16477</v>
      </c>
      <c r="E114" s="93">
        <f t="shared" si="69"/>
        <v>2419</v>
      </c>
      <c r="F114" s="93">
        <f t="shared" si="69"/>
        <v>844</v>
      </c>
      <c r="G114" s="93">
        <f t="shared" si="69"/>
        <v>779</v>
      </c>
      <c r="H114" s="93">
        <f>+Y6/D114</f>
        <v>31.029131516659586</v>
      </c>
      <c r="I114" s="94">
        <f t="shared" si="59"/>
        <v>0.1468107058323724</v>
      </c>
      <c r="J114" s="94">
        <f t="shared" si="60"/>
        <v>0.05122291679310554</v>
      </c>
      <c r="K114" s="67">
        <f>+((20000000/12+69000+52000)*6)/D114</f>
        <v>650.9680160223342</v>
      </c>
      <c r="L114" s="67">
        <f t="shared" si="62"/>
        <v>1412820</v>
      </c>
      <c r="M114" s="68">
        <f>+D114/(31+31+30+31+30+31)</f>
        <v>89.54891304347827</v>
      </c>
      <c r="N114" s="95">
        <f>+(46699+24098)/12*6</f>
        <v>35398.5</v>
      </c>
      <c r="O114" s="96">
        <f t="shared" si="64"/>
        <v>-18921.5</v>
      </c>
      <c r="P114" s="97">
        <f t="shared" si="65"/>
        <v>0.46547170077828154</v>
      </c>
      <c r="T114"/>
      <c r="U114"/>
      <c r="V114"/>
      <c r="W114"/>
      <c r="X114"/>
      <c r="Y114"/>
      <c r="Z114"/>
    </row>
    <row r="115" spans="1:16" s="15" customFormat="1" ht="20.25" customHeight="1" thickBot="1" thickTop="1">
      <c r="A115" s="18" t="s">
        <v>35</v>
      </c>
      <c r="B115" s="22">
        <f aca="true" t="shared" si="70" ref="B115:G115">+B114+B107</f>
        <v>13784</v>
      </c>
      <c r="C115" s="22">
        <f t="shared" si="70"/>
        <v>19900</v>
      </c>
      <c r="D115" s="22">
        <f t="shared" si="70"/>
        <v>33684</v>
      </c>
      <c r="E115" s="22">
        <f t="shared" si="70"/>
        <v>5411</v>
      </c>
      <c r="F115" s="22">
        <f t="shared" si="70"/>
        <v>1899</v>
      </c>
      <c r="G115" s="22">
        <f t="shared" si="70"/>
        <v>1697</v>
      </c>
      <c r="H115" s="22">
        <f>+Y6/D115</f>
        <v>15.178333927087044</v>
      </c>
      <c r="I115" s="25">
        <f t="shared" si="59"/>
        <v>0.16064006650041562</v>
      </c>
      <c r="J115" s="25">
        <f t="shared" si="60"/>
        <v>0.05637691485571785</v>
      </c>
      <c r="K115" s="26">
        <f>+((20000000/12+69000+52000)*12)/D115</f>
        <v>636.8602303764399</v>
      </c>
      <c r="L115" s="35">
        <f t="shared" si="62"/>
        <v>2878830</v>
      </c>
      <c r="M115" s="40">
        <f>+D115/365</f>
        <v>92.28493150684932</v>
      </c>
      <c r="N115" s="29">
        <f>+(46699+24098)/12*12</f>
        <v>70797</v>
      </c>
      <c r="O115" s="31">
        <f t="shared" si="64"/>
        <v>-37113</v>
      </c>
      <c r="P115" s="32">
        <f t="shared" si="65"/>
        <v>0.47578287215559983</v>
      </c>
    </row>
    <row r="116" ht="2.25" customHeight="1"/>
    <row r="117" ht="3" customHeight="1"/>
    <row r="118" ht="4.5" customHeight="1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spans="9:14" ht="12.75">
      <c r="I131"/>
      <c r="M131"/>
      <c r="N131"/>
    </row>
  </sheetData>
  <mergeCells count="19">
    <mergeCell ref="A99:A100"/>
    <mergeCell ref="B99:L99"/>
    <mergeCell ref="O99:P99"/>
    <mergeCell ref="A60:A61"/>
    <mergeCell ref="B60:L60"/>
    <mergeCell ref="O60:P60"/>
    <mergeCell ref="A79:A80"/>
    <mergeCell ref="B79:L79"/>
    <mergeCell ref="O79:P79"/>
    <mergeCell ref="A23:A24"/>
    <mergeCell ref="B23:L23"/>
    <mergeCell ref="O23:P23"/>
    <mergeCell ref="A41:A42"/>
    <mergeCell ref="B41:L41"/>
    <mergeCell ref="O41:P41"/>
    <mergeCell ref="A4:A5"/>
    <mergeCell ref="B4:L4"/>
    <mergeCell ref="O4:P4"/>
    <mergeCell ref="T5:AB5"/>
  </mergeCells>
  <printOptions/>
  <pageMargins left="0.75" right="0.75" top="0.68" bottom="0.49" header="0.4921259845" footer="0.27"/>
  <pageSetup horizontalDpi="600" verticalDpi="600" orientation="portrait" paperSize="9" scale="57" r:id="rId3"/>
  <rowBreaks count="1" manualBreakCount="1">
    <brk id="58" max="15" man="1"/>
  </rowBreaks>
  <colBreaks count="1" manualBreakCount="1">
    <brk id="16" max="65535" man="1"/>
  </colBreaks>
  <legacyDrawing r:id="rId2"/>
  <oleObjects>
    <oleObject progId="Word.Document.8" shapeId="5123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2009-10-28T06:09:13Z</cp:lastPrinted>
  <dcterms:created xsi:type="dcterms:W3CDTF">2008-04-12T08:31:41Z</dcterms:created>
  <dcterms:modified xsi:type="dcterms:W3CDTF">2009-10-29T12:03:54Z</dcterms:modified>
  <cp:category/>
  <cp:version/>
  <cp:contentType/>
  <cp:contentStatus/>
</cp:coreProperties>
</file>