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ZK-04-2005-53, př. 1, str.1-2" sheetId="1" r:id="rId1"/>
    <sheet name="str.3" sheetId="2" r:id="rId2"/>
  </sheets>
  <definedNames/>
  <calcPr fullCalcOnLoad="1"/>
</workbook>
</file>

<file path=xl/sharedStrings.xml><?xml version="1.0" encoding="utf-8"?>
<sst xmlns="http://schemas.openxmlformats.org/spreadsheetml/2006/main" count="192" uniqueCount="165">
  <si>
    <t>Finanční plán pro rok 2004</t>
  </si>
  <si>
    <t>Celkem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</si>
  <si>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</si>
  <si>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</si>
  <si>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</si>
  <si>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</si>
  <si>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</si>
  <si>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</si>
  <si>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</si>
  <si>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</si>
  <si>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</si>
  <si>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</si>
  <si>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</si>
  <si>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</si>
  <si>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</si>
  <si>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</si>
  <si>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</si>
  <si>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</si>
  <si>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</si>
  <si>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</si>
  <si>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</si>
  <si>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</si>
  <si>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</si>
  <si>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</si>
  <si>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</si>
  <si>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</si>
  <si>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</si>
  <si>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Daň z příjmů /sesk.úč. 59/</t>
  </si>
  <si>
    <t>Náklady celkem</t>
  </si>
  <si>
    <t>Hospodářský výsledek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</si>
  <si>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</si>
  <si>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</si>
  <si>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</si>
  <si>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</si>
  <si>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</si>
  <si>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</si>
  <si>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</si>
  <si>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</si>
  <si>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</si>
  <si>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</si>
  <si>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>celkem</t>
  </si>
  <si>
    <t>Odpisy, prodaný majetek /sesk.úč. 55/</t>
  </si>
  <si>
    <t>Hlavní činnost</t>
  </si>
  <si>
    <t>Doplňková činnost</t>
  </si>
  <si>
    <t xml:space="preserve">      z toho: odpisy DM /úč. 551/</t>
  </si>
  <si>
    <t>2 ks monitor dispečink</t>
  </si>
  <si>
    <t>Sanitní vozidlo Mercedes Benz Sprinter 316 CDi včetně sanitní zástavby</t>
  </si>
  <si>
    <t>Klimatizace zdravotního operačního střediska a dílny</t>
  </si>
  <si>
    <t>Televizní sledovací systém</t>
  </si>
  <si>
    <t>PC-Win+Office+tiskárna – 3 Ks</t>
  </si>
  <si>
    <t>dispečerský, aplikační a technologický software</t>
  </si>
  <si>
    <t>II. Etapa radiové sítě  a technologií ZZS</t>
  </si>
  <si>
    <t>záznamové zařízení ReDat 3</t>
  </si>
  <si>
    <t>dovybavení zásahových terénních vozidel Land Rover Discovery a Ford Maveric navíjecím zařízenímnavíjecí zařízení</t>
  </si>
  <si>
    <t xml:space="preserve">Radiová technologie a informační systém </t>
  </si>
  <si>
    <t>ze SR</t>
  </si>
  <si>
    <t xml:space="preserve">z rozpočtu kraje </t>
  </si>
  <si>
    <t>elektroinstalace dvojblikače</t>
  </si>
  <si>
    <t>z prodeje majetku ve správě</t>
  </si>
  <si>
    <t>Celkem z rozpočtu kraje - závazný ukazatel investiční dotace</t>
  </si>
  <si>
    <t>Havlíčkův Brod</t>
  </si>
  <si>
    <t>Třebíč</t>
  </si>
  <si>
    <t>Nové Město na Moravě</t>
  </si>
  <si>
    <t>Jihlava</t>
  </si>
  <si>
    <t>CELKEM</t>
  </si>
  <si>
    <t>Návrh finančního plánu pro rok 2005</t>
  </si>
  <si>
    <t>Finanční plán po zapracování navýšení dotace na provoz a odvodu z investičního fondu</t>
  </si>
  <si>
    <t>Plán 2005</t>
  </si>
  <si>
    <t>Stav k 1.1.2005</t>
  </si>
  <si>
    <t>Stav k 31.12.2005</t>
  </si>
  <si>
    <t>Investice z vlastních zdrojů 2004</t>
  </si>
  <si>
    <t>v Kč</t>
  </si>
  <si>
    <t>Investice z rozpočtu kraje 2005</t>
  </si>
  <si>
    <t>v tis. Kč</t>
  </si>
  <si>
    <t>Sanitní vizidlo Volkswagen Transporter Syncro 2 ks</t>
  </si>
  <si>
    <t>nedočerpaná investice - II.etapa radiové sítě a technologií ZZS</t>
  </si>
  <si>
    <t>12-ti svodové EKG 10 ks</t>
  </si>
  <si>
    <t>vybudování prezentačního střediska a učebny pro další vzdělávání zaměstnanců</t>
  </si>
  <si>
    <t>terénní úpravy stávajícího vnitřního areálu</t>
  </si>
  <si>
    <t>materiál na opravu budovy</t>
  </si>
  <si>
    <t>sanitní vozidlo Mercedes Benz Sprinter včetně zástavby</t>
  </si>
  <si>
    <t>Notebook 4 ks</t>
  </si>
  <si>
    <t>Sestava PC 3ks</t>
  </si>
  <si>
    <t>Terénní vozidlo včetně sanitní zástavby</t>
  </si>
  <si>
    <t>stůl na montáž a demontáž pneu + vyvažovačka + příslušenství</t>
  </si>
  <si>
    <t>Investice z vlastních zdrojů pro rok 2005</t>
  </si>
  <si>
    <t>Investice z rozpočtu kraje 2004</t>
  </si>
  <si>
    <t>II. Návrh čerpání fondů</t>
  </si>
  <si>
    <t>III. Návrh investičního plánu</t>
  </si>
  <si>
    <t>Pořizovací cena majetku</t>
  </si>
  <si>
    <t>Odpisový plán na rok 2004</t>
  </si>
  <si>
    <t>Zůstatková cena k 31.12.2004</t>
  </si>
  <si>
    <t>z toho odpisová skupina:</t>
  </si>
  <si>
    <t>Oprávky k 1.1.2005</t>
  </si>
  <si>
    <t>IV. Odpisový plán</t>
  </si>
  <si>
    <t>I. Návrh finančního plánu - Zdravotnická záchranná služba kraje Vysočina</t>
  </si>
  <si>
    <t>Účet</t>
  </si>
  <si>
    <t>Název účtu</t>
  </si>
  <si>
    <t>Pelhřimov</t>
  </si>
  <si>
    <t>+/-</t>
  </si>
  <si>
    <t>rozdíl v %</t>
  </si>
  <si>
    <t>pneu</t>
  </si>
  <si>
    <t>náhradní díly vozidla</t>
  </si>
  <si>
    <t>léky</t>
  </si>
  <si>
    <t>SZM</t>
  </si>
  <si>
    <t>PZT</t>
  </si>
  <si>
    <t>benzín</t>
  </si>
  <si>
    <t>nafta</t>
  </si>
  <si>
    <t>olej</t>
  </si>
  <si>
    <t>čistící prostředky</t>
  </si>
  <si>
    <t>všeobecný materiál</t>
  </si>
  <si>
    <t>knihy,časopisy</t>
  </si>
  <si>
    <t>OOPP</t>
  </si>
  <si>
    <t>DHM</t>
  </si>
  <si>
    <t>celkem spotřeba materiálu</t>
  </si>
  <si>
    <t>el.energie</t>
  </si>
  <si>
    <t>voda</t>
  </si>
  <si>
    <t>plyn</t>
  </si>
  <si>
    <t>dílna-kyslík</t>
  </si>
  <si>
    <t>medicinální plyn</t>
  </si>
  <si>
    <t>spotřeba ost. neskl. dodávek</t>
  </si>
  <si>
    <t>opravy a údřba</t>
  </si>
  <si>
    <t>cestovné</t>
  </si>
  <si>
    <t>náklady na reprezentaci</t>
  </si>
  <si>
    <t>ostatní služby-úklid,odpady,inzerce</t>
  </si>
  <si>
    <t>nájemné</t>
  </si>
  <si>
    <t>poštovné</t>
  </si>
  <si>
    <t>telefony,RDST,internet</t>
  </si>
  <si>
    <t>praní prádla</t>
  </si>
  <si>
    <t>UNICOS,GORDIC</t>
  </si>
  <si>
    <t>software</t>
  </si>
  <si>
    <t>školení, kurzovné</t>
  </si>
  <si>
    <t>revize</t>
  </si>
  <si>
    <t>celkem služby</t>
  </si>
  <si>
    <t>mzdové náklady</t>
  </si>
  <si>
    <t>ostatní osobní náklady</t>
  </si>
  <si>
    <t>zákonné sociální pojištění</t>
  </si>
  <si>
    <t>zákonné zdravotní pojištění</t>
  </si>
  <si>
    <t>zákonné sociální náklady FKSP</t>
  </si>
  <si>
    <t>zákonné soc.náklady - Koop.</t>
  </si>
  <si>
    <t>osobní náklady celkem</t>
  </si>
  <si>
    <t>silniční daň</t>
  </si>
  <si>
    <t>úraky (placené)</t>
  </si>
  <si>
    <t>pojistné</t>
  </si>
  <si>
    <t>jiné ostatní náklady -STK,emise</t>
  </si>
  <si>
    <t>popl. RDST,TV,rozhlas,ČTU</t>
  </si>
  <si>
    <t>popl.peněžní ústav,Úřad práce</t>
  </si>
  <si>
    <t>jiné náklady celkem</t>
  </si>
  <si>
    <t>odpisy</t>
  </si>
  <si>
    <t>škody</t>
  </si>
  <si>
    <t>daň z příjmu</t>
  </si>
  <si>
    <t xml:space="preserve"> </t>
  </si>
  <si>
    <t>Porovnání nákladových položek Zdravotnické záchranné služby kraje Vysočina</t>
  </si>
  <si>
    <t>V. Závazné ukazatele</t>
  </si>
  <si>
    <t>Závazné ukazatele pro rok 2005</t>
  </si>
  <si>
    <t>Příspěvek na provoz</t>
  </si>
  <si>
    <t>Dotace na investice</t>
  </si>
  <si>
    <t>Limit prostředků na platy</t>
  </si>
  <si>
    <t>Odvod z investičního fondu</t>
  </si>
  <si>
    <t>výstavba stanoviště zdravotnické záchranné služby  - ZZS Pelhřimov - OSVZ</t>
  </si>
  <si>
    <t>výstavba stanoviště zdravotnické záchranné služby  - ZZS Pelhřimov - z rozpočtu majetkového odboru</t>
  </si>
  <si>
    <t>odvod do rozpočtu kraje</t>
  </si>
  <si>
    <t>Zůstatek bank.účtu k 31.3.2005</t>
  </si>
  <si>
    <t>ZK-04-2005-53, př. 1</t>
  </si>
  <si>
    <t>počet stran: 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</si>
</sst>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color indexed="10"/>
      <name val="Arial CE"/>
      <family val="2"/>
    </font>
    <font>
      <b/>
      <sz val="8"/>
      <name val="Times New Roman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3" fontId="3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2" borderId="2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 quotePrefix="1">
      <alignment horizontal="center"/>
    </xf>
    <xf numFmtId="3" fontId="6" fillId="0" borderId="4" xfId="0" applyNumberFormat="1" applyFont="1" applyBorder="1" applyAlignment="1" quotePrefix="1">
      <alignment horizontal="center"/>
    </xf>
    <xf numFmtId="3" fontId="6" fillId="0" borderId="1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4" fontId="6" fillId="0" borderId="5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3" fontId="6" fillId="2" borderId="2" xfId="0" applyNumberFormat="1" applyFont="1" applyFill="1" applyBorder="1" applyAlignment="1">
      <alignment vertical="center" wrapText="1"/>
    </xf>
    <xf numFmtId="3" fontId="6" fillId="0" borderId="9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2" borderId="2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3" fontId="9" fillId="2" borderId="2" xfId="0" applyNumberFormat="1" applyFont="1" applyFill="1" applyBorder="1" applyAlignment="1">
      <alignment/>
    </xf>
    <xf numFmtId="3" fontId="9" fillId="2" borderId="21" xfId="0" applyNumberFormat="1" applyFont="1" applyFill="1" applyBorder="1" applyAlignment="1">
      <alignment/>
    </xf>
    <xf numFmtId="3" fontId="9" fillId="2" borderId="22" xfId="0" applyNumberFormat="1" applyFont="1" applyFill="1" applyBorder="1" applyAlignment="1">
      <alignment/>
    </xf>
    <xf numFmtId="3" fontId="9" fillId="2" borderId="23" xfId="0" applyNumberFormat="1" applyFont="1" applyFill="1" applyBorder="1" applyAlignment="1">
      <alignment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35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2" borderId="6" xfId="20" applyFont="1" applyFill="1" applyBorder="1" applyAlignment="1">
      <alignment horizontal="center" vertical="center"/>
      <protection/>
    </xf>
    <xf numFmtId="3" fontId="6" fillId="0" borderId="36" xfId="20" applyNumberFormat="1" applyFont="1" applyBorder="1" applyAlignment="1">
      <alignment horizontal="center" vertical="center"/>
      <protection/>
    </xf>
    <xf numFmtId="3" fontId="6" fillId="0" borderId="37" xfId="20" applyNumberFormat="1" applyFont="1" applyBorder="1" applyAlignment="1">
      <alignment horizontal="right" vertical="center"/>
      <protection/>
    </xf>
    <xf numFmtId="3" fontId="6" fillId="0" borderId="38" xfId="20" applyNumberFormat="1" applyFont="1" applyBorder="1" applyAlignment="1">
      <alignment horizontal="right" vertical="center"/>
      <protection/>
    </xf>
    <xf numFmtId="3" fontId="6" fillId="0" borderId="26" xfId="20" applyNumberFormat="1" applyFont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4" fontId="10" fillId="0" borderId="4" xfId="0" applyNumberFormat="1" applyFont="1" applyBorder="1" applyAlignment="1">
      <alignment horizontal="right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4" fontId="10" fillId="0" borderId="35" xfId="0" applyNumberFormat="1" applyFont="1" applyFill="1" applyBorder="1" applyAlignment="1">
      <alignment horizontal="right" vertical="center" wrapText="1"/>
    </xf>
    <xf numFmtId="4" fontId="10" fillId="2" borderId="23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0" fontId="6" fillId="2" borderId="40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 wrapText="1"/>
    </xf>
    <xf numFmtId="10" fontId="6" fillId="0" borderId="4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3" fontId="6" fillId="0" borderId="42" xfId="0" applyNumberFormat="1" applyFont="1" applyBorder="1" applyAlignment="1">
      <alignment vertical="center" wrapText="1"/>
    </xf>
    <xf numFmtId="3" fontId="6" fillId="0" borderId="34" xfId="0" applyNumberFormat="1" applyFont="1" applyBorder="1" applyAlignment="1">
      <alignment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vertical="center" wrapText="1"/>
    </xf>
    <xf numFmtId="10" fontId="6" fillId="2" borderId="44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0" fontId="6" fillId="2" borderId="45" xfId="0" applyFont="1" applyFill="1" applyBorder="1" applyAlignment="1">
      <alignment vertical="center" wrapText="1"/>
    </xf>
    <xf numFmtId="3" fontId="6" fillId="2" borderId="46" xfId="0" applyNumberFormat="1" applyFont="1" applyFill="1" applyBorder="1" applyAlignment="1">
      <alignment vertical="center" wrapText="1"/>
    </xf>
    <xf numFmtId="3" fontId="6" fillId="2" borderId="47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" fontId="6" fillId="0" borderId="48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0" fillId="0" borderId="1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2" borderId="46" xfId="20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6" fillId="2" borderId="47" xfId="20" applyFont="1" applyFill="1" applyBorder="1" applyAlignment="1">
      <alignment horizontal="center" vertical="center" wrapText="1"/>
      <protection/>
    </xf>
    <xf numFmtId="0" fontId="0" fillId="0" borderId="4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2" borderId="50" xfId="20" applyFont="1" applyFill="1" applyBorder="1" applyAlignment="1">
      <alignment horizontal="center" vertical="center"/>
      <protection/>
    </xf>
    <xf numFmtId="0" fontId="4" fillId="2" borderId="51" xfId="20" applyFont="1" applyFill="1" applyBorder="1" applyAlignment="1">
      <alignment horizontal="center" vertical="center"/>
      <protection/>
    </xf>
    <xf numFmtId="0" fontId="4" fillId="2" borderId="52" xfId="20" applyFont="1" applyFill="1" applyBorder="1" applyAlignment="1">
      <alignment horizontal="center" vertical="center"/>
      <protection/>
    </xf>
    <xf numFmtId="0" fontId="6" fillId="2" borderId="53" xfId="20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6" fillId="2" borderId="20" xfId="20" applyFont="1" applyFill="1" applyBorder="1" applyAlignment="1">
      <alignment horizontal="center" vertical="center"/>
      <protection/>
    </xf>
    <xf numFmtId="0" fontId="6" fillId="2" borderId="54" xfId="20" applyFont="1" applyFill="1" applyBorder="1" applyAlignment="1">
      <alignment horizontal="center" vertical="center"/>
      <protection/>
    </xf>
    <xf numFmtId="0" fontId="6" fillId="2" borderId="55" xfId="20" applyFont="1" applyFill="1" applyBorder="1" applyAlignment="1">
      <alignment horizontal="center" vertical="center"/>
      <protection/>
    </xf>
    <xf numFmtId="0" fontId="4" fillId="2" borderId="4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6" fillId="0" borderId="1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8" fillId="2" borderId="45" xfId="20" applyFont="1" applyFill="1" applyBorder="1" applyAlignment="1">
      <alignment horizontal="center" vertical="center" wrapText="1"/>
      <protection/>
    </xf>
    <xf numFmtId="0" fontId="7" fillId="0" borderId="5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6" fillId="2" borderId="60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0" borderId="46" xfId="0" applyFont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2" borderId="65" xfId="0" applyFont="1" applyFill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0" fontId="6" fillId="0" borderId="51" xfId="0" applyFont="1" applyBorder="1" applyAlignment="1">
      <alignment/>
    </xf>
    <xf numFmtId="0" fontId="6" fillId="0" borderId="66" xfId="0" applyFont="1" applyBorder="1" applyAlignment="1">
      <alignment/>
    </xf>
    <xf numFmtId="0" fontId="6" fillId="2" borderId="6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68" xfId="0" applyBorder="1" applyAlignment="1">
      <alignment/>
    </xf>
    <xf numFmtId="0" fontId="6" fillId="2" borderId="2" xfId="0" applyFont="1" applyFill="1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0" fillId="0" borderId="27" xfId="0" applyBorder="1" applyAlignment="1">
      <alignment vertical="center"/>
    </xf>
    <xf numFmtId="0" fontId="6" fillId="2" borderId="63" xfId="0" applyFont="1" applyFill="1" applyBorder="1" applyAlignment="1">
      <alignment vertical="center" wrapText="1"/>
    </xf>
    <xf numFmtId="0" fontId="6" fillId="2" borderId="6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70" xfId="0" applyFont="1" applyFill="1" applyBorder="1" applyAlignment="1">
      <alignment vertical="center" wrapText="1"/>
    </xf>
    <xf numFmtId="0" fontId="6" fillId="2" borderId="4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8" xfId="0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0" fillId="0" borderId="58" xfId="0" applyFont="1" applyBorder="1" applyAlignment="1">
      <alignment vertical="center"/>
    </xf>
    <xf numFmtId="165" fontId="4" fillId="0" borderId="71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6" fillId="0" borderId="36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0" fillId="0" borderId="55" xfId="0" applyFont="1" applyBorder="1" applyAlignment="1">
      <alignment vertical="center"/>
    </xf>
    <xf numFmtId="165" fontId="4" fillId="0" borderId="20" xfId="0" applyNumberFormat="1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165" fontId="4" fillId="0" borderId="50" xfId="0" applyNumberFormat="1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3" fontId="6" fillId="0" borderId="31" xfId="0" applyNumberFormat="1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3" fontId="6" fillId="0" borderId="34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 wrapText="1"/>
    </xf>
    <xf numFmtId="10" fontId="6" fillId="0" borderId="35" xfId="0" applyNumberFormat="1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nový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5.875" style="0" customWidth="1"/>
    <col min="2" max="4" width="12.00390625" style="1" customWidth="1"/>
    <col min="5" max="5" width="10.125" style="1" customWidth="1"/>
    <col min="6" max="8" width="10.75390625" style="1" customWidth="1"/>
    <col min="9" max="9" width="9.375" style="0" customWidth="1"/>
  </cols>
  <sheetData>
    <row r="1" ht="15.75">
      <c r="G1" s="112" t="s">
        <v>163</v>
      </c>
    </row>
    <row r="2" ht="15.75">
      <c r="G2" s="112" t="s">
        <v>164</v>
      </c>
    </row>
    <row r="3" ht="12.75">
      <c r="G3" s="20" t="s">
        <v>151</v>
      </c>
    </row>
    <row r="4" ht="13.5" thickBot="1">
      <c r="A4" s="3" t="s">
        <v>95</v>
      </c>
    </row>
    <row r="5" spans="1:8" s="20" customFormat="1" ht="20.25" customHeight="1">
      <c r="A5" s="155" t="s">
        <v>0</v>
      </c>
      <c r="B5" s="153" t="s">
        <v>65</v>
      </c>
      <c r="C5" s="173"/>
      <c r="D5" s="174"/>
      <c r="F5" s="153" t="s">
        <v>66</v>
      </c>
      <c r="G5" s="173"/>
      <c r="H5" s="174"/>
    </row>
    <row r="6" spans="1:8" s="20" customFormat="1" ht="28.5" customHeight="1">
      <c r="A6" s="156"/>
      <c r="B6" s="175"/>
      <c r="C6" s="176"/>
      <c r="D6" s="177"/>
      <c r="F6" s="175"/>
      <c r="G6" s="176"/>
      <c r="H6" s="177"/>
    </row>
    <row r="7" spans="1:8" s="20" customFormat="1" ht="12.75" customHeight="1">
      <c r="A7" s="156"/>
      <c r="B7" s="162" t="s">
        <v>42</v>
      </c>
      <c r="C7" s="163" t="s">
        <v>43</v>
      </c>
      <c r="D7" s="165" t="s">
        <v>64</v>
      </c>
      <c r="F7" s="151" t="s">
        <v>42</v>
      </c>
      <c r="G7" s="144" t="s">
        <v>43</v>
      </c>
      <c r="H7" s="146" t="s">
        <v>64</v>
      </c>
    </row>
    <row r="8" spans="1:8" s="20" customFormat="1" ht="13.5" customHeight="1" thickBot="1">
      <c r="A8" s="157"/>
      <c r="B8" s="152"/>
      <c r="C8" s="164"/>
      <c r="D8" s="147"/>
      <c r="F8" s="152"/>
      <c r="G8" s="145"/>
      <c r="H8" s="147"/>
    </row>
    <row r="9" spans="1:8" s="20" customFormat="1" ht="15" customHeight="1">
      <c r="A9" s="52" t="s">
        <v>2</v>
      </c>
      <c r="B9" s="22">
        <v>0</v>
      </c>
      <c r="C9" s="35">
        <v>0</v>
      </c>
      <c r="D9" s="34">
        <v>0</v>
      </c>
      <c r="F9" s="22">
        <v>0</v>
      </c>
      <c r="G9" s="8">
        <v>0</v>
      </c>
      <c r="H9" s="34">
        <f>+F9+G9</f>
        <v>0</v>
      </c>
    </row>
    <row r="10" spans="1:8" s="20" customFormat="1" ht="15" customHeight="1">
      <c r="A10" s="53" t="s">
        <v>3</v>
      </c>
      <c r="B10" s="23">
        <v>53646</v>
      </c>
      <c r="C10" s="35">
        <v>0</v>
      </c>
      <c r="D10" s="34">
        <v>53646</v>
      </c>
      <c r="F10" s="23">
        <v>53646</v>
      </c>
      <c r="G10" s="8">
        <v>0</v>
      </c>
      <c r="H10" s="34">
        <f aca="true" t="shared" si="0" ref="H10:H17">+F10+G10</f>
        <v>53646</v>
      </c>
    </row>
    <row r="11" spans="1:8" s="20" customFormat="1" ht="15" customHeight="1">
      <c r="A11" s="53" t="s">
        <v>4</v>
      </c>
      <c r="B11" s="23">
        <v>0</v>
      </c>
      <c r="C11" s="35">
        <v>0</v>
      </c>
      <c r="D11" s="34">
        <v>0</v>
      </c>
      <c r="F11" s="23">
        <v>0</v>
      </c>
      <c r="G11" s="8">
        <v>0</v>
      </c>
      <c r="H11" s="34">
        <f t="shared" si="0"/>
        <v>0</v>
      </c>
    </row>
    <row r="12" spans="1:8" s="20" customFormat="1" ht="15" customHeight="1">
      <c r="A12" s="53" t="s">
        <v>5</v>
      </c>
      <c r="B12" s="23">
        <v>0</v>
      </c>
      <c r="C12" s="35">
        <v>0</v>
      </c>
      <c r="D12" s="34">
        <v>0</v>
      </c>
      <c r="F12" s="23">
        <v>0</v>
      </c>
      <c r="G12" s="8">
        <v>0</v>
      </c>
      <c r="H12" s="34">
        <f t="shared" si="0"/>
        <v>0</v>
      </c>
    </row>
    <row r="13" spans="1:8" s="20" customFormat="1" ht="15" customHeight="1">
      <c r="A13" s="53" t="s">
        <v>6</v>
      </c>
      <c r="B13" s="23">
        <v>1143</v>
      </c>
      <c r="C13" s="35">
        <v>0</v>
      </c>
      <c r="D13" s="34">
        <v>1143</v>
      </c>
      <c r="F13" s="23">
        <v>1143</v>
      </c>
      <c r="G13" s="8">
        <v>0</v>
      </c>
      <c r="H13" s="34">
        <f t="shared" si="0"/>
        <v>1143</v>
      </c>
    </row>
    <row r="14" spans="1:8" s="20" customFormat="1" ht="15" customHeight="1">
      <c r="A14" s="53" t="s">
        <v>7</v>
      </c>
      <c r="B14" s="23">
        <v>353</v>
      </c>
      <c r="C14" s="35">
        <v>0</v>
      </c>
      <c r="D14" s="34">
        <v>353</v>
      </c>
      <c r="F14" s="23">
        <v>353</v>
      </c>
      <c r="G14" s="8">
        <v>0</v>
      </c>
      <c r="H14" s="34">
        <f t="shared" si="0"/>
        <v>353</v>
      </c>
    </row>
    <row r="15" spans="1:8" s="20" customFormat="1" ht="15" customHeight="1">
      <c r="A15" s="53" t="s">
        <v>8</v>
      </c>
      <c r="B15" s="23">
        <v>0</v>
      </c>
      <c r="C15" s="35">
        <v>0</v>
      </c>
      <c r="D15" s="34">
        <v>0</v>
      </c>
      <c r="F15" s="23">
        <v>0</v>
      </c>
      <c r="G15" s="8">
        <v>0</v>
      </c>
      <c r="H15" s="34">
        <f t="shared" si="0"/>
        <v>0</v>
      </c>
    </row>
    <row r="16" spans="1:8" s="20" customFormat="1" ht="15" customHeight="1">
      <c r="A16" s="53" t="s">
        <v>9</v>
      </c>
      <c r="B16" s="23">
        <v>0</v>
      </c>
      <c r="C16" s="35">
        <v>0</v>
      </c>
      <c r="D16" s="34">
        <v>0</v>
      </c>
      <c r="F16" s="23">
        <v>0</v>
      </c>
      <c r="G16" s="8">
        <v>0</v>
      </c>
      <c r="H16" s="34">
        <f t="shared" si="0"/>
        <v>0</v>
      </c>
    </row>
    <row r="17" spans="1:8" s="20" customFormat="1" ht="15" customHeight="1" thickBot="1">
      <c r="A17" s="54" t="s">
        <v>10</v>
      </c>
      <c r="B17" s="23">
        <v>99000</v>
      </c>
      <c r="C17" s="35">
        <v>0</v>
      </c>
      <c r="D17" s="34">
        <v>99000</v>
      </c>
      <c r="F17" s="23">
        <f>11000+99000+8150</f>
        <v>118150</v>
      </c>
      <c r="G17" s="8">
        <v>0</v>
      </c>
      <c r="H17" s="34">
        <f t="shared" si="0"/>
        <v>118150</v>
      </c>
    </row>
    <row r="18" spans="1:8" s="20" customFormat="1" ht="15" customHeight="1" thickBot="1">
      <c r="A18" s="4" t="s">
        <v>11</v>
      </c>
      <c r="B18" s="38">
        <v>153789</v>
      </c>
      <c r="C18" s="39">
        <v>0</v>
      </c>
      <c r="D18" s="40">
        <v>153789</v>
      </c>
      <c r="F18" s="38">
        <f>+F10+F11+F12+F13+F15+F17</f>
        <v>172939</v>
      </c>
      <c r="G18" s="41">
        <v>0</v>
      </c>
      <c r="H18" s="40">
        <f>+H10+H11+H12+H13+H15+H17</f>
        <v>172939</v>
      </c>
    </row>
    <row r="19" spans="1:8" s="20" customFormat="1" ht="15" customHeight="1">
      <c r="A19" s="55" t="s">
        <v>12</v>
      </c>
      <c r="B19" s="45">
        <v>13873</v>
      </c>
      <c r="C19" s="27">
        <v>0</v>
      </c>
      <c r="D19" s="33">
        <v>13873</v>
      </c>
      <c r="F19" s="45">
        <v>13873</v>
      </c>
      <c r="G19" s="27">
        <v>0</v>
      </c>
      <c r="H19" s="46">
        <v>13873</v>
      </c>
    </row>
    <row r="20" spans="1:8" s="20" customFormat="1" ht="15" customHeight="1">
      <c r="A20" s="53" t="s">
        <v>13</v>
      </c>
      <c r="B20" s="23">
        <v>1472</v>
      </c>
      <c r="C20" s="27">
        <v>0</v>
      </c>
      <c r="D20" s="34">
        <v>1472</v>
      </c>
      <c r="F20" s="23">
        <v>1472</v>
      </c>
      <c r="G20" s="27">
        <v>0</v>
      </c>
      <c r="H20" s="34">
        <v>1472</v>
      </c>
    </row>
    <row r="21" spans="1:8" s="20" customFormat="1" ht="15" customHeight="1">
      <c r="A21" s="53" t="s">
        <v>14</v>
      </c>
      <c r="B21" s="23">
        <v>2960</v>
      </c>
      <c r="C21" s="35">
        <v>0</v>
      </c>
      <c r="D21" s="34">
        <v>2960</v>
      </c>
      <c r="F21" s="23">
        <v>2960</v>
      </c>
      <c r="G21" s="35">
        <v>0</v>
      </c>
      <c r="H21" s="34">
        <v>2960</v>
      </c>
    </row>
    <row r="22" spans="1:8" s="20" customFormat="1" ht="15" customHeight="1">
      <c r="A22" s="53" t="s">
        <v>15</v>
      </c>
      <c r="B22" s="23">
        <v>877</v>
      </c>
      <c r="C22" s="35">
        <v>0</v>
      </c>
      <c r="D22" s="34">
        <v>877</v>
      </c>
      <c r="F22" s="23">
        <v>877</v>
      </c>
      <c r="G22" s="35">
        <v>0</v>
      </c>
      <c r="H22" s="34">
        <v>877</v>
      </c>
    </row>
    <row r="23" spans="1:8" s="20" customFormat="1" ht="15" customHeight="1">
      <c r="A23" s="53" t="s">
        <v>16</v>
      </c>
      <c r="B23" s="47">
        <v>0</v>
      </c>
      <c r="C23" s="35">
        <v>0</v>
      </c>
      <c r="D23" s="48">
        <v>0</v>
      </c>
      <c r="F23" s="47">
        <v>0</v>
      </c>
      <c r="G23" s="35">
        <v>0</v>
      </c>
      <c r="H23" s="48">
        <v>0</v>
      </c>
    </row>
    <row r="24" spans="1:8" s="20" customFormat="1" ht="15" customHeight="1">
      <c r="A24" s="53" t="s">
        <v>17</v>
      </c>
      <c r="B24" s="23">
        <v>10260</v>
      </c>
      <c r="C24" s="35">
        <v>0</v>
      </c>
      <c r="D24" s="34">
        <v>10260</v>
      </c>
      <c r="F24" s="23">
        <v>10260</v>
      </c>
      <c r="G24" s="35">
        <v>0</v>
      </c>
      <c r="H24" s="34">
        <v>10260</v>
      </c>
    </row>
    <row r="25" spans="1:8" s="20" customFormat="1" ht="15" customHeight="1">
      <c r="A25" s="53" t="s">
        <v>18</v>
      </c>
      <c r="B25" s="23">
        <v>735</v>
      </c>
      <c r="C25" s="35">
        <v>0</v>
      </c>
      <c r="D25" s="34">
        <v>735</v>
      </c>
      <c r="F25" s="23">
        <v>735</v>
      </c>
      <c r="G25" s="35">
        <v>0</v>
      </c>
      <c r="H25" s="34">
        <v>735</v>
      </c>
    </row>
    <row r="26" spans="1:8" s="20" customFormat="1" ht="15" customHeight="1">
      <c r="A26" s="53" t="s">
        <v>19</v>
      </c>
      <c r="B26" s="23">
        <v>9127</v>
      </c>
      <c r="C26" s="35">
        <v>0</v>
      </c>
      <c r="D26" s="34">
        <v>9127</v>
      </c>
      <c r="F26" s="23">
        <v>9127</v>
      </c>
      <c r="G26" s="35">
        <v>0</v>
      </c>
      <c r="H26" s="34">
        <v>9127</v>
      </c>
    </row>
    <row r="27" spans="1:8" s="20" customFormat="1" ht="15" customHeight="1">
      <c r="A27" s="56" t="s">
        <v>20</v>
      </c>
      <c r="B27" s="8">
        <v>132354</v>
      </c>
      <c r="C27" s="35">
        <v>0</v>
      </c>
      <c r="D27" s="34">
        <v>132354</v>
      </c>
      <c r="F27" s="23">
        <v>132354</v>
      </c>
      <c r="G27" s="35">
        <v>0</v>
      </c>
      <c r="H27" s="34">
        <v>132354</v>
      </c>
    </row>
    <row r="28" spans="1:8" s="20" customFormat="1" ht="15" customHeight="1">
      <c r="A28" s="53" t="s">
        <v>21</v>
      </c>
      <c r="B28" s="22">
        <v>96313</v>
      </c>
      <c r="C28" s="35">
        <v>0</v>
      </c>
      <c r="D28" s="34">
        <v>96313</v>
      </c>
      <c r="F28" s="22">
        <v>96313</v>
      </c>
      <c r="G28" s="35">
        <v>0</v>
      </c>
      <c r="H28" s="34">
        <v>96313</v>
      </c>
    </row>
    <row r="29" spans="1:8" s="20" customFormat="1" ht="15" customHeight="1">
      <c r="A29" s="56" t="s">
        <v>22</v>
      </c>
      <c r="B29" s="23">
        <v>88973</v>
      </c>
      <c r="C29" s="35">
        <v>0</v>
      </c>
      <c r="D29" s="34">
        <v>88973</v>
      </c>
      <c r="F29" s="23">
        <v>88973</v>
      </c>
      <c r="G29" s="35">
        <v>0</v>
      </c>
      <c r="H29" s="34">
        <v>88973</v>
      </c>
    </row>
    <row r="30" spans="1:8" s="20" customFormat="1" ht="15" customHeight="1">
      <c r="A30" s="53" t="s">
        <v>23</v>
      </c>
      <c r="B30" s="23">
        <v>7340</v>
      </c>
      <c r="C30" s="35">
        <v>0</v>
      </c>
      <c r="D30" s="34">
        <v>7340</v>
      </c>
      <c r="F30" s="23">
        <v>7340</v>
      </c>
      <c r="G30" s="35">
        <v>0</v>
      </c>
      <c r="H30" s="34">
        <v>7340</v>
      </c>
    </row>
    <row r="31" spans="1:8" s="20" customFormat="1" ht="15" customHeight="1">
      <c r="A31" s="53" t="s">
        <v>24</v>
      </c>
      <c r="B31" s="23">
        <v>36041</v>
      </c>
      <c r="C31" s="35">
        <v>0</v>
      </c>
      <c r="D31" s="34">
        <v>36041</v>
      </c>
      <c r="F31" s="23">
        <v>36041</v>
      </c>
      <c r="G31" s="35">
        <v>0</v>
      </c>
      <c r="H31" s="34">
        <v>36041</v>
      </c>
    </row>
    <row r="32" spans="1:8" s="20" customFormat="1" ht="15" customHeight="1">
      <c r="A32" s="56" t="s">
        <v>25</v>
      </c>
      <c r="B32" s="23">
        <v>0</v>
      </c>
      <c r="C32" s="35">
        <v>0</v>
      </c>
      <c r="D32" s="34">
        <v>0</v>
      </c>
      <c r="F32" s="23">
        <v>0</v>
      </c>
      <c r="G32" s="35">
        <v>0</v>
      </c>
      <c r="H32" s="34">
        <v>0</v>
      </c>
    </row>
    <row r="33" spans="1:8" s="20" customFormat="1" ht="15" customHeight="1">
      <c r="A33" s="56" t="s">
        <v>26</v>
      </c>
      <c r="B33" s="23">
        <v>1854</v>
      </c>
      <c r="C33" s="35">
        <v>0</v>
      </c>
      <c r="D33" s="34">
        <v>1854</v>
      </c>
      <c r="F33" s="23">
        <v>1854</v>
      </c>
      <c r="G33" s="35">
        <v>0</v>
      </c>
      <c r="H33" s="34">
        <v>1854</v>
      </c>
    </row>
    <row r="34" spans="1:8" s="20" customFormat="1" ht="15" customHeight="1">
      <c r="A34" s="53" t="s">
        <v>41</v>
      </c>
      <c r="B34" s="23">
        <v>10674</v>
      </c>
      <c r="C34" s="35">
        <v>0</v>
      </c>
      <c r="D34" s="34">
        <v>10674</v>
      </c>
      <c r="F34" s="23">
        <v>10674</v>
      </c>
      <c r="G34" s="35">
        <v>0</v>
      </c>
      <c r="H34" s="34">
        <v>10674</v>
      </c>
    </row>
    <row r="35" spans="1:8" s="20" customFormat="1" ht="15" customHeight="1">
      <c r="A35" s="53" t="s">
        <v>44</v>
      </c>
      <c r="B35" s="23">
        <v>10674</v>
      </c>
      <c r="C35" s="35">
        <v>0</v>
      </c>
      <c r="D35" s="34">
        <v>10674</v>
      </c>
      <c r="F35" s="23">
        <v>10674</v>
      </c>
      <c r="G35" s="35">
        <v>0</v>
      </c>
      <c r="H35" s="34">
        <v>10674</v>
      </c>
    </row>
    <row r="36" spans="1:8" s="20" customFormat="1" ht="15" customHeight="1" thickBot="1">
      <c r="A36" s="57" t="s">
        <v>27</v>
      </c>
      <c r="B36" s="49">
        <v>87</v>
      </c>
      <c r="C36" s="28">
        <v>0</v>
      </c>
      <c r="D36" s="50">
        <v>87</v>
      </c>
      <c r="F36" s="49">
        <v>87</v>
      </c>
      <c r="G36" s="28">
        <v>0</v>
      </c>
      <c r="H36" s="50">
        <v>87</v>
      </c>
    </row>
    <row r="37" spans="1:8" s="20" customFormat="1" ht="15" customHeight="1" thickBot="1">
      <c r="A37" s="4" t="s">
        <v>28</v>
      </c>
      <c r="B37" s="38">
        <v>172939</v>
      </c>
      <c r="C37" s="39">
        <v>0</v>
      </c>
      <c r="D37" s="40">
        <v>172939</v>
      </c>
      <c r="F37" s="38">
        <v>172939</v>
      </c>
      <c r="G37" s="39">
        <v>0</v>
      </c>
      <c r="H37" s="40">
        <v>172939</v>
      </c>
    </row>
    <row r="38" spans="1:8" s="20" customFormat="1" ht="16.5" customHeight="1" thickBot="1">
      <c r="A38" s="4" t="s">
        <v>29</v>
      </c>
      <c r="B38" s="38">
        <v>-19150</v>
      </c>
      <c r="C38" s="39">
        <v>0</v>
      </c>
      <c r="D38" s="40">
        <v>-19150</v>
      </c>
      <c r="F38" s="38">
        <f>+F37-F18</f>
        <v>0</v>
      </c>
      <c r="G38" s="39">
        <f>+G37-G18</f>
        <v>0</v>
      </c>
      <c r="H38" s="40">
        <f>+H37-H18</f>
        <v>0</v>
      </c>
    </row>
    <row r="39" s="20" customFormat="1" ht="15" customHeight="1"/>
    <row r="40" spans="1:15" s="14" customFormat="1" ht="12.75" customHeight="1" thickBot="1">
      <c r="A40" s="15" t="s">
        <v>87</v>
      </c>
      <c r="D40" s="51"/>
      <c r="O40" s="51"/>
    </row>
    <row r="41" spans="1:6" s="20" customFormat="1" ht="18" customHeight="1">
      <c r="A41" s="158" t="s">
        <v>30</v>
      </c>
      <c r="B41" s="153" t="s">
        <v>162</v>
      </c>
      <c r="C41" s="159" t="s">
        <v>67</v>
      </c>
      <c r="D41" s="160"/>
      <c r="E41" s="160"/>
      <c r="F41" s="161"/>
    </row>
    <row r="42" spans="1:6" s="20" customFormat="1" ht="27" customHeight="1" thickBot="1">
      <c r="A42" s="157"/>
      <c r="B42" s="154"/>
      <c r="C42" s="42" t="s">
        <v>68</v>
      </c>
      <c r="D42" s="43" t="s">
        <v>31</v>
      </c>
      <c r="E42" s="43" t="s">
        <v>32</v>
      </c>
      <c r="F42" s="44" t="s">
        <v>69</v>
      </c>
    </row>
    <row r="43" spans="1:6" s="20" customFormat="1" ht="13.5" customHeight="1">
      <c r="A43" s="17" t="s">
        <v>33</v>
      </c>
      <c r="B43" s="18">
        <f>17068.56+459.3</f>
        <v>17527.86</v>
      </c>
      <c r="C43" s="19" t="s">
        <v>34</v>
      </c>
      <c r="D43" s="6" t="s">
        <v>34</v>
      </c>
      <c r="E43" s="6" t="s">
        <v>34</v>
      </c>
      <c r="F43" s="7" t="s">
        <v>34</v>
      </c>
    </row>
    <row r="44" spans="1:6" s="20" customFormat="1" ht="13.5" customHeight="1">
      <c r="A44" s="21" t="s">
        <v>35</v>
      </c>
      <c r="B44" s="22">
        <v>1041</v>
      </c>
      <c r="C44" s="23">
        <v>1041</v>
      </c>
      <c r="D44" s="8">
        <v>0</v>
      </c>
      <c r="E44" s="8">
        <v>400</v>
      </c>
      <c r="F44" s="9">
        <f>+C44+D44-E44</f>
        <v>641</v>
      </c>
    </row>
    <row r="45" spans="1:6" s="20" customFormat="1" ht="13.5" customHeight="1">
      <c r="A45" s="21" t="s">
        <v>36</v>
      </c>
      <c r="B45" s="22">
        <v>0</v>
      </c>
      <c r="C45" s="23">
        <v>0</v>
      </c>
      <c r="D45" s="8">
        <v>1645</v>
      </c>
      <c r="E45" s="8">
        <v>1645</v>
      </c>
      <c r="F45" s="9">
        <f>+C45+D45-E45</f>
        <v>0</v>
      </c>
    </row>
    <row r="46" spans="1:6" s="20" customFormat="1" ht="13.5" customHeight="1">
      <c r="A46" s="21" t="s">
        <v>37</v>
      </c>
      <c r="B46" s="22">
        <v>10683</v>
      </c>
      <c r="C46" s="23">
        <v>10683</v>
      </c>
      <c r="D46" s="8">
        <f>10674+350</f>
        <v>11024</v>
      </c>
      <c r="E46" s="8">
        <f>11007.5+350+8150</f>
        <v>19507.5</v>
      </c>
      <c r="F46" s="9">
        <f>+C46+D46-E46</f>
        <v>2199.5</v>
      </c>
    </row>
    <row r="47" spans="1:6" s="20" customFormat="1" ht="13.5" customHeight="1">
      <c r="A47" s="21" t="s">
        <v>38</v>
      </c>
      <c r="B47" s="22">
        <f>+B43-B44-B46</f>
        <v>5803.860000000001</v>
      </c>
      <c r="C47" s="19" t="s">
        <v>34</v>
      </c>
      <c r="D47" s="6" t="s">
        <v>34</v>
      </c>
      <c r="E47" s="6" t="s">
        <v>34</v>
      </c>
      <c r="F47" s="7" t="s">
        <v>34</v>
      </c>
    </row>
    <row r="48" spans="1:6" s="20" customFormat="1" ht="13.5" customHeight="1" thickBot="1">
      <c r="A48" s="24" t="s">
        <v>39</v>
      </c>
      <c r="B48" s="25">
        <v>1159.37</v>
      </c>
      <c r="C48" s="26">
        <v>1668</v>
      </c>
      <c r="D48" s="10">
        <v>1926</v>
      </c>
      <c r="E48" s="10">
        <v>2380</v>
      </c>
      <c r="F48" s="11">
        <f>+C48+D48-E48</f>
        <v>1214</v>
      </c>
    </row>
    <row r="49" spans="1:6" s="20" customFormat="1" ht="13.5" customHeight="1">
      <c r="A49" s="12"/>
      <c r="B49" s="13"/>
      <c r="C49" s="13"/>
      <c r="D49" s="13"/>
      <c r="E49" s="13"/>
      <c r="F49" s="13"/>
    </row>
    <row r="50" spans="1:14" s="20" customFormat="1" ht="15" customHeight="1" thickBot="1">
      <c r="A50" s="67" t="s">
        <v>88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N50" s="13"/>
    </row>
    <row r="51" spans="1:11" s="20" customFormat="1" ht="37.5" customHeight="1" thickBot="1">
      <c r="A51" s="129" t="s">
        <v>70</v>
      </c>
      <c r="B51" s="130"/>
      <c r="C51" s="60" t="s">
        <v>71</v>
      </c>
      <c r="D51" s="13"/>
      <c r="E51" s="181" t="s">
        <v>85</v>
      </c>
      <c r="F51" s="182"/>
      <c r="G51" s="183"/>
      <c r="H51" s="61" t="s">
        <v>73</v>
      </c>
      <c r="K51" s="13"/>
    </row>
    <row r="52" spans="1:11" s="20" customFormat="1" ht="18.75" customHeight="1">
      <c r="A52" s="142" t="s">
        <v>45</v>
      </c>
      <c r="B52" s="143"/>
      <c r="C52" s="74">
        <v>43.911</v>
      </c>
      <c r="D52" s="13"/>
      <c r="E52" s="148" t="s">
        <v>74</v>
      </c>
      <c r="F52" s="149"/>
      <c r="G52" s="150"/>
      <c r="H52" s="63">
        <v>2800</v>
      </c>
      <c r="K52" s="13"/>
    </row>
    <row r="53" spans="1:11" s="20" customFormat="1" ht="18.75" customHeight="1">
      <c r="A53" s="113" t="s">
        <v>46</v>
      </c>
      <c r="B53" s="114"/>
      <c r="C53" s="75">
        <v>1902.375</v>
      </c>
      <c r="D53" s="13"/>
      <c r="E53" s="131" t="s">
        <v>75</v>
      </c>
      <c r="F53" s="132"/>
      <c r="G53" s="132"/>
      <c r="H53" s="29">
        <v>43.5</v>
      </c>
      <c r="K53" s="13"/>
    </row>
    <row r="54" spans="1:11" s="20" customFormat="1" ht="18.75" customHeight="1">
      <c r="A54" s="113" t="s">
        <v>47</v>
      </c>
      <c r="B54" s="114"/>
      <c r="C54" s="75">
        <v>293</v>
      </c>
      <c r="D54" s="13"/>
      <c r="E54" s="131" t="s">
        <v>76</v>
      </c>
      <c r="F54" s="132"/>
      <c r="G54" s="132"/>
      <c r="H54" s="29">
        <v>556</v>
      </c>
      <c r="K54" s="13"/>
    </row>
    <row r="55" spans="1:11" s="20" customFormat="1" ht="18.75" customHeight="1">
      <c r="A55" s="113" t="s">
        <v>48</v>
      </c>
      <c r="B55" s="114"/>
      <c r="C55" s="75">
        <v>67.621</v>
      </c>
      <c r="D55" s="13"/>
      <c r="E55" s="131" t="s">
        <v>77</v>
      </c>
      <c r="F55" s="132"/>
      <c r="G55" s="132"/>
      <c r="H55" s="29">
        <v>150</v>
      </c>
      <c r="K55" s="13"/>
    </row>
    <row r="56" spans="1:11" s="20" customFormat="1" ht="18.75" customHeight="1">
      <c r="A56" s="113" t="s">
        <v>49</v>
      </c>
      <c r="B56" s="114"/>
      <c r="C56" s="75">
        <v>167.937</v>
      </c>
      <c r="D56" s="13"/>
      <c r="E56" s="131" t="s">
        <v>78</v>
      </c>
      <c r="F56" s="132"/>
      <c r="G56" s="132"/>
      <c r="H56" s="29">
        <v>250</v>
      </c>
      <c r="K56" s="13"/>
    </row>
    <row r="57" spans="1:11" s="20" customFormat="1" ht="18.75" customHeight="1">
      <c r="A57" s="113" t="s">
        <v>50</v>
      </c>
      <c r="B57" s="114"/>
      <c r="C57" s="76">
        <v>2379.524</v>
      </c>
      <c r="D57" s="13"/>
      <c r="E57" s="131" t="s">
        <v>79</v>
      </c>
      <c r="F57" s="132"/>
      <c r="G57" s="132"/>
      <c r="H57" s="29">
        <v>103</v>
      </c>
      <c r="K57" s="13"/>
    </row>
    <row r="58" spans="1:11" s="20" customFormat="1" ht="18.75" customHeight="1">
      <c r="A58" s="113" t="s">
        <v>51</v>
      </c>
      <c r="B58" s="114"/>
      <c r="C58" s="76">
        <v>2332.341</v>
      </c>
      <c r="D58" s="13"/>
      <c r="E58" s="131" t="s">
        <v>80</v>
      </c>
      <c r="F58" s="132"/>
      <c r="G58" s="132"/>
      <c r="H58" s="29">
        <v>2300</v>
      </c>
      <c r="K58" s="13"/>
    </row>
    <row r="59" spans="1:11" s="20" customFormat="1" ht="21.75" customHeight="1">
      <c r="A59" s="113" t="s">
        <v>52</v>
      </c>
      <c r="B59" s="114"/>
      <c r="C59" s="76">
        <v>355.293</v>
      </c>
      <c r="D59" s="13"/>
      <c r="E59" s="131" t="s">
        <v>74</v>
      </c>
      <c r="F59" s="132"/>
      <c r="G59" s="132"/>
      <c r="H59" s="29">
        <v>2800</v>
      </c>
      <c r="K59" s="13"/>
    </row>
    <row r="60" spans="1:11" s="20" customFormat="1" ht="33.75" customHeight="1" thickBot="1">
      <c r="A60" s="113" t="s">
        <v>53</v>
      </c>
      <c r="B60" s="114"/>
      <c r="C60" s="76">
        <v>98.503</v>
      </c>
      <c r="D60" s="13"/>
      <c r="E60" s="131" t="s">
        <v>81</v>
      </c>
      <c r="F60" s="132"/>
      <c r="G60" s="132"/>
      <c r="H60" s="29">
        <v>200</v>
      </c>
      <c r="K60" s="13"/>
    </row>
    <row r="61" spans="1:13" s="20" customFormat="1" ht="21" customHeight="1" thickBot="1">
      <c r="A61" s="36" t="s">
        <v>1</v>
      </c>
      <c r="B61" s="37"/>
      <c r="C61" s="77">
        <f>SUM(C52:C60)</f>
        <v>7640.505</v>
      </c>
      <c r="D61" s="13"/>
      <c r="E61" s="131" t="s">
        <v>82</v>
      </c>
      <c r="F61" s="132"/>
      <c r="G61" s="132"/>
      <c r="H61" s="29">
        <v>165</v>
      </c>
      <c r="I61" s="13"/>
      <c r="J61" s="13"/>
      <c r="M61" s="13"/>
    </row>
    <row r="62" spans="1:13" s="20" customFormat="1" ht="21" customHeight="1">
      <c r="A62" s="110"/>
      <c r="B62" s="110"/>
      <c r="C62" s="111"/>
      <c r="D62" s="13"/>
      <c r="E62" s="131" t="s">
        <v>83</v>
      </c>
      <c r="F62" s="132"/>
      <c r="G62" s="132"/>
      <c r="H62" s="29">
        <v>1500</v>
      </c>
      <c r="I62" s="13"/>
      <c r="J62" s="13"/>
      <c r="M62" s="13"/>
    </row>
    <row r="63" spans="4:11" s="20" customFormat="1" ht="22.5" customHeight="1" thickBot="1">
      <c r="D63" s="13"/>
      <c r="E63" s="133" t="s">
        <v>84</v>
      </c>
      <c r="F63" s="134"/>
      <c r="G63" s="135"/>
      <c r="H63" s="64">
        <v>140</v>
      </c>
      <c r="K63" s="13"/>
    </row>
    <row r="64" spans="1:11" s="20" customFormat="1" ht="21.75" customHeight="1" thickBot="1">
      <c r="A64" s="129" t="s">
        <v>86</v>
      </c>
      <c r="B64" s="130"/>
      <c r="C64" s="60" t="s">
        <v>71</v>
      </c>
      <c r="D64" s="13"/>
      <c r="E64" s="136" t="s">
        <v>161</v>
      </c>
      <c r="F64" s="137"/>
      <c r="G64" s="138"/>
      <c r="H64" s="64">
        <v>8150</v>
      </c>
      <c r="K64" s="13"/>
    </row>
    <row r="65" spans="1:11" s="20" customFormat="1" ht="21" customHeight="1" thickBot="1">
      <c r="A65" s="171" t="s">
        <v>54</v>
      </c>
      <c r="B65" s="30" t="s">
        <v>55</v>
      </c>
      <c r="C65" s="78">
        <v>1279</v>
      </c>
      <c r="D65" s="13"/>
      <c r="E65" s="178" t="s">
        <v>1</v>
      </c>
      <c r="F65" s="179"/>
      <c r="G65" s="180"/>
      <c r="H65" s="62">
        <f>SUM(H52:H64)</f>
        <v>19157.5</v>
      </c>
      <c r="K65" s="13"/>
    </row>
    <row r="66" spans="1:12" s="20" customFormat="1" ht="21.75" customHeight="1" thickBot="1">
      <c r="A66" s="172"/>
      <c r="B66" s="58" t="s">
        <v>56</v>
      </c>
      <c r="C66" s="76">
        <v>932.177</v>
      </c>
      <c r="D66" s="13"/>
      <c r="I66" s="13"/>
      <c r="L66" s="13"/>
    </row>
    <row r="67" spans="1:12" s="20" customFormat="1" ht="25.5" customHeight="1" thickBot="1">
      <c r="A67" s="59" t="s">
        <v>57</v>
      </c>
      <c r="B67" s="31" t="s">
        <v>58</v>
      </c>
      <c r="C67" s="65">
        <v>58.62</v>
      </c>
      <c r="D67" s="13"/>
      <c r="E67" s="166" t="s">
        <v>72</v>
      </c>
      <c r="F67" s="167"/>
      <c r="G67" s="168"/>
      <c r="H67" s="61" t="s">
        <v>73</v>
      </c>
      <c r="I67" s="13"/>
      <c r="L67" s="13"/>
    </row>
    <row r="68" spans="1:14" s="20" customFormat="1" ht="33" customHeight="1" thickBot="1">
      <c r="A68" s="169" t="s">
        <v>59</v>
      </c>
      <c r="B68" s="170"/>
      <c r="C68" s="77">
        <f>SUM(C65:C67)</f>
        <v>2269.797</v>
      </c>
      <c r="D68" s="13"/>
      <c r="E68" s="184" t="s">
        <v>160</v>
      </c>
      <c r="F68" s="185"/>
      <c r="G68" s="186"/>
      <c r="H68" s="109">
        <v>3000</v>
      </c>
      <c r="I68" s="13"/>
      <c r="J68" s="13"/>
      <c r="K68" s="13"/>
      <c r="N68" s="13"/>
    </row>
    <row r="69" spans="2:8" ht="34.5" customHeight="1" thickBot="1">
      <c r="B69"/>
      <c r="C69"/>
      <c r="D69"/>
      <c r="E69" s="191" t="s">
        <v>159</v>
      </c>
      <c r="F69" s="192"/>
      <c r="G69" s="193"/>
      <c r="H69" s="66">
        <v>350</v>
      </c>
    </row>
    <row r="70" spans="2:8" ht="25.5" customHeight="1">
      <c r="B70"/>
      <c r="C70"/>
      <c r="D70"/>
      <c r="E70"/>
      <c r="F70"/>
      <c r="G70"/>
      <c r="H70"/>
    </row>
    <row r="71" spans="1:14" s="20" customFormat="1" ht="15" customHeight="1" thickBot="1">
      <c r="A71" s="67" t="s">
        <v>94</v>
      </c>
      <c r="B71" s="13"/>
      <c r="C71" s="13"/>
      <c r="D71" s="13"/>
      <c r="I71" s="13"/>
      <c r="J71" s="13"/>
      <c r="K71" s="13"/>
      <c r="N71" s="13"/>
    </row>
    <row r="72" spans="1:14" s="20" customFormat="1" ht="15" customHeight="1">
      <c r="A72" s="115" t="s">
        <v>89</v>
      </c>
      <c r="B72" s="118" t="s">
        <v>93</v>
      </c>
      <c r="C72" s="121" t="s">
        <v>90</v>
      </c>
      <c r="D72" s="122"/>
      <c r="E72" s="122"/>
      <c r="F72" s="122"/>
      <c r="G72" s="122"/>
      <c r="H72" s="123"/>
      <c r="I72" s="139" t="s">
        <v>91</v>
      </c>
      <c r="J72" s="13"/>
      <c r="K72" s="13"/>
      <c r="N72" s="13"/>
    </row>
    <row r="73" spans="1:14" s="20" customFormat="1" ht="15" customHeight="1">
      <c r="A73" s="116"/>
      <c r="B73" s="119"/>
      <c r="C73" s="124" t="s">
        <v>40</v>
      </c>
      <c r="D73" s="126" t="s">
        <v>92</v>
      </c>
      <c r="E73" s="127"/>
      <c r="F73" s="127"/>
      <c r="G73" s="127"/>
      <c r="H73" s="128"/>
      <c r="I73" s="140"/>
      <c r="J73" s="13"/>
      <c r="K73" s="13"/>
      <c r="N73" s="13"/>
    </row>
    <row r="74" spans="1:14" s="20" customFormat="1" ht="15" customHeight="1" thickBot="1">
      <c r="A74" s="117"/>
      <c r="B74" s="120"/>
      <c r="C74" s="125"/>
      <c r="D74" s="68">
        <v>1</v>
      </c>
      <c r="E74" s="68">
        <v>2</v>
      </c>
      <c r="F74" s="68">
        <v>3</v>
      </c>
      <c r="G74" s="68">
        <v>4</v>
      </c>
      <c r="H74" s="68">
        <v>5</v>
      </c>
      <c r="I74" s="141"/>
      <c r="J74" s="13"/>
      <c r="K74" s="13"/>
      <c r="N74" s="13"/>
    </row>
    <row r="75" spans="1:14" s="20" customFormat="1" ht="15" customHeight="1" thickBot="1">
      <c r="A75" s="69">
        <v>185432</v>
      </c>
      <c r="B75" s="70">
        <v>55158</v>
      </c>
      <c r="C75" s="71">
        <f>SUM(D75:H75)</f>
        <v>10674</v>
      </c>
      <c r="D75" s="70">
        <v>8402</v>
      </c>
      <c r="E75" s="70">
        <v>1220</v>
      </c>
      <c r="F75" s="70">
        <v>116</v>
      </c>
      <c r="G75" s="70">
        <v>1</v>
      </c>
      <c r="H75" s="70">
        <v>935</v>
      </c>
      <c r="I75" s="72">
        <f>SUM(A75-B75-C75)</f>
        <v>119600</v>
      </c>
      <c r="J75" s="13"/>
      <c r="K75" s="13"/>
      <c r="N75" s="13"/>
    </row>
    <row r="76" spans="1:14" s="20" customFormat="1" ht="15" customHeight="1">
      <c r="A76"/>
      <c r="B76"/>
      <c r="C76"/>
      <c r="D76"/>
      <c r="E76"/>
      <c r="F76"/>
      <c r="I76" s="13"/>
      <c r="J76" s="13"/>
      <c r="K76" s="13"/>
      <c r="N76" s="13"/>
    </row>
    <row r="77" spans="1:14" s="20" customFormat="1" ht="15" customHeight="1">
      <c r="A77"/>
      <c r="B77"/>
      <c r="C77"/>
      <c r="D77"/>
      <c r="E77"/>
      <c r="F77"/>
      <c r="G77" s="13"/>
      <c r="H77" s="13"/>
      <c r="I77" s="13"/>
      <c r="J77" s="13"/>
      <c r="K77" s="13"/>
      <c r="N77" s="13"/>
    </row>
    <row r="78" spans="1:14" s="20" customFormat="1" ht="15" customHeight="1" thickBot="1">
      <c r="A78" s="73" t="s">
        <v>153</v>
      </c>
      <c r="D78" s="13"/>
      <c r="E78" s="13"/>
      <c r="F78" s="13"/>
      <c r="G78" s="13"/>
      <c r="H78" s="13"/>
      <c r="I78" s="13"/>
      <c r="J78" s="13"/>
      <c r="K78" s="13"/>
      <c r="N78" s="13"/>
    </row>
    <row r="79" spans="1:4" s="20" customFormat="1" ht="13.5" thickBot="1">
      <c r="A79" s="198" t="s">
        <v>154</v>
      </c>
      <c r="B79" s="199"/>
      <c r="C79" s="199"/>
      <c r="D79" s="200"/>
    </row>
    <row r="80" spans="1:4" s="20" customFormat="1" ht="12.75">
      <c r="A80" s="201" t="s">
        <v>155</v>
      </c>
      <c r="B80" s="202"/>
      <c r="C80" s="203">
        <f>+F17</f>
        <v>118150</v>
      </c>
      <c r="D80" s="204"/>
    </row>
    <row r="81" spans="1:4" s="20" customFormat="1" ht="12.75">
      <c r="A81" s="194" t="s">
        <v>156</v>
      </c>
      <c r="B81" s="195"/>
      <c r="C81" s="196">
        <v>350</v>
      </c>
      <c r="D81" s="197"/>
    </row>
    <row r="82" spans="1:4" s="20" customFormat="1" ht="12.75">
      <c r="A82" s="194" t="s">
        <v>157</v>
      </c>
      <c r="B82" s="195"/>
      <c r="C82" s="196">
        <f>+F29</f>
        <v>88973</v>
      </c>
      <c r="D82" s="197"/>
    </row>
    <row r="83" spans="1:4" s="20" customFormat="1" ht="13.5" thickBot="1">
      <c r="A83" s="187" t="s">
        <v>158</v>
      </c>
      <c r="B83" s="188"/>
      <c r="C83" s="189">
        <v>8150</v>
      </c>
      <c r="D83" s="190"/>
    </row>
    <row r="84" s="20" customFormat="1" ht="11.25"/>
    <row r="85" s="20" customFormat="1" ht="11.25"/>
    <row r="86" s="20" customFormat="1" ht="11.25"/>
    <row r="87" s="20" customFormat="1" ht="11.25"/>
    <row r="88" s="20" customFormat="1" ht="11.25"/>
    <row r="89" s="20" customFormat="1" ht="11.25"/>
    <row r="90" s="20" customFormat="1" ht="11.25"/>
    <row r="91" s="20" customFormat="1" ht="11.25"/>
    <row r="92" s="20" customFormat="1" ht="11.25"/>
    <row r="93" s="20" customFormat="1" ht="11.25"/>
    <row r="94" s="20" customFormat="1" ht="11.25"/>
    <row r="95" s="20" customFormat="1" ht="11.25"/>
    <row r="96" s="20" customFormat="1" ht="11.25"/>
    <row r="97" spans="1:3" s="20" customFormat="1" ht="12.75">
      <c r="A97"/>
      <c r="B97" s="1"/>
      <c r="C97" s="1"/>
    </row>
    <row r="98" spans="1:3" s="20" customFormat="1" ht="12.75">
      <c r="A98"/>
      <c r="B98" s="1"/>
      <c r="C98" s="1"/>
    </row>
    <row r="99" spans="1:3" s="20" customFormat="1" ht="12.75">
      <c r="A99"/>
      <c r="B99" s="1"/>
      <c r="C99" s="1"/>
    </row>
    <row r="100" spans="1:3" s="20" customFormat="1" ht="12.75">
      <c r="A100"/>
      <c r="B100" s="1"/>
      <c r="C100" s="1"/>
    </row>
    <row r="101" spans="1:3" s="20" customFormat="1" ht="12.75">
      <c r="A101"/>
      <c r="B101" s="1"/>
      <c r="C101" s="1"/>
    </row>
    <row r="102" spans="1:3" s="20" customFormat="1" ht="12.75">
      <c r="A102"/>
      <c r="B102" s="1"/>
      <c r="C102" s="1"/>
    </row>
  </sheetData>
  <mergeCells count="58">
    <mergeCell ref="A83:B83"/>
    <mergeCell ref="C83:D83"/>
    <mergeCell ref="E69:G69"/>
    <mergeCell ref="A82:B82"/>
    <mergeCell ref="C82:D82"/>
    <mergeCell ref="A79:D79"/>
    <mergeCell ref="A80:B80"/>
    <mergeCell ref="C80:D80"/>
    <mergeCell ref="A81:B81"/>
    <mergeCell ref="C81:D81"/>
    <mergeCell ref="A68:B68"/>
    <mergeCell ref="A65:A66"/>
    <mergeCell ref="B5:D6"/>
    <mergeCell ref="F5:H6"/>
    <mergeCell ref="A57:B57"/>
    <mergeCell ref="A58:B58"/>
    <mergeCell ref="A59:B59"/>
    <mergeCell ref="E65:G65"/>
    <mergeCell ref="E51:G51"/>
    <mergeCell ref="E68:G68"/>
    <mergeCell ref="E67:G67"/>
    <mergeCell ref="E57:G57"/>
    <mergeCell ref="E58:G58"/>
    <mergeCell ref="E59:G59"/>
    <mergeCell ref="E60:G60"/>
    <mergeCell ref="E62:G62"/>
    <mergeCell ref="B41:B42"/>
    <mergeCell ref="A5:A8"/>
    <mergeCell ref="A41:A42"/>
    <mergeCell ref="C41:F41"/>
    <mergeCell ref="B7:B8"/>
    <mergeCell ref="C7:C8"/>
    <mergeCell ref="D7:D8"/>
    <mergeCell ref="G7:G8"/>
    <mergeCell ref="H7:H8"/>
    <mergeCell ref="E52:G52"/>
    <mergeCell ref="E53:G53"/>
    <mergeCell ref="F7:F8"/>
    <mergeCell ref="I72:I74"/>
    <mergeCell ref="A51:B51"/>
    <mergeCell ref="A52:B52"/>
    <mergeCell ref="A53:B53"/>
    <mergeCell ref="A54:B54"/>
    <mergeCell ref="A55:B55"/>
    <mergeCell ref="A56:B56"/>
    <mergeCell ref="E54:G54"/>
    <mergeCell ref="E55:G55"/>
    <mergeCell ref="E56:G56"/>
    <mergeCell ref="A60:B60"/>
    <mergeCell ref="A72:A74"/>
    <mergeCell ref="B72:B74"/>
    <mergeCell ref="C72:H72"/>
    <mergeCell ref="C73:C74"/>
    <mergeCell ref="D73:H73"/>
    <mergeCell ref="A64:B64"/>
    <mergeCell ref="E61:G61"/>
    <mergeCell ref="E63:G63"/>
    <mergeCell ref="E64:G64"/>
  </mergeCells>
  <printOptions horizontalCentered="1"/>
  <pageMargins left="0.17" right="0.17" top="0.52" bottom="0.3937007874015748" header="0.29" footer="0.15748031496062992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106" bestFit="1" customWidth="1"/>
    <col min="2" max="2" width="21.125" style="20" customWidth="1"/>
    <col min="3" max="4" width="9.25390625" style="20" customWidth="1"/>
    <col min="5" max="5" width="8.00390625" style="20" customWidth="1"/>
    <col min="6" max="6" width="9.25390625" style="107" customWidth="1"/>
    <col min="7" max="8" width="9.25390625" style="20" customWidth="1"/>
    <col min="9" max="9" width="8.00390625" style="20" customWidth="1"/>
    <col min="10" max="10" width="9.25390625" style="107" customWidth="1"/>
    <col min="11" max="12" width="9.25390625" style="20" customWidth="1"/>
    <col min="13" max="13" width="8.00390625" style="20" customWidth="1"/>
    <col min="14" max="14" width="9.25390625" style="107" customWidth="1"/>
    <col min="15" max="16" width="9.25390625" style="20" customWidth="1"/>
    <col min="17" max="17" width="8.00390625" style="20" customWidth="1"/>
    <col min="18" max="18" width="9.25390625" style="107" customWidth="1"/>
    <col min="19" max="20" width="9.25390625" style="20" customWidth="1"/>
    <col min="21" max="21" width="8.00390625" style="20" customWidth="1"/>
    <col min="22" max="22" width="9.25390625" style="107" customWidth="1"/>
    <col min="23" max="24" width="9.25390625" style="20" customWidth="1"/>
    <col min="25" max="25" width="7.25390625" style="20" customWidth="1"/>
    <col min="26" max="26" width="8.375" style="107" customWidth="1"/>
  </cols>
  <sheetData>
    <row r="1" ht="15.75">
      <c r="A1" s="108" t="s">
        <v>152</v>
      </c>
    </row>
    <row r="2" ht="13.5" thickBot="1">
      <c r="A2" s="2"/>
    </row>
    <row r="3" spans="1:26" s="80" customFormat="1" ht="18.75" customHeight="1">
      <c r="A3" s="219" t="s">
        <v>96</v>
      </c>
      <c r="B3" s="217" t="s">
        <v>97</v>
      </c>
      <c r="C3" s="214" t="s">
        <v>63</v>
      </c>
      <c r="D3" s="215"/>
      <c r="E3" s="215"/>
      <c r="F3" s="216"/>
      <c r="G3" s="214" t="s">
        <v>98</v>
      </c>
      <c r="H3" s="215"/>
      <c r="I3" s="215"/>
      <c r="J3" s="216"/>
      <c r="K3" s="214" t="s">
        <v>62</v>
      </c>
      <c r="L3" s="215"/>
      <c r="M3" s="215"/>
      <c r="N3" s="216"/>
      <c r="O3" s="214" t="s">
        <v>61</v>
      </c>
      <c r="P3" s="215"/>
      <c r="Q3" s="215"/>
      <c r="R3" s="216"/>
      <c r="S3" s="214" t="s">
        <v>60</v>
      </c>
      <c r="T3" s="215"/>
      <c r="U3" s="215"/>
      <c r="V3" s="216"/>
      <c r="W3" s="214" t="s">
        <v>1</v>
      </c>
      <c r="X3" s="215"/>
      <c r="Y3" s="215"/>
      <c r="Z3" s="216"/>
    </row>
    <row r="4" spans="1:26" s="80" customFormat="1" ht="12" customHeight="1" thickBot="1">
      <c r="A4" s="220"/>
      <c r="B4" s="218"/>
      <c r="C4" s="81">
        <v>2004</v>
      </c>
      <c r="D4" s="82">
        <v>2005</v>
      </c>
      <c r="E4" s="82" t="s">
        <v>99</v>
      </c>
      <c r="F4" s="83" t="s">
        <v>100</v>
      </c>
      <c r="G4" s="81">
        <v>2004</v>
      </c>
      <c r="H4" s="82">
        <v>2005</v>
      </c>
      <c r="I4" s="82" t="s">
        <v>99</v>
      </c>
      <c r="J4" s="83" t="s">
        <v>100</v>
      </c>
      <c r="K4" s="81">
        <v>2004</v>
      </c>
      <c r="L4" s="82">
        <v>2005</v>
      </c>
      <c r="M4" s="82" t="s">
        <v>99</v>
      </c>
      <c r="N4" s="83" t="s">
        <v>100</v>
      </c>
      <c r="O4" s="81">
        <v>2004</v>
      </c>
      <c r="P4" s="82">
        <v>2005</v>
      </c>
      <c r="Q4" s="82" t="s">
        <v>99</v>
      </c>
      <c r="R4" s="83" t="s">
        <v>100</v>
      </c>
      <c r="S4" s="81">
        <v>2004</v>
      </c>
      <c r="T4" s="82">
        <v>2005</v>
      </c>
      <c r="U4" s="82" t="s">
        <v>99</v>
      </c>
      <c r="V4" s="83" t="s">
        <v>100</v>
      </c>
      <c r="W4" s="81">
        <v>2004</v>
      </c>
      <c r="X4" s="82">
        <v>2005</v>
      </c>
      <c r="Y4" s="82" t="s">
        <v>99</v>
      </c>
      <c r="Z4" s="83" t="s">
        <v>100</v>
      </c>
    </row>
    <row r="5" spans="1:26" s="89" customFormat="1" ht="15" customHeight="1">
      <c r="A5" s="84">
        <v>50131</v>
      </c>
      <c r="B5" s="85" t="s">
        <v>101</v>
      </c>
      <c r="C5" s="86">
        <v>84</v>
      </c>
      <c r="D5" s="87">
        <v>102</v>
      </c>
      <c r="E5" s="87">
        <f aca="true" t="shared" si="0" ref="E5:E41">+D5-C5</f>
        <v>18</v>
      </c>
      <c r="F5" s="88">
        <f aca="true" t="shared" si="1" ref="F5:F41">+D5/C5</f>
        <v>1.2142857142857142</v>
      </c>
      <c r="G5" s="86">
        <f>10+42*2</f>
        <v>94</v>
      </c>
      <c r="H5" s="87">
        <v>25</v>
      </c>
      <c r="I5" s="87">
        <f aca="true" t="shared" si="2" ref="I5:I41">+H5-G5</f>
        <v>-69</v>
      </c>
      <c r="J5" s="88">
        <f aca="true" t="shared" si="3" ref="J5:J27">+H5/G5</f>
        <v>0.26595744680851063</v>
      </c>
      <c r="K5" s="86">
        <v>18</v>
      </c>
      <c r="L5" s="87">
        <v>90</v>
      </c>
      <c r="M5" s="87">
        <f aca="true" t="shared" si="4" ref="M5:M41">+L5-K5</f>
        <v>72</v>
      </c>
      <c r="N5" s="88">
        <f aca="true" t="shared" si="5" ref="N5:N41">+L5/K5</f>
        <v>5</v>
      </c>
      <c r="O5" s="86"/>
      <c r="P5" s="87">
        <v>120</v>
      </c>
      <c r="Q5" s="87">
        <f aca="true" t="shared" si="6" ref="Q5:Q41">+P5-O5</f>
        <v>120</v>
      </c>
      <c r="R5" s="88"/>
      <c r="S5" s="86"/>
      <c r="T5" s="87">
        <v>150</v>
      </c>
      <c r="U5" s="87">
        <f aca="true" t="shared" si="7" ref="U5:U41">+T5-S5</f>
        <v>150</v>
      </c>
      <c r="V5" s="88"/>
      <c r="W5" s="86">
        <f aca="true" t="shared" si="8" ref="W5:W18">+C5+G5+K5+O5+S5</f>
        <v>196</v>
      </c>
      <c r="X5" s="87">
        <f aca="true" t="shared" si="9" ref="X5:X18">+D5+H5+L5+P5+T5</f>
        <v>487</v>
      </c>
      <c r="Y5" s="87">
        <f aca="true" t="shared" si="10" ref="Y5:Y41">+X5-W5</f>
        <v>291</v>
      </c>
      <c r="Z5" s="88">
        <f aca="true" t="shared" si="11" ref="Z5:Z41">+X5/W5</f>
        <v>2.4846938775510203</v>
      </c>
    </row>
    <row r="6" spans="1:26" s="89" customFormat="1" ht="15" customHeight="1">
      <c r="A6" s="90">
        <v>50132</v>
      </c>
      <c r="B6" s="91" t="s">
        <v>102</v>
      </c>
      <c r="C6" s="92">
        <v>204</v>
      </c>
      <c r="D6" s="93">
        <v>145</v>
      </c>
      <c r="E6" s="93">
        <f t="shared" si="0"/>
        <v>-59</v>
      </c>
      <c r="F6" s="88">
        <f t="shared" si="1"/>
        <v>0.7107843137254902</v>
      </c>
      <c r="G6" s="92">
        <f>53+66*2</f>
        <v>185</v>
      </c>
      <c r="H6" s="93">
        <v>50</v>
      </c>
      <c r="I6" s="93">
        <f t="shared" si="2"/>
        <v>-135</v>
      </c>
      <c r="J6" s="88">
        <f t="shared" si="3"/>
        <v>0.2702702702702703</v>
      </c>
      <c r="K6" s="92">
        <v>246</v>
      </c>
      <c r="L6" s="93">
        <v>80</v>
      </c>
      <c r="M6" s="93">
        <f t="shared" si="4"/>
        <v>-166</v>
      </c>
      <c r="N6" s="88">
        <f t="shared" si="5"/>
        <v>0.3252032520325203</v>
      </c>
      <c r="O6" s="92">
        <v>101</v>
      </c>
      <c r="P6" s="93">
        <v>80</v>
      </c>
      <c r="Q6" s="93">
        <f t="shared" si="6"/>
        <v>-21</v>
      </c>
      <c r="R6" s="88">
        <f>+P6/O6</f>
        <v>0.7920792079207921</v>
      </c>
      <c r="S6" s="92">
        <v>93</v>
      </c>
      <c r="T6" s="93">
        <v>150</v>
      </c>
      <c r="U6" s="93">
        <f t="shared" si="7"/>
        <v>57</v>
      </c>
      <c r="V6" s="88">
        <f>+T6/S6</f>
        <v>1.6129032258064515</v>
      </c>
      <c r="W6" s="92">
        <f t="shared" si="8"/>
        <v>829</v>
      </c>
      <c r="X6" s="93">
        <f t="shared" si="9"/>
        <v>505</v>
      </c>
      <c r="Y6" s="93">
        <f t="shared" si="10"/>
        <v>-324</v>
      </c>
      <c r="Z6" s="88">
        <f t="shared" si="11"/>
        <v>0.609167671893848</v>
      </c>
    </row>
    <row r="7" spans="1:26" s="89" customFormat="1" ht="15" customHeight="1">
      <c r="A7" s="90">
        <v>50133</v>
      </c>
      <c r="B7" s="91" t="s">
        <v>103</v>
      </c>
      <c r="C7" s="92">
        <v>529</v>
      </c>
      <c r="D7" s="93">
        <v>1000</v>
      </c>
      <c r="E7" s="93">
        <f t="shared" si="0"/>
        <v>471</v>
      </c>
      <c r="F7" s="88">
        <f t="shared" si="1"/>
        <v>1.890359168241966</v>
      </c>
      <c r="G7" s="92">
        <f>61+45*2</f>
        <v>151</v>
      </c>
      <c r="H7" s="93">
        <v>300</v>
      </c>
      <c r="I7" s="93">
        <f t="shared" si="2"/>
        <v>149</v>
      </c>
      <c r="J7" s="88">
        <f t="shared" si="3"/>
        <v>1.9867549668874172</v>
      </c>
      <c r="K7" s="92">
        <v>409</v>
      </c>
      <c r="L7" s="93">
        <v>700</v>
      </c>
      <c r="M7" s="93">
        <f t="shared" si="4"/>
        <v>291</v>
      </c>
      <c r="N7" s="88">
        <f t="shared" si="5"/>
        <v>1.7114914425427872</v>
      </c>
      <c r="O7" s="92">
        <v>375</v>
      </c>
      <c r="P7" s="93">
        <v>500</v>
      </c>
      <c r="Q7" s="93">
        <f t="shared" si="6"/>
        <v>125</v>
      </c>
      <c r="R7" s="88">
        <f>+P7/O7</f>
        <v>1.3333333333333333</v>
      </c>
      <c r="S7" s="92">
        <v>238</v>
      </c>
      <c r="T7" s="93">
        <v>300</v>
      </c>
      <c r="U7" s="93">
        <f t="shared" si="7"/>
        <v>62</v>
      </c>
      <c r="V7" s="88">
        <f>+T7/S7</f>
        <v>1.2605042016806722</v>
      </c>
      <c r="W7" s="92">
        <f t="shared" si="8"/>
        <v>1702</v>
      </c>
      <c r="X7" s="93">
        <f t="shared" si="9"/>
        <v>2800</v>
      </c>
      <c r="Y7" s="93">
        <f t="shared" si="10"/>
        <v>1098</v>
      </c>
      <c r="Z7" s="88">
        <f t="shared" si="11"/>
        <v>1.645123384253819</v>
      </c>
    </row>
    <row r="8" spans="1:26" s="89" customFormat="1" ht="15" customHeight="1">
      <c r="A8" s="90">
        <v>50135</v>
      </c>
      <c r="B8" s="91" t="s">
        <v>104</v>
      </c>
      <c r="C8" s="92">
        <v>981</v>
      </c>
      <c r="D8" s="93">
        <v>1300</v>
      </c>
      <c r="E8" s="93">
        <f t="shared" si="0"/>
        <v>319</v>
      </c>
      <c r="F8" s="88">
        <f t="shared" si="1"/>
        <v>1.325178389398573</v>
      </c>
      <c r="G8" s="92">
        <f>82+31*2</f>
        <v>144</v>
      </c>
      <c r="H8" s="93">
        <v>200</v>
      </c>
      <c r="I8" s="93">
        <f t="shared" si="2"/>
        <v>56</v>
      </c>
      <c r="J8" s="88">
        <f t="shared" si="3"/>
        <v>1.3888888888888888</v>
      </c>
      <c r="K8" s="92">
        <v>481</v>
      </c>
      <c r="L8" s="93">
        <v>700</v>
      </c>
      <c r="M8" s="93">
        <f t="shared" si="4"/>
        <v>219</v>
      </c>
      <c r="N8" s="88">
        <f t="shared" si="5"/>
        <v>1.4553014553014554</v>
      </c>
      <c r="O8" s="92">
        <v>215</v>
      </c>
      <c r="P8" s="93">
        <v>500</v>
      </c>
      <c r="Q8" s="93">
        <f t="shared" si="6"/>
        <v>285</v>
      </c>
      <c r="R8" s="88">
        <f>+P8/O8</f>
        <v>2.3255813953488373</v>
      </c>
      <c r="S8" s="92">
        <v>266</v>
      </c>
      <c r="T8" s="93">
        <v>600</v>
      </c>
      <c r="U8" s="93">
        <f t="shared" si="7"/>
        <v>334</v>
      </c>
      <c r="V8" s="88">
        <f>+T8/S8</f>
        <v>2.255639097744361</v>
      </c>
      <c r="W8" s="92">
        <f t="shared" si="8"/>
        <v>2087</v>
      </c>
      <c r="X8" s="93">
        <f t="shared" si="9"/>
        <v>3300</v>
      </c>
      <c r="Y8" s="93">
        <f t="shared" si="10"/>
        <v>1213</v>
      </c>
      <c r="Z8" s="88">
        <f t="shared" si="11"/>
        <v>1.5812170579779588</v>
      </c>
    </row>
    <row r="9" spans="1:26" s="89" customFormat="1" ht="15" customHeight="1">
      <c r="A9" s="90">
        <v>50136</v>
      </c>
      <c r="B9" s="91" t="s">
        <v>105</v>
      </c>
      <c r="C9" s="92">
        <v>2</v>
      </c>
      <c r="D9" s="93">
        <v>10</v>
      </c>
      <c r="E9" s="93">
        <f t="shared" si="0"/>
        <v>8</v>
      </c>
      <c r="F9" s="88">
        <f t="shared" si="1"/>
        <v>5</v>
      </c>
      <c r="G9" s="92">
        <f>2+2*2</f>
        <v>6</v>
      </c>
      <c r="H9" s="93">
        <v>0</v>
      </c>
      <c r="I9" s="93">
        <f t="shared" si="2"/>
        <v>-6</v>
      </c>
      <c r="J9" s="88">
        <f t="shared" si="3"/>
        <v>0</v>
      </c>
      <c r="K9" s="92"/>
      <c r="L9" s="93">
        <v>0</v>
      </c>
      <c r="M9" s="93">
        <f t="shared" si="4"/>
        <v>0</v>
      </c>
      <c r="N9" s="88" t="e">
        <f t="shared" si="5"/>
        <v>#DIV/0!</v>
      </c>
      <c r="O9" s="92"/>
      <c r="P9" s="93">
        <v>0</v>
      </c>
      <c r="Q9" s="93">
        <f t="shared" si="6"/>
        <v>0</v>
      </c>
      <c r="R9" s="88" t="e">
        <f>+P9/O9</f>
        <v>#DIV/0!</v>
      </c>
      <c r="S9" s="92"/>
      <c r="T9" s="93">
        <v>0</v>
      </c>
      <c r="U9" s="93">
        <f t="shared" si="7"/>
        <v>0</v>
      </c>
      <c r="V9" s="88"/>
      <c r="W9" s="92">
        <f t="shared" si="8"/>
        <v>8</v>
      </c>
      <c r="X9" s="93">
        <f t="shared" si="9"/>
        <v>10</v>
      </c>
      <c r="Y9" s="93">
        <f t="shared" si="10"/>
        <v>2</v>
      </c>
      <c r="Z9" s="88">
        <f t="shared" si="11"/>
        <v>1.25</v>
      </c>
    </row>
    <row r="10" spans="1:26" s="89" customFormat="1" ht="15" customHeight="1">
      <c r="A10" s="90">
        <v>50141</v>
      </c>
      <c r="B10" s="91" t="s">
        <v>106</v>
      </c>
      <c r="C10" s="92">
        <v>29</v>
      </c>
      <c r="D10" s="93">
        <v>56</v>
      </c>
      <c r="E10" s="93">
        <f t="shared" si="0"/>
        <v>27</v>
      </c>
      <c r="F10" s="88">
        <f t="shared" si="1"/>
        <v>1.9310344827586208</v>
      </c>
      <c r="G10" s="92">
        <f>126*2</f>
        <v>252</v>
      </c>
      <c r="H10" s="93">
        <v>250</v>
      </c>
      <c r="I10" s="93">
        <f t="shared" si="2"/>
        <v>-2</v>
      </c>
      <c r="J10" s="88">
        <f t="shared" si="3"/>
        <v>0.9920634920634921</v>
      </c>
      <c r="K10" s="92">
        <v>12</v>
      </c>
      <c r="L10" s="93">
        <v>22</v>
      </c>
      <c r="M10" s="93">
        <f t="shared" si="4"/>
        <v>10</v>
      </c>
      <c r="N10" s="88">
        <f t="shared" si="5"/>
        <v>1.8333333333333333</v>
      </c>
      <c r="O10" s="92">
        <v>677</v>
      </c>
      <c r="P10" s="93">
        <v>760</v>
      </c>
      <c r="Q10" s="93">
        <f t="shared" si="6"/>
        <v>83</v>
      </c>
      <c r="R10" s="88">
        <f>+P10/O10</f>
        <v>1.122599704579025</v>
      </c>
      <c r="S10" s="92">
        <v>818</v>
      </c>
      <c r="T10" s="93">
        <v>420</v>
      </c>
      <c r="U10" s="93">
        <f t="shared" si="7"/>
        <v>-398</v>
      </c>
      <c r="V10" s="88">
        <f>+T10/S10</f>
        <v>0.5134474327628362</v>
      </c>
      <c r="W10" s="92">
        <f t="shared" si="8"/>
        <v>1788</v>
      </c>
      <c r="X10" s="93">
        <f t="shared" si="9"/>
        <v>1508</v>
      </c>
      <c r="Y10" s="93">
        <f t="shared" si="10"/>
        <v>-280</v>
      </c>
      <c r="Z10" s="88">
        <f t="shared" si="11"/>
        <v>0.843400447427293</v>
      </c>
    </row>
    <row r="11" spans="1:26" s="89" customFormat="1" ht="15" customHeight="1">
      <c r="A11" s="90"/>
      <c r="B11" s="91"/>
      <c r="C11" s="92"/>
      <c r="D11" s="93"/>
      <c r="E11" s="93"/>
      <c r="F11" s="88"/>
      <c r="G11" s="92"/>
      <c r="H11" s="93"/>
      <c r="I11" s="93"/>
      <c r="J11" s="88"/>
      <c r="K11" s="92"/>
      <c r="L11" s="93"/>
      <c r="M11" s="93"/>
      <c r="N11" s="88"/>
      <c r="O11" s="92"/>
      <c r="P11" s="93"/>
      <c r="Q11" s="93"/>
      <c r="R11" s="88"/>
      <c r="S11" s="92"/>
      <c r="T11" s="93"/>
      <c r="U11" s="93"/>
      <c r="V11" s="88"/>
      <c r="W11" s="92"/>
      <c r="X11" s="93"/>
      <c r="Y11" s="93"/>
      <c r="Z11" s="88"/>
    </row>
    <row r="12" spans="1:26" s="89" customFormat="1" ht="15" customHeight="1">
      <c r="A12" s="90">
        <v>50142</v>
      </c>
      <c r="B12" s="91" t="s">
        <v>107</v>
      </c>
      <c r="C12" s="92">
        <v>672</v>
      </c>
      <c r="D12" s="93">
        <v>730</v>
      </c>
      <c r="E12" s="93">
        <f t="shared" si="0"/>
        <v>58</v>
      </c>
      <c r="F12" s="88">
        <f t="shared" si="1"/>
        <v>1.0863095238095237</v>
      </c>
      <c r="G12" s="92">
        <f>156+39*2</f>
        <v>234</v>
      </c>
      <c r="H12" s="93">
        <v>350</v>
      </c>
      <c r="I12" s="93">
        <f t="shared" si="2"/>
        <v>116</v>
      </c>
      <c r="J12" s="88">
        <f t="shared" si="3"/>
        <v>1.4957264957264957</v>
      </c>
      <c r="K12" s="92">
        <v>714</v>
      </c>
      <c r="L12" s="93">
        <v>490</v>
      </c>
      <c r="M12" s="93">
        <f t="shared" si="4"/>
        <v>-224</v>
      </c>
      <c r="N12" s="88">
        <f t="shared" si="5"/>
        <v>0.6862745098039216</v>
      </c>
      <c r="O12" s="92"/>
      <c r="P12" s="93">
        <v>0</v>
      </c>
      <c r="Q12" s="93">
        <f t="shared" si="6"/>
        <v>0</v>
      </c>
      <c r="R12" s="88"/>
      <c r="S12" s="92"/>
      <c r="T12" s="93">
        <v>410</v>
      </c>
      <c r="U12" s="93">
        <f t="shared" si="7"/>
        <v>410</v>
      </c>
      <c r="V12" s="88"/>
      <c r="W12" s="92">
        <f t="shared" si="8"/>
        <v>1620</v>
      </c>
      <c r="X12" s="93">
        <f t="shared" si="9"/>
        <v>1980</v>
      </c>
      <c r="Y12" s="93">
        <f t="shared" si="10"/>
        <v>360</v>
      </c>
      <c r="Z12" s="88">
        <f t="shared" si="11"/>
        <v>1.2222222222222223</v>
      </c>
    </row>
    <row r="13" spans="1:26" s="89" customFormat="1" ht="15" customHeight="1">
      <c r="A13" s="90">
        <v>50143</v>
      </c>
      <c r="B13" s="91" t="s">
        <v>108</v>
      </c>
      <c r="C13" s="92">
        <v>18</v>
      </c>
      <c r="D13" s="93">
        <v>35</v>
      </c>
      <c r="E13" s="93">
        <f t="shared" si="0"/>
        <v>17</v>
      </c>
      <c r="F13" s="88">
        <f t="shared" si="1"/>
        <v>1.9444444444444444</v>
      </c>
      <c r="G13" s="92">
        <f>3+4*2</f>
        <v>11</v>
      </c>
      <c r="H13" s="93">
        <v>22</v>
      </c>
      <c r="I13" s="93">
        <f t="shared" si="2"/>
        <v>11</v>
      </c>
      <c r="J13" s="88">
        <f t="shared" si="3"/>
        <v>2</v>
      </c>
      <c r="K13" s="92">
        <v>3</v>
      </c>
      <c r="L13" s="93">
        <v>26</v>
      </c>
      <c r="M13" s="93">
        <f t="shared" si="4"/>
        <v>23</v>
      </c>
      <c r="N13" s="88">
        <f t="shared" si="5"/>
        <v>8.666666666666666</v>
      </c>
      <c r="O13" s="92">
        <v>1</v>
      </c>
      <c r="P13" s="93">
        <v>15</v>
      </c>
      <c r="Q13" s="93">
        <f t="shared" si="6"/>
        <v>14</v>
      </c>
      <c r="R13" s="88">
        <f aca="true" t="shared" si="12" ref="R13:R22">+P13/O13</f>
        <v>15</v>
      </c>
      <c r="S13" s="92"/>
      <c r="T13" s="93">
        <v>40</v>
      </c>
      <c r="U13" s="93">
        <f t="shared" si="7"/>
        <v>40</v>
      </c>
      <c r="V13" s="88"/>
      <c r="W13" s="92">
        <f t="shared" si="8"/>
        <v>33</v>
      </c>
      <c r="X13" s="93">
        <f t="shared" si="9"/>
        <v>138</v>
      </c>
      <c r="Y13" s="93">
        <f t="shared" si="10"/>
        <v>105</v>
      </c>
      <c r="Z13" s="88">
        <f t="shared" si="11"/>
        <v>4.181818181818182</v>
      </c>
    </row>
    <row r="14" spans="1:26" s="89" customFormat="1" ht="15" customHeight="1">
      <c r="A14" s="90">
        <v>50151</v>
      </c>
      <c r="B14" s="91" t="s">
        <v>109</v>
      </c>
      <c r="C14" s="92">
        <v>20</v>
      </c>
      <c r="D14" s="93">
        <v>21</v>
      </c>
      <c r="E14" s="93">
        <f t="shared" si="0"/>
        <v>1</v>
      </c>
      <c r="F14" s="88">
        <f t="shared" si="1"/>
        <v>1.05</v>
      </c>
      <c r="G14" s="92">
        <f>2+5*2</f>
        <v>12</v>
      </c>
      <c r="H14" s="93">
        <v>11</v>
      </c>
      <c r="I14" s="93">
        <f t="shared" si="2"/>
        <v>-1</v>
      </c>
      <c r="J14" s="88">
        <f t="shared" si="3"/>
        <v>0.9166666666666666</v>
      </c>
      <c r="K14" s="92">
        <v>37</v>
      </c>
      <c r="L14" s="93">
        <v>30</v>
      </c>
      <c r="M14" s="93">
        <f t="shared" si="4"/>
        <v>-7</v>
      </c>
      <c r="N14" s="88">
        <f t="shared" si="5"/>
        <v>0.8108108108108109</v>
      </c>
      <c r="O14" s="92">
        <v>22</v>
      </c>
      <c r="P14" s="93">
        <v>20</v>
      </c>
      <c r="Q14" s="93">
        <f t="shared" si="6"/>
        <v>-2</v>
      </c>
      <c r="R14" s="88">
        <f t="shared" si="12"/>
        <v>0.9090909090909091</v>
      </c>
      <c r="S14" s="92">
        <v>25</v>
      </c>
      <c r="T14" s="93">
        <v>20</v>
      </c>
      <c r="U14" s="93">
        <f t="shared" si="7"/>
        <v>-5</v>
      </c>
      <c r="V14" s="88">
        <f aca="true" t="shared" si="13" ref="V14:V22">+T14/S14</f>
        <v>0.8</v>
      </c>
      <c r="W14" s="92">
        <f t="shared" si="8"/>
        <v>116</v>
      </c>
      <c r="X14" s="93">
        <f t="shared" si="9"/>
        <v>102</v>
      </c>
      <c r="Y14" s="93">
        <f t="shared" si="10"/>
        <v>-14</v>
      </c>
      <c r="Z14" s="88">
        <f t="shared" si="11"/>
        <v>0.8793103448275862</v>
      </c>
    </row>
    <row r="15" spans="1:26" s="89" customFormat="1" ht="15" customHeight="1">
      <c r="A15" s="90">
        <v>50161</v>
      </c>
      <c r="B15" s="91" t="s">
        <v>110</v>
      </c>
      <c r="C15" s="92">
        <v>470</v>
      </c>
      <c r="D15" s="93">
        <v>421</v>
      </c>
      <c r="E15" s="93">
        <f t="shared" si="0"/>
        <v>-49</v>
      </c>
      <c r="F15" s="88">
        <f t="shared" si="1"/>
        <v>0.8957446808510638</v>
      </c>
      <c r="G15" s="92">
        <f>29+46*2</f>
        <v>121</v>
      </c>
      <c r="H15" s="93">
        <v>50</v>
      </c>
      <c r="I15" s="93">
        <f t="shared" si="2"/>
        <v>-71</v>
      </c>
      <c r="J15" s="88">
        <f t="shared" si="3"/>
        <v>0.4132231404958678</v>
      </c>
      <c r="K15" s="92">
        <v>109</v>
      </c>
      <c r="L15" s="93">
        <v>150</v>
      </c>
      <c r="M15" s="93">
        <f t="shared" si="4"/>
        <v>41</v>
      </c>
      <c r="N15" s="88">
        <f t="shared" si="5"/>
        <v>1.3761467889908257</v>
      </c>
      <c r="O15" s="92">
        <v>99</v>
      </c>
      <c r="P15" s="93">
        <v>100</v>
      </c>
      <c r="Q15" s="93">
        <f t="shared" si="6"/>
        <v>1</v>
      </c>
      <c r="R15" s="88">
        <f t="shared" si="12"/>
        <v>1.0101010101010102</v>
      </c>
      <c r="S15" s="92">
        <v>125</v>
      </c>
      <c r="T15" s="93">
        <v>180</v>
      </c>
      <c r="U15" s="93">
        <f t="shared" si="7"/>
        <v>55</v>
      </c>
      <c r="V15" s="88">
        <f t="shared" si="13"/>
        <v>1.44</v>
      </c>
      <c r="W15" s="92">
        <f t="shared" si="8"/>
        <v>924</v>
      </c>
      <c r="X15" s="93">
        <f t="shared" si="9"/>
        <v>901</v>
      </c>
      <c r="Y15" s="93">
        <f t="shared" si="10"/>
        <v>-23</v>
      </c>
      <c r="Z15" s="88">
        <f t="shared" si="11"/>
        <v>0.9751082251082251</v>
      </c>
    </row>
    <row r="16" spans="1:26" s="89" customFormat="1" ht="15" customHeight="1">
      <c r="A16" s="90">
        <v>60162</v>
      </c>
      <c r="B16" s="91" t="s">
        <v>111</v>
      </c>
      <c r="C16" s="92">
        <v>52</v>
      </c>
      <c r="D16" s="93">
        <v>60</v>
      </c>
      <c r="E16" s="93">
        <f t="shared" si="0"/>
        <v>8</v>
      </c>
      <c r="F16" s="88">
        <f t="shared" si="1"/>
        <v>1.1538461538461537</v>
      </c>
      <c r="G16" s="92">
        <f>2</f>
        <v>2</v>
      </c>
      <c r="H16" s="93">
        <v>15</v>
      </c>
      <c r="I16" s="93">
        <f t="shared" si="2"/>
        <v>13</v>
      </c>
      <c r="J16" s="88">
        <f t="shared" si="3"/>
        <v>7.5</v>
      </c>
      <c r="K16" s="92">
        <v>7</v>
      </c>
      <c r="L16" s="93">
        <v>15</v>
      </c>
      <c r="M16" s="93">
        <f t="shared" si="4"/>
        <v>8</v>
      </c>
      <c r="N16" s="88">
        <f t="shared" si="5"/>
        <v>2.142857142857143</v>
      </c>
      <c r="O16" s="92">
        <v>12</v>
      </c>
      <c r="P16" s="93">
        <v>15</v>
      </c>
      <c r="Q16" s="93">
        <f t="shared" si="6"/>
        <v>3</v>
      </c>
      <c r="R16" s="88">
        <f t="shared" si="12"/>
        <v>1.25</v>
      </c>
      <c r="S16" s="92">
        <v>24</v>
      </c>
      <c r="T16" s="93">
        <v>15</v>
      </c>
      <c r="U16" s="93">
        <f t="shared" si="7"/>
        <v>-9</v>
      </c>
      <c r="V16" s="88">
        <f t="shared" si="13"/>
        <v>0.625</v>
      </c>
      <c r="W16" s="92">
        <f t="shared" si="8"/>
        <v>97</v>
      </c>
      <c r="X16" s="93">
        <f t="shared" si="9"/>
        <v>120</v>
      </c>
      <c r="Y16" s="93">
        <f t="shared" si="10"/>
        <v>23</v>
      </c>
      <c r="Z16" s="88">
        <f t="shared" si="11"/>
        <v>1.2371134020618557</v>
      </c>
    </row>
    <row r="17" spans="1:26" s="89" customFormat="1" ht="15" customHeight="1">
      <c r="A17" s="90">
        <v>50163</v>
      </c>
      <c r="B17" s="91" t="s">
        <v>112</v>
      </c>
      <c r="C17" s="92">
        <v>161</v>
      </c>
      <c r="D17" s="93">
        <v>185</v>
      </c>
      <c r="E17" s="93">
        <f t="shared" si="0"/>
        <v>24</v>
      </c>
      <c r="F17" s="88">
        <f t="shared" si="1"/>
        <v>1.1490683229813665</v>
      </c>
      <c r="G17" s="92">
        <f>51+34*2</f>
        <v>119</v>
      </c>
      <c r="H17" s="93">
        <v>65</v>
      </c>
      <c r="I17" s="93">
        <f t="shared" si="2"/>
        <v>-54</v>
      </c>
      <c r="J17" s="88">
        <f t="shared" si="3"/>
        <v>0.5462184873949579</v>
      </c>
      <c r="K17" s="92">
        <v>18</v>
      </c>
      <c r="L17" s="93">
        <v>150</v>
      </c>
      <c r="M17" s="93">
        <f t="shared" si="4"/>
        <v>132</v>
      </c>
      <c r="N17" s="88">
        <f t="shared" si="5"/>
        <v>8.333333333333334</v>
      </c>
      <c r="O17" s="92">
        <v>79</v>
      </c>
      <c r="P17" s="93">
        <v>100</v>
      </c>
      <c r="Q17" s="93">
        <f t="shared" si="6"/>
        <v>21</v>
      </c>
      <c r="R17" s="88">
        <f t="shared" si="12"/>
        <v>1.2658227848101267</v>
      </c>
      <c r="S17" s="92">
        <v>54</v>
      </c>
      <c r="T17" s="93">
        <v>50</v>
      </c>
      <c r="U17" s="93">
        <f t="shared" si="7"/>
        <v>-4</v>
      </c>
      <c r="V17" s="88">
        <f t="shared" si="13"/>
        <v>0.9259259259259259</v>
      </c>
      <c r="W17" s="92">
        <f t="shared" si="8"/>
        <v>431</v>
      </c>
      <c r="X17" s="93">
        <f t="shared" si="9"/>
        <v>550</v>
      </c>
      <c r="Y17" s="93">
        <f t="shared" si="10"/>
        <v>119</v>
      </c>
      <c r="Z17" s="88">
        <f t="shared" si="11"/>
        <v>1.2761020881670533</v>
      </c>
    </row>
    <row r="18" spans="1:26" s="89" customFormat="1" ht="15" customHeight="1" thickBot="1">
      <c r="A18" s="94">
        <v>50164</v>
      </c>
      <c r="B18" s="95" t="s">
        <v>113</v>
      </c>
      <c r="C18" s="96">
        <v>243</v>
      </c>
      <c r="D18" s="97">
        <v>755</v>
      </c>
      <c r="E18" s="97">
        <f t="shared" si="0"/>
        <v>512</v>
      </c>
      <c r="F18" s="88">
        <f t="shared" si="1"/>
        <v>3.1069958847736627</v>
      </c>
      <c r="G18" s="96">
        <f>7+90*2</f>
        <v>187</v>
      </c>
      <c r="H18" s="97">
        <v>121</v>
      </c>
      <c r="I18" s="97">
        <f t="shared" si="2"/>
        <v>-66</v>
      </c>
      <c r="J18" s="88">
        <f t="shared" si="3"/>
        <v>0.6470588235294118</v>
      </c>
      <c r="K18" s="96">
        <v>450</v>
      </c>
      <c r="L18" s="97">
        <v>277</v>
      </c>
      <c r="M18" s="97">
        <f t="shared" si="4"/>
        <v>-173</v>
      </c>
      <c r="N18" s="88">
        <f t="shared" si="5"/>
        <v>0.6155555555555555</v>
      </c>
      <c r="O18" s="96">
        <v>295</v>
      </c>
      <c r="P18" s="97">
        <v>218</v>
      </c>
      <c r="Q18" s="97">
        <f t="shared" si="6"/>
        <v>-77</v>
      </c>
      <c r="R18" s="88">
        <f t="shared" si="12"/>
        <v>0.7389830508474576</v>
      </c>
      <c r="S18" s="96">
        <v>35</v>
      </c>
      <c r="T18" s="97">
        <v>101</v>
      </c>
      <c r="U18" s="97">
        <f t="shared" si="7"/>
        <v>66</v>
      </c>
      <c r="V18" s="88">
        <f t="shared" si="13"/>
        <v>2.8857142857142857</v>
      </c>
      <c r="W18" s="96">
        <f t="shared" si="8"/>
        <v>1210</v>
      </c>
      <c r="X18" s="97">
        <f t="shared" si="9"/>
        <v>1472</v>
      </c>
      <c r="Y18" s="97">
        <f t="shared" si="10"/>
        <v>262</v>
      </c>
      <c r="Z18" s="88">
        <f t="shared" si="11"/>
        <v>1.2165289256198346</v>
      </c>
    </row>
    <row r="19" spans="1:26" s="89" customFormat="1" ht="24" customHeight="1" thickBot="1">
      <c r="A19" s="98">
        <v>501</v>
      </c>
      <c r="B19" s="99" t="s">
        <v>114</v>
      </c>
      <c r="C19" s="32">
        <f>SUM(C5:C18)</f>
        <v>3465</v>
      </c>
      <c r="D19" s="5">
        <f>SUM(D5:D18)</f>
        <v>4820</v>
      </c>
      <c r="E19" s="5">
        <f t="shared" si="0"/>
        <v>1355</v>
      </c>
      <c r="F19" s="100">
        <f t="shared" si="1"/>
        <v>1.391053391053391</v>
      </c>
      <c r="G19" s="32">
        <f>SUM(G5:G18)</f>
        <v>1518</v>
      </c>
      <c r="H19" s="5">
        <f>SUM(H5:H18)</f>
        <v>1459</v>
      </c>
      <c r="I19" s="5">
        <f t="shared" si="2"/>
        <v>-59</v>
      </c>
      <c r="J19" s="100">
        <f t="shared" si="3"/>
        <v>0.961133069828722</v>
      </c>
      <c r="K19" s="32">
        <f>SUM(K5:K18)</f>
        <v>2504</v>
      </c>
      <c r="L19" s="5">
        <f>SUM(L5:L18)</f>
        <v>2730</v>
      </c>
      <c r="M19" s="5">
        <f t="shared" si="4"/>
        <v>226</v>
      </c>
      <c r="N19" s="100">
        <f t="shared" si="5"/>
        <v>1.090255591054313</v>
      </c>
      <c r="O19" s="32">
        <f>SUM(O5:O18)</f>
        <v>1876</v>
      </c>
      <c r="P19" s="5">
        <f>SUM(P5:P18)</f>
        <v>2428</v>
      </c>
      <c r="Q19" s="5">
        <f t="shared" si="6"/>
        <v>552</v>
      </c>
      <c r="R19" s="100">
        <f t="shared" si="12"/>
        <v>1.2942430703624734</v>
      </c>
      <c r="S19" s="32">
        <f>SUM(S5:S18)</f>
        <v>1678</v>
      </c>
      <c r="T19" s="5">
        <f>SUM(T5:T18)</f>
        <v>2436</v>
      </c>
      <c r="U19" s="5">
        <f t="shared" si="7"/>
        <v>758</v>
      </c>
      <c r="V19" s="100">
        <f t="shared" si="13"/>
        <v>1.4517282479141835</v>
      </c>
      <c r="W19" s="32">
        <f>SUM(W5:W18)</f>
        <v>11041</v>
      </c>
      <c r="X19" s="5">
        <f>SUM(X5:X18)</f>
        <v>13873</v>
      </c>
      <c r="Y19" s="5">
        <f t="shared" si="10"/>
        <v>2832</v>
      </c>
      <c r="Z19" s="100">
        <f t="shared" si="11"/>
        <v>1.2564985055701476</v>
      </c>
    </row>
    <row r="20" spans="1:26" s="89" customFormat="1" ht="16.5" customHeight="1">
      <c r="A20" s="90">
        <v>50231</v>
      </c>
      <c r="B20" s="91" t="s">
        <v>115</v>
      </c>
      <c r="C20" s="92">
        <v>334</v>
      </c>
      <c r="D20" s="93">
        <v>300</v>
      </c>
      <c r="E20" s="93">
        <f t="shared" si="0"/>
        <v>-34</v>
      </c>
      <c r="F20" s="88">
        <f t="shared" si="1"/>
        <v>0.8982035928143712</v>
      </c>
      <c r="G20" s="92">
        <f>52+7*2</f>
        <v>66</v>
      </c>
      <c r="H20" s="93">
        <v>80</v>
      </c>
      <c r="I20" s="93">
        <f t="shared" si="2"/>
        <v>14</v>
      </c>
      <c r="J20" s="88">
        <f t="shared" si="3"/>
        <v>1.2121212121212122</v>
      </c>
      <c r="K20" s="92">
        <v>174</v>
      </c>
      <c r="L20" s="93">
        <v>260</v>
      </c>
      <c r="M20" s="93">
        <f t="shared" si="4"/>
        <v>86</v>
      </c>
      <c r="N20" s="88">
        <f t="shared" si="5"/>
        <v>1.4942528735632183</v>
      </c>
      <c r="O20" s="92">
        <v>109</v>
      </c>
      <c r="P20" s="93">
        <v>100</v>
      </c>
      <c r="Q20" s="93">
        <f t="shared" si="6"/>
        <v>-9</v>
      </c>
      <c r="R20" s="88">
        <f t="shared" si="12"/>
        <v>0.9174311926605505</v>
      </c>
      <c r="S20" s="92">
        <v>188</v>
      </c>
      <c r="T20" s="93">
        <v>180</v>
      </c>
      <c r="U20" s="93">
        <f t="shared" si="7"/>
        <v>-8</v>
      </c>
      <c r="V20" s="88">
        <f t="shared" si="13"/>
        <v>0.9574468085106383</v>
      </c>
      <c r="W20" s="92">
        <f aca="true" t="shared" si="14" ref="W20:W41">+C20+G20+K20+O20+S20</f>
        <v>871</v>
      </c>
      <c r="X20" s="93">
        <f aca="true" t="shared" si="15" ref="X20:X41">+D20+H20+L20+P20+T20</f>
        <v>920</v>
      </c>
      <c r="Y20" s="93">
        <f t="shared" si="10"/>
        <v>49</v>
      </c>
      <c r="Z20" s="88">
        <f t="shared" si="11"/>
        <v>1.0562571756601606</v>
      </c>
    </row>
    <row r="21" spans="1:26" s="89" customFormat="1" ht="16.5" customHeight="1">
      <c r="A21" s="90">
        <v>50232</v>
      </c>
      <c r="B21" s="91" t="s">
        <v>116</v>
      </c>
      <c r="C21" s="92">
        <v>138</v>
      </c>
      <c r="D21" s="93">
        <v>130</v>
      </c>
      <c r="E21" s="93">
        <f t="shared" si="0"/>
        <v>-8</v>
      </c>
      <c r="F21" s="88">
        <f t="shared" si="1"/>
        <v>0.9420289855072463</v>
      </c>
      <c r="G21" s="92">
        <f>3+7*2</f>
        <v>17</v>
      </c>
      <c r="H21" s="93">
        <v>18</v>
      </c>
      <c r="I21" s="93">
        <f t="shared" si="2"/>
        <v>1</v>
      </c>
      <c r="J21" s="88">
        <f t="shared" si="3"/>
        <v>1.0588235294117647</v>
      </c>
      <c r="K21" s="92">
        <v>89</v>
      </c>
      <c r="L21" s="93">
        <v>150</v>
      </c>
      <c r="M21" s="93">
        <f t="shared" si="4"/>
        <v>61</v>
      </c>
      <c r="N21" s="88">
        <f t="shared" si="5"/>
        <v>1.6853932584269662</v>
      </c>
      <c r="O21" s="92">
        <v>32</v>
      </c>
      <c r="P21" s="93">
        <v>50</v>
      </c>
      <c r="Q21" s="93">
        <f t="shared" si="6"/>
        <v>18</v>
      </c>
      <c r="R21" s="88">
        <f t="shared" si="12"/>
        <v>1.5625</v>
      </c>
      <c r="S21" s="92">
        <v>87</v>
      </c>
      <c r="T21" s="93">
        <v>100</v>
      </c>
      <c r="U21" s="93">
        <f t="shared" si="7"/>
        <v>13</v>
      </c>
      <c r="V21" s="88">
        <f t="shared" si="13"/>
        <v>1.1494252873563218</v>
      </c>
      <c r="W21" s="92">
        <f t="shared" si="14"/>
        <v>363</v>
      </c>
      <c r="X21" s="93">
        <f t="shared" si="15"/>
        <v>448</v>
      </c>
      <c r="Y21" s="93">
        <f t="shared" si="10"/>
        <v>85</v>
      </c>
      <c r="Z21" s="88">
        <f t="shared" si="11"/>
        <v>1.234159779614325</v>
      </c>
    </row>
    <row r="22" spans="1:26" s="89" customFormat="1" ht="16.5" customHeight="1">
      <c r="A22" s="90">
        <v>50233</v>
      </c>
      <c r="B22" s="91" t="s">
        <v>117</v>
      </c>
      <c r="C22" s="92">
        <v>332</v>
      </c>
      <c r="D22" s="93">
        <v>450</v>
      </c>
      <c r="E22" s="93">
        <f t="shared" si="0"/>
        <v>118</v>
      </c>
      <c r="F22" s="88">
        <f t="shared" si="1"/>
        <v>1.355421686746988</v>
      </c>
      <c r="G22" s="92">
        <f>33+106*2</f>
        <v>245</v>
      </c>
      <c r="H22" s="93">
        <v>247</v>
      </c>
      <c r="I22" s="93">
        <f t="shared" si="2"/>
        <v>2</v>
      </c>
      <c r="J22" s="88">
        <f t="shared" si="3"/>
        <v>1.0081632653061225</v>
      </c>
      <c r="K22" s="92">
        <v>151</v>
      </c>
      <c r="L22" s="93">
        <v>200</v>
      </c>
      <c r="M22" s="93">
        <f t="shared" si="4"/>
        <v>49</v>
      </c>
      <c r="N22" s="88">
        <f t="shared" si="5"/>
        <v>1.3245033112582782</v>
      </c>
      <c r="O22" s="92">
        <v>157</v>
      </c>
      <c r="P22" s="93">
        <v>130</v>
      </c>
      <c r="Q22" s="93">
        <f t="shared" si="6"/>
        <v>-27</v>
      </c>
      <c r="R22" s="88">
        <f t="shared" si="12"/>
        <v>0.8280254777070064</v>
      </c>
      <c r="S22" s="92">
        <v>207</v>
      </c>
      <c r="T22" s="93">
        <v>200</v>
      </c>
      <c r="U22" s="93">
        <f t="shared" si="7"/>
        <v>-7</v>
      </c>
      <c r="V22" s="88">
        <f t="shared" si="13"/>
        <v>0.966183574879227</v>
      </c>
      <c r="W22" s="92">
        <f t="shared" si="14"/>
        <v>1092</v>
      </c>
      <c r="X22" s="93">
        <f t="shared" si="15"/>
        <v>1227</v>
      </c>
      <c r="Y22" s="93">
        <f t="shared" si="10"/>
        <v>135</v>
      </c>
      <c r="Z22" s="88">
        <f t="shared" si="11"/>
        <v>1.1236263736263736</v>
      </c>
    </row>
    <row r="23" spans="1:26" s="89" customFormat="1" ht="16.5" customHeight="1">
      <c r="A23" s="90">
        <v>50234</v>
      </c>
      <c r="B23" s="91" t="s">
        <v>118</v>
      </c>
      <c r="C23" s="92">
        <v>60</v>
      </c>
      <c r="D23" s="93">
        <v>5</v>
      </c>
      <c r="E23" s="93">
        <f t="shared" si="0"/>
        <v>-55</v>
      </c>
      <c r="F23" s="88">
        <f t="shared" si="1"/>
        <v>0.08333333333333333</v>
      </c>
      <c r="G23" s="92">
        <v>6</v>
      </c>
      <c r="H23" s="93">
        <v>0</v>
      </c>
      <c r="I23" s="93">
        <f t="shared" si="2"/>
        <v>-6</v>
      </c>
      <c r="J23" s="88">
        <f t="shared" si="3"/>
        <v>0</v>
      </c>
      <c r="K23" s="92"/>
      <c r="L23" s="93">
        <v>0</v>
      </c>
      <c r="M23" s="93">
        <f t="shared" si="4"/>
        <v>0</v>
      </c>
      <c r="N23" s="88" t="e">
        <f t="shared" si="5"/>
        <v>#DIV/0!</v>
      </c>
      <c r="O23" s="92"/>
      <c r="P23" s="93">
        <v>0</v>
      </c>
      <c r="Q23" s="93">
        <f t="shared" si="6"/>
        <v>0</v>
      </c>
      <c r="R23" s="88"/>
      <c r="S23" s="92"/>
      <c r="T23" s="93">
        <v>0</v>
      </c>
      <c r="U23" s="93">
        <f t="shared" si="7"/>
        <v>0</v>
      </c>
      <c r="V23" s="88"/>
      <c r="W23" s="92">
        <f t="shared" si="14"/>
        <v>66</v>
      </c>
      <c r="X23" s="93">
        <f t="shared" si="15"/>
        <v>5</v>
      </c>
      <c r="Y23" s="93">
        <f t="shared" si="10"/>
        <v>-61</v>
      </c>
      <c r="Z23" s="88">
        <f t="shared" si="11"/>
        <v>0.07575757575757576</v>
      </c>
    </row>
    <row r="24" spans="1:26" s="89" customFormat="1" ht="16.5" customHeight="1" thickBot="1">
      <c r="A24" s="90">
        <v>50235</v>
      </c>
      <c r="B24" s="91" t="s">
        <v>119</v>
      </c>
      <c r="C24" s="92">
        <v>90</v>
      </c>
      <c r="D24" s="93">
        <v>90</v>
      </c>
      <c r="E24" s="93">
        <f t="shared" si="0"/>
        <v>0</v>
      </c>
      <c r="F24" s="88">
        <f t="shared" si="1"/>
        <v>1</v>
      </c>
      <c r="G24" s="92">
        <f>16+2*2</f>
        <v>20</v>
      </c>
      <c r="H24" s="93">
        <v>40</v>
      </c>
      <c r="I24" s="93">
        <f t="shared" si="2"/>
        <v>20</v>
      </c>
      <c r="J24" s="88">
        <f t="shared" si="3"/>
        <v>2</v>
      </c>
      <c r="K24" s="92">
        <v>102</v>
      </c>
      <c r="L24" s="93">
        <v>70</v>
      </c>
      <c r="M24" s="93">
        <f t="shared" si="4"/>
        <v>-32</v>
      </c>
      <c r="N24" s="88">
        <f t="shared" si="5"/>
        <v>0.6862745098039216</v>
      </c>
      <c r="O24" s="92">
        <v>138</v>
      </c>
      <c r="P24" s="93">
        <v>80</v>
      </c>
      <c r="Q24" s="93">
        <f t="shared" si="6"/>
        <v>-58</v>
      </c>
      <c r="R24" s="88">
        <f aca="true" t="shared" si="16" ref="R24:R41">+P24/O24</f>
        <v>0.5797101449275363</v>
      </c>
      <c r="S24" s="92"/>
      <c r="T24" s="93">
        <v>80</v>
      </c>
      <c r="U24" s="93">
        <f t="shared" si="7"/>
        <v>80</v>
      </c>
      <c r="V24" s="88"/>
      <c r="W24" s="92">
        <f t="shared" si="14"/>
        <v>350</v>
      </c>
      <c r="X24" s="93">
        <f t="shared" si="15"/>
        <v>360</v>
      </c>
      <c r="Y24" s="93">
        <f t="shared" si="10"/>
        <v>10</v>
      </c>
      <c r="Z24" s="88">
        <f t="shared" si="11"/>
        <v>1.0285714285714285</v>
      </c>
    </row>
    <row r="25" spans="1:26" s="89" customFormat="1" ht="20.25" customHeight="1" thickBot="1">
      <c r="A25" s="98">
        <v>502</v>
      </c>
      <c r="B25" s="99" t="s">
        <v>40</v>
      </c>
      <c r="C25" s="32">
        <f>SUM(C20:C24)</f>
        <v>954</v>
      </c>
      <c r="D25" s="5">
        <f>SUM(D20:D24)</f>
        <v>975</v>
      </c>
      <c r="E25" s="5">
        <f t="shared" si="0"/>
        <v>21</v>
      </c>
      <c r="F25" s="100">
        <f t="shared" si="1"/>
        <v>1.0220125786163523</v>
      </c>
      <c r="G25" s="32">
        <f>SUM(G20:G24)</f>
        <v>354</v>
      </c>
      <c r="H25" s="5">
        <f>SUM(H20:H24)</f>
        <v>385</v>
      </c>
      <c r="I25" s="5">
        <f t="shared" si="2"/>
        <v>31</v>
      </c>
      <c r="J25" s="100">
        <f t="shared" si="3"/>
        <v>1.0875706214689265</v>
      </c>
      <c r="K25" s="32">
        <f>SUM(K20:K24)</f>
        <v>516</v>
      </c>
      <c r="L25" s="5">
        <f>SUM(L20:L24)</f>
        <v>680</v>
      </c>
      <c r="M25" s="5">
        <f t="shared" si="4"/>
        <v>164</v>
      </c>
      <c r="N25" s="100">
        <f t="shared" si="5"/>
        <v>1.317829457364341</v>
      </c>
      <c r="O25" s="32">
        <f>SUM(O20:O24)</f>
        <v>436</v>
      </c>
      <c r="P25" s="5">
        <f>SUM(P20:P24)</f>
        <v>360</v>
      </c>
      <c r="Q25" s="5">
        <f t="shared" si="6"/>
        <v>-76</v>
      </c>
      <c r="R25" s="100">
        <f t="shared" si="16"/>
        <v>0.8256880733944955</v>
      </c>
      <c r="S25" s="32">
        <f>SUM(S20:S24)</f>
        <v>482</v>
      </c>
      <c r="T25" s="5">
        <f>SUM(T20:T24)</f>
        <v>560</v>
      </c>
      <c r="U25" s="5">
        <f t="shared" si="7"/>
        <v>78</v>
      </c>
      <c r="V25" s="100">
        <f aca="true" t="shared" si="17" ref="V25:V41">+T25/S25</f>
        <v>1.161825726141079</v>
      </c>
      <c r="W25" s="32">
        <f t="shared" si="14"/>
        <v>2742</v>
      </c>
      <c r="X25" s="5">
        <f t="shared" si="15"/>
        <v>2960</v>
      </c>
      <c r="Y25" s="5">
        <f t="shared" si="10"/>
        <v>218</v>
      </c>
      <c r="Z25" s="100">
        <f t="shared" si="11"/>
        <v>1.0795040116703136</v>
      </c>
    </row>
    <row r="26" spans="1:26" s="89" customFormat="1" ht="22.5" customHeight="1" thickBot="1">
      <c r="A26" s="98">
        <v>503</v>
      </c>
      <c r="B26" s="99" t="s">
        <v>120</v>
      </c>
      <c r="C26" s="32">
        <v>126</v>
      </c>
      <c r="D26" s="5">
        <v>293</v>
      </c>
      <c r="E26" s="5">
        <f t="shared" si="0"/>
        <v>167</v>
      </c>
      <c r="F26" s="100">
        <f t="shared" si="1"/>
        <v>2.3253968253968256</v>
      </c>
      <c r="G26" s="32">
        <f>15+14*2</f>
        <v>43</v>
      </c>
      <c r="H26" s="5">
        <v>108</v>
      </c>
      <c r="I26" s="5">
        <f t="shared" si="2"/>
        <v>65</v>
      </c>
      <c r="J26" s="100">
        <f t="shared" si="3"/>
        <v>2.511627906976744</v>
      </c>
      <c r="K26" s="32">
        <v>116</v>
      </c>
      <c r="L26" s="5">
        <v>163</v>
      </c>
      <c r="M26" s="5">
        <f t="shared" si="4"/>
        <v>47</v>
      </c>
      <c r="N26" s="100">
        <f t="shared" si="5"/>
        <v>1.4051724137931034</v>
      </c>
      <c r="O26" s="32">
        <v>213</v>
      </c>
      <c r="P26" s="5">
        <v>144</v>
      </c>
      <c r="Q26" s="5">
        <f t="shared" si="6"/>
        <v>-69</v>
      </c>
      <c r="R26" s="100">
        <f t="shared" si="16"/>
        <v>0.676056338028169</v>
      </c>
      <c r="S26" s="32">
        <v>219</v>
      </c>
      <c r="T26" s="5">
        <v>169</v>
      </c>
      <c r="U26" s="5">
        <f t="shared" si="7"/>
        <v>-50</v>
      </c>
      <c r="V26" s="100">
        <f t="shared" si="17"/>
        <v>0.771689497716895</v>
      </c>
      <c r="W26" s="32">
        <f t="shared" si="14"/>
        <v>717</v>
      </c>
      <c r="X26" s="5">
        <f t="shared" si="15"/>
        <v>877</v>
      </c>
      <c r="Y26" s="5">
        <f t="shared" si="10"/>
        <v>160</v>
      </c>
      <c r="Z26" s="100">
        <f t="shared" si="11"/>
        <v>1.2231520223152021</v>
      </c>
    </row>
    <row r="27" spans="1:26" s="89" customFormat="1" ht="18.75" customHeight="1" thickBot="1">
      <c r="A27" s="98">
        <v>51130</v>
      </c>
      <c r="B27" s="99" t="s">
        <v>121</v>
      </c>
      <c r="C27" s="32">
        <v>258</v>
      </c>
      <c r="D27" s="5">
        <v>270</v>
      </c>
      <c r="E27" s="5">
        <f t="shared" si="0"/>
        <v>12</v>
      </c>
      <c r="F27" s="100">
        <f t="shared" si="1"/>
        <v>1.0465116279069768</v>
      </c>
      <c r="G27" s="32">
        <f>83+8*2</f>
        <v>99</v>
      </c>
      <c r="H27" s="5">
        <v>120</v>
      </c>
      <c r="I27" s="5">
        <f t="shared" si="2"/>
        <v>21</v>
      </c>
      <c r="J27" s="100">
        <f t="shared" si="3"/>
        <v>1.2121212121212122</v>
      </c>
      <c r="K27" s="32">
        <v>526</v>
      </c>
      <c r="L27" s="5">
        <v>95</v>
      </c>
      <c r="M27" s="5">
        <f t="shared" si="4"/>
        <v>-431</v>
      </c>
      <c r="N27" s="100">
        <f t="shared" si="5"/>
        <v>0.1806083650190114</v>
      </c>
      <c r="O27" s="32">
        <v>399</v>
      </c>
      <c r="P27" s="5">
        <v>70</v>
      </c>
      <c r="Q27" s="5">
        <f t="shared" si="6"/>
        <v>-329</v>
      </c>
      <c r="R27" s="100">
        <f t="shared" si="16"/>
        <v>0.17543859649122806</v>
      </c>
      <c r="S27" s="32">
        <v>644</v>
      </c>
      <c r="T27" s="5">
        <v>180</v>
      </c>
      <c r="U27" s="5">
        <f t="shared" si="7"/>
        <v>-464</v>
      </c>
      <c r="V27" s="100">
        <f t="shared" si="17"/>
        <v>0.2795031055900621</v>
      </c>
      <c r="W27" s="32">
        <f t="shared" si="14"/>
        <v>1926</v>
      </c>
      <c r="X27" s="5">
        <f t="shared" si="15"/>
        <v>735</v>
      </c>
      <c r="Y27" s="5">
        <f t="shared" si="10"/>
        <v>-1191</v>
      </c>
      <c r="Z27" s="100">
        <f t="shared" si="11"/>
        <v>0.38161993769470404</v>
      </c>
    </row>
    <row r="28" spans="1:26" s="89" customFormat="1" ht="21" customHeight="1" thickBot="1">
      <c r="A28" s="98">
        <v>51231</v>
      </c>
      <c r="B28" s="99" t="s">
        <v>122</v>
      </c>
      <c r="C28" s="32">
        <v>13</v>
      </c>
      <c r="D28" s="5">
        <v>141</v>
      </c>
      <c r="E28" s="5">
        <f t="shared" si="0"/>
        <v>128</v>
      </c>
      <c r="F28" s="100">
        <f t="shared" si="1"/>
        <v>10.846153846153847</v>
      </c>
      <c r="G28" s="32">
        <v>0</v>
      </c>
      <c r="H28" s="5">
        <v>14</v>
      </c>
      <c r="I28" s="5">
        <f t="shared" si="2"/>
        <v>14</v>
      </c>
      <c r="J28" s="100"/>
      <c r="K28" s="32">
        <v>20</v>
      </c>
      <c r="L28" s="5">
        <v>42</v>
      </c>
      <c r="M28" s="5">
        <f t="shared" si="4"/>
        <v>22</v>
      </c>
      <c r="N28" s="100">
        <f t="shared" si="5"/>
        <v>2.1</v>
      </c>
      <c r="O28" s="32">
        <v>59</v>
      </c>
      <c r="P28" s="5">
        <v>98</v>
      </c>
      <c r="Q28" s="5">
        <f t="shared" si="6"/>
        <v>39</v>
      </c>
      <c r="R28" s="100">
        <f t="shared" si="16"/>
        <v>1.6610169491525424</v>
      </c>
      <c r="S28" s="32">
        <v>52</v>
      </c>
      <c r="T28" s="5">
        <v>88</v>
      </c>
      <c r="U28" s="5">
        <f t="shared" si="7"/>
        <v>36</v>
      </c>
      <c r="V28" s="100">
        <f t="shared" si="17"/>
        <v>1.6923076923076923</v>
      </c>
      <c r="W28" s="32">
        <f t="shared" si="14"/>
        <v>144</v>
      </c>
      <c r="X28" s="5">
        <f t="shared" si="15"/>
        <v>383</v>
      </c>
      <c r="Y28" s="5">
        <f t="shared" si="10"/>
        <v>239</v>
      </c>
      <c r="Z28" s="100">
        <f t="shared" si="11"/>
        <v>2.6597222222222223</v>
      </c>
    </row>
    <row r="29" spans="1:26" s="89" customFormat="1" ht="21" customHeight="1" thickBot="1">
      <c r="A29" s="98">
        <v>51330</v>
      </c>
      <c r="B29" s="99" t="s">
        <v>123</v>
      </c>
      <c r="C29" s="32">
        <v>3</v>
      </c>
      <c r="D29" s="5">
        <v>11</v>
      </c>
      <c r="E29" s="5">
        <f t="shared" si="0"/>
        <v>8</v>
      </c>
      <c r="F29" s="100">
        <f t="shared" si="1"/>
        <v>3.6666666666666665</v>
      </c>
      <c r="G29" s="32">
        <v>0</v>
      </c>
      <c r="H29" s="5">
        <v>1</v>
      </c>
      <c r="I29" s="5">
        <f t="shared" si="2"/>
        <v>1</v>
      </c>
      <c r="J29" s="100"/>
      <c r="K29" s="32">
        <v>0</v>
      </c>
      <c r="L29" s="5">
        <v>1</v>
      </c>
      <c r="M29" s="5">
        <f t="shared" si="4"/>
        <v>1</v>
      </c>
      <c r="N29" s="100" t="e">
        <f t="shared" si="5"/>
        <v>#DIV/0!</v>
      </c>
      <c r="O29" s="32">
        <v>2</v>
      </c>
      <c r="P29" s="5">
        <v>1</v>
      </c>
      <c r="Q29" s="5">
        <f t="shared" si="6"/>
        <v>-1</v>
      </c>
      <c r="R29" s="100">
        <f t="shared" si="16"/>
        <v>0.5</v>
      </c>
      <c r="S29" s="32">
        <v>1</v>
      </c>
      <c r="T29" s="5">
        <v>1</v>
      </c>
      <c r="U29" s="5">
        <f t="shared" si="7"/>
        <v>0</v>
      </c>
      <c r="V29" s="100">
        <f t="shared" si="17"/>
        <v>1</v>
      </c>
      <c r="W29" s="32">
        <f t="shared" si="14"/>
        <v>6</v>
      </c>
      <c r="X29" s="5">
        <f t="shared" si="15"/>
        <v>15</v>
      </c>
      <c r="Y29" s="5">
        <f t="shared" si="10"/>
        <v>9</v>
      </c>
      <c r="Z29" s="100">
        <f t="shared" si="11"/>
        <v>2.5</v>
      </c>
    </row>
    <row r="30" spans="1:26" s="89" customFormat="1" ht="20.25" customHeight="1">
      <c r="A30" s="90">
        <v>51831</v>
      </c>
      <c r="B30" s="91" t="s">
        <v>124</v>
      </c>
      <c r="C30" s="92">
        <v>470</v>
      </c>
      <c r="D30" s="93">
        <v>320</v>
      </c>
      <c r="E30" s="93">
        <f t="shared" si="0"/>
        <v>-150</v>
      </c>
      <c r="F30" s="88">
        <f t="shared" si="1"/>
        <v>0.6808510638297872</v>
      </c>
      <c r="G30" s="92">
        <f>43+52*2+1260*2</f>
        <v>2667</v>
      </c>
      <c r="H30" s="93">
        <v>2680</v>
      </c>
      <c r="I30" s="93">
        <f t="shared" si="2"/>
        <v>13</v>
      </c>
      <c r="J30" s="88">
        <f aca="true" t="shared" si="18" ref="J30:J35">+H30/G30</f>
        <v>1.0048743907011624</v>
      </c>
      <c r="K30" s="92">
        <v>291</v>
      </c>
      <c r="L30" s="93">
        <v>185</v>
      </c>
      <c r="M30" s="93">
        <f t="shared" si="4"/>
        <v>-106</v>
      </c>
      <c r="N30" s="88">
        <f t="shared" si="5"/>
        <v>0.6357388316151202</v>
      </c>
      <c r="O30" s="92">
        <v>1056</v>
      </c>
      <c r="P30" s="93">
        <v>1180</v>
      </c>
      <c r="Q30" s="93">
        <f t="shared" si="6"/>
        <v>124</v>
      </c>
      <c r="R30" s="88">
        <f t="shared" si="16"/>
        <v>1.1174242424242424</v>
      </c>
      <c r="S30" s="92">
        <v>424</v>
      </c>
      <c r="T30" s="93">
        <v>670</v>
      </c>
      <c r="U30" s="93">
        <f t="shared" si="7"/>
        <v>246</v>
      </c>
      <c r="V30" s="88">
        <f t="shared" si="17"/>
        <v>1.580188679245283</v>
      </c>
      <c r="W30" s="92">
        <f t="shared" si="14"/>
        <v>4908</v>
      </c>
      <c r="X30" s="93">
        <f t="shared" si="15"/>
        <v>5035</v>
      </c>
      <c r="Y30" s="93">
        <f t="shared" si="10"/>
        <v>127</v>
      </c>
      <c r="Z30" s="88">
        <f t="shared" si="11"/>
        <v>1.025876120619397</v>
      </c>
    </row>
    <row r="31" spans="1:26" s="89" customFormat="1" ht="16.5" customHeight="1">
      <c r="A31" s="90">
        <v>51832</v>
      </c>
      <c r="B31" s="91" t="s">
        <v>125</v>
      </c>
      <c r="C31" s="92">
        <v>90</v>
      </c>
      <c r="D31" s="93">
        <v>120</v>
      </c>
      <c r="E31" s="93">
        <f t="shared" si="0"/>
        <v>30</v>
      </c>
      <c r="F31" s="88">
        <f t="shared" si="1"/>
        <v>1.3333333333333333</v>
      </c>
      <c r="G31" s="92">
        <v>101</v>
      </c>
      <c r="H31" s="93">
        <v>22</v>
      </c>
      <c r="I31" s="93">
        <f t="shared" si="2"/>
        <v>-79</v>
      </c>
      <c r="J31" s="88">
        <f t="shared" si="18"/>
        <v>0.21782178217821782</v>
      </c>
      <c r="K31" s="92">
        <v>394</v>
      </c>
      <c r="L31" s="93">
        <v>414</v>
      </c>
      <c r="M31" s="93">
        <f t="shared" si="4"/>
        <v>20</v>
      </c>
      <c r="N31" s="88">
        <f t="shared" si="5"/>
        <v>1.0507614213197969</v>
      </c>
      <c r="O31" s="92">
        <v>171</v>
      </c>
      <c r="P31" s="93">
        <v>150</v>
      </c>
      <c r="Q31" s="93">
        <f t="shared" si="6"/>
        <v>-21</v>
      </c>
      <c r="R31" s="88">
        <f t="shared" si="16"/>
        <v>0.8771929824561403</v>
      </c>
      <c r="S31" s="92">
        <v>8</v>
      </c>
      <c r="T31" s="93">
        <v>20</v>
      </c>
      <c r="U31" s="93">
        <f t="shared" si="7"/>
        <v>12</v>
      </c>
      <c r="V31" s="88">
        <f t="shared" si="17"/>
        <v>2.5</v>
      </c>
      <c r="W31" s="92">
        <f t="shared" si="14"/>
        <v>764</v>
      </c>
      <c r="X31" s="93">
        <f t="shared" si="15"/>
        <v>726</v>
      </c>
      <c r="Y31" s="93">
        <f t="shared" si="10"/>
        <v>-38</v>
      </c>
      <c r="Z31" s="88">
        <f t="shared" si="11"/>
        <v>0.9502617801047121</v>
      </c>
    </row>
    <row r="32" spans="1:26" s="89" customFormat="1" ht="16.5" customHeight="1">
      <c r="A32" s="90">
        <v>51833</v>
      </c>
      <c r="B32" s="91" t="s">
        <v>126</v>
      </c>
      <c r="C32" s="92">
        <v>16</v>
      </c>
      <c r="D32" s="93">
        <v>8</v>
      </c>
      <c r="E32" s="93">
        <f t="shared" si="0"/>
        <v>-8</v>
      </c>
      <c r="F32" s="88">
        <f t="shared" si="1"/>
        <v>0.5</v>
      </c>
      <c r="G32" s="92">
        <f>1*2</f>
        <v>2</v>
      </c>
      <c r="H32" s="93">
        <v>8</v>
      </c>
      <c r="I32" s="93">
        <f t="shared" si="2"/>
        <v>6</v>
      </c>
      <c r="J32" s="88">
        <f t="shared" si="18"/>
        <v>4</v>
      </c>
      <c r="K32" s="92">
        <v>8</v>
      </c>
      <c r="L32" s="93">
        <v>8</v>
      </c>
      <c r="M32" s="93">
        <f t="shared" si="4"/>
        <v>0</v>
      </c>
      <c r="N32" s="88">
        <f t="shared" si="5"/>
        <v>1</v>
      </c>
      <c r="O32" s="92">
        <v>6</v>
      </c>
      <c r="P32" s="93">
        <v>8</v>
      </c>
      <c r="Q32" s="93">
        <f t="shared" si="6"/>
        <v>2</v>
      </c>
      <c r="R32" s="88">
        <f t="shared" si="16"/>
        <v>1.3333333333333333</v>
      </c>
      <c r="S32" s="92">
        <v>7</v>
      </c>
      <c r="T32" s="93">
        <v>8</v>
      </c>
      <c r="U32" s="93">
        <f t="shared" si="7"/>
        <v>1</v>
      </c>
      <c r="V32" s="88">
        <f t="shared" si="17"/>
        <v>1.1428571428571428</v>
      </c>
      <c r="W32" s="92">
        <f t="shared" si="14"/>
        <v>39</v>
      </c>
      <c r="X32" s="93">
        <f t="shared" si="15"/>
        <v>40</v>
      </c>
      <c r="Y32" s="93">
        <f t="shared" si="10"/>
        <v>1</v>
      </c>
      <c r="Z32" s="88">
        <f t="shared" si="11"/>
        <v>1.0256410256410255</v>
      </c>
    </row>
    <row r="33" spans="1:26" s="89" customFormat="1" ht="16.5" customHeight="1">
      <c r="A33" s="90">
        <v>51834</v>
      </c>
      <c r="B33" s="91" t="s">
        <v>127</v>
      </c>
      <c r="C33" s="92">
        <v>697</v>
      </c>
      <c r="D33" s="93">
        <v>697</v>
      </c>
      <c r="E33" s="93">
        <f t="shared" si="0"/>
        <v>0</v>
      </c>
      <c r="F33" s="88">
        <f t="shared" si="1"/>
        <v>1</v>
      </c>
      <c r="G33" s="92">
        <f>89+89*2</f>
        <v>267</v>
      </c>
      <c r="H33" s="93">
        <v>259</v>
      </c>
      <c r="I33" s="93">
        <f t="shared" si="2"/>
        <v>-8</v>
      </c>
      <c r="J33" s="88">
        <f t="shared" si="18"/>
        <v>0.9700374531835206</v>
      </c>
      <c r="K33" s="92">
        <v>364</v>
      </c>
      <c r="L33" s="93">
        <v>140</v>
      </c>
      <c r="M33" s="93">
        <f t="shared" si="4"/>
        <v>-224</v>
      </c>
      <c r="N33" s="88">
        <f t="shared" si="5"/>
        <v>0.38461538461538464</v>
      </c>
      <c r="O33" s="92">
        <v>159</v>
      </c>
      <c r="P33" s="93">
        <v>100</v>
      </c>
      <c r="Q33" s="93">
        <f t="shared" si="6"/>
        <v>-59</v>
      </c>
      <c r="R33" s="88">
        <f t="shared" si="16"/>
        <v>0.6289308176100629</v>
      </c>
      <c r="S33" s="92">
        <v>248</v>
      </c>
      <c r="T33" s="93">
        <v>200</v>
      </c>
      <c r="U33" s="93">
        <f t="shared" si="7"/>
        <v>-48</v>
      </c>
      <c r="V33" s="88">
        <f t="shared" si="17"/>
        <v>0.8064516129032258</v>
      </c>
      <c r="W33" s="92">
        <f t="shared" si="14"/>
        <v>1735</v>
      </c>
      <c r="X33" s="93">
        <f t="shared" si="15"/>
        <v>1396</v>
      </c>
      <c r="Y33" s="93">
        <f t="shared" si="10"/>
        <v>-339</v>
      </c>
      <c r="Z33" s="88">
        <f t="shared" si="11"/>
        <v>0.8046109510086455</v>
      </c>
    </row>
    <row r="34" spans="1:26" s="89" customFormat="1" ht="16.5" customHeight="1">
      <c r="A34" s="90">
        <v>51835</v>
      </c>
      <c r="B34" s="91" t="s">
        <v>128</v>
      </c>
      <c r="C34" s="92">
        <v>137</v>
      </c>
      <c r="D34" s="93">
        <v>143</v>
      </c>
      <c r="E34" s="93">
        <f t="shared" si="0"/>
        <v>6</v>
      </c>
      <c r="F34" s="88">
        <f t="shared" si="1"/>
        <v>1.0437956204379562</v>
      </c>
      <c r="G34" s="92">
        <f>6+16*2</f>
        <v>38</v>
      </c>
      <c r="H34" s="93">
        <v>45</v>
      </c>
      <c r="I34" s="93">
        <f t="shared" si="2"/>
        <v>7</v>
      </c>
      <c r="J34" s="88">
        <f t="shared" si="18"/>
        <v>1.1842105263157894</v>
      </c>
      <c r="K34" s="92">
        <v>14</v>
      </c>
      <c r="L34" s="93">
        <v>20</v>
      </c>
      <c r="M34" s="93">
        <f t="shared" si="4"/>
        <v>6</v>
      </c>
      <c r="N34" s="88">
        <f t="shared" si="5"/>
        <v>1.4285714285714286</v>
      </c>
      <c r="O34" s="92">
        <v>85</v>
      </c>
      <c r="P34" s="93">
        <v>67</v>
      </c>
      <c r="Q34" s="93">
        <f t="shared" si="6"/>
        <v>-18</v>
      </c>
      <c r="R34" s="88">
        <f t="shared" si="16"/>
        <v>0.788235294117647</v>
      </c>
      <c r="S34" s="92">
        <v>174</v>
      </c>
      <c r="T34" s="93">
        <v>75</v>
      </c>
      <c r="U34" s="93">
        <f t="shared" si="7"/>
        <v>-99</v>
      </c>
      <c r="V34" s="88">
        <f t="shared" si="17"/>
        <v>0.43103448275862066</v>
      </c>
      <c r="W34" s="92">
        <f t="shared" si="14"/>
        <v>448</v>
      </c>
      <c r="X34" s="93">
        <f t="shared" si="15"/>
        <v>350</v>
      </c>
      <c r="Y34" s="93">
        <f t="shared" si="10"/>
        <v>-98</v>
      </c>
      <c r="Z34" s="88">
        <f t="shared" si="11"/>
        <v>0.78125</v>
      </c>
    </row>
    <row r="35" spans="1:26" s="89" customFormat="1" ht="16.5" customHeight="1">
      <c r="A35" s="90">
        <v>51836</v>
      </c>
      <c r="B35" s="91" t="s">
        <v>129</v>
      </c>
      <c r="C35" s="92">
        <v>167</v>
      </c>
      <c r="D35" s="93">
        <v>20</v>
      </c>
      <c r="E35" s="93">
        <f t="shared" si="0"/>
        <v>-147</v>
      </c>
      <c r="F35" s="88">
        <f t="shared" si="1"/>
        <v>0.11976047904191617</v>
      </c>
      <c r="G35" s="92"/>
      <c r="H35" s="93">
        <v>20</v>
      </c>
      <c r="I35" s="93">
        <f t="shared" si="2"/>
        <v>20</v>
      </c>
      <c r="J35" s="88" t="e">
        <f t="shared" si="18"/>
        <v>#DIV/0!</v>
      </c>
      <c r="K35" s="92"/>
      <c r="L35" s="93">
        <v>20</v>
      </c>
      <c r="M35" s="93">
        <f t="shared" si="4"/>
        <v>20</v>
      </c>
      <c r="N35" s="88" t="e">
        <f t="shared" si="5"/>
        <v>#DIV/0!</v>
      </c>
      <c r="O35" s="92">
        <v>115</v>
      </c>
      <c r="P35" s="93">
        <v>20</v>
      </c>
      <c r="Q35" s="93">
        <f t="shared" si="6"/>
        <v>-95</v>
      </c>
      <c r="R35" s="88">
        <f t="shared" si="16"/>
        <v>0.17391304347826086</v>
      </c>
      <c r="S35" s="92"/>
      <c r="T35" s="93">
        <v>20</v>
      </c>
      <c r="U35" s="93">
        <f t="shared" si="7"/>
        <v>20</v>
      </c>
      <c r="V35" s="88" t="e">
        <f t="shared" si="17"/>
        <v>#DIV/0!</v>
      </c>
      <c r="W35" s="92">
        <f t="shared" si="14"/>
        <v>282</v>
      </c>
      <c r="X35" s="93">
        <f t="shared" si="15"/>
        <v>100</v>
      </c>
      <c r="Y35" s="93">
        <f t="shared" si="10"/>
        <v>-182</v>
      </c>
      <c r="Z35" s="88">
        <f t="shared" si="11"/>
        <v>0.3546099290780142</v>
      </c>
    </row>
    <row r="36" spans="1:26" s="89" customFormat="1" ht="16.5" customHeight="1">
      <c r="A36" s="90">
        <v>51837</v>
      </c>
      <c r="B36" s="91" t="s">
        <v>130</v>
      </c>
      <c r="C36" s="92">
        <v>7</v>
      </c>
      <c r="D36" s="93">
        <v>16</v>
      </c>
      <c r="E36" s="93">
        <f t="shared" si="0"/>
        <v>9</v>
      </c>
      <c r="F36" s="88">
        <f t="shared" si="1"/>
        <v>2.2857142857142856</v>
      </c>
      <c r="G36" s="92"/>
      <c r="H36" s="93">
        <v>16</v>
      </c>
      <c r="I36" s="93">
        <f t="shared" si="2"/>
        <v>16</v>
      </c>
      <c r="J36" s="88"/>
      <c r="K36" s="92">
        <v>32</v>
      </c>
      <c r="L36" s="93">
        <v>16</v>
      </c>
      <c r="M36" s="93">
        <f t="shared" si="4"/>
        <v>-16</v>
      </c>
      <c r="N36" s="88">
        <f t="shared" si="5"/>
        <v>0.5</v>
      </c>
      <c r="O36" s="92">
        <v>28</v>
      </c>
      <c r="P36" s="93">
        <v>16</v>
      </c>
      <c r="Q36" s="93">
        <f t="shared" si="6"/>
        <v>-12</v>
      </c>
      <c r="R36" s="88">
        <f t="shared" si="16"/>
        <v>0.5714285714285714</v>
      </c>
      <c r="S36" s="92">
        <v>10</v>
      </c>
      <c r="T36" s="93">
        <v>16</v>
      </c>
      <c r="U36" s="93">
        <f t="shared" si="7"/>
        <v>6</v>
      </c>
      <c r="V36" s="88">
        <f t="shared" si="17"/>
        <v>1.6</v>
      </c>
      <c r="W36" s="92">
        <f t="shared" si="14"/>
        <v>77</v>
      </c>
      <c r="X36" s="93">
        <f t="shared" si="15"/>
        <v>80</v>
      </c>
      <c r="Y36" s="93">
        <f t="shared" si="10"/>
        <v>3</v>
      </c>
      <c r="Z36" s="88">
        <f t="shared" si="11"/>
        <v>1.0389610389610389</v>
      </c>
    </row>
    <row r="37" spans="1:26" s="89" customFormat="1" ht="16.5" customHeight="1">
      <c r="A37" s="90">
        <v>51839</v>
      </c>
      <c r="B37" s="91" t="s">
        <v>131</v>
      </c>
      <c r="C37" s="92">
        <v>51</v>
      </c>
      <c r="D37" s="93">
        <v>126</v>
      </c>
      <c r="E37" s="93">
        <f t="shared" si="0"/>
        <v>75</v>
      </c>
      <c r="F37" s="88">
        <f t="shared" si="1"/>
        <v>2.4705882352941178</v>
      </c>
      <c r="G37" s="92">
        <v>2</v>
      </c>
      <c r="H37" s="93">
        <v>32</v>
      </c>
      <c r="I37" s="93">
        <f t="shared" si="2"/>
        <v>30</v>
      </c>
      <c r="J37" s="88">
        <f>+H37/G37</f>
        <v>16</v>
      </c>
      <c r="K37" s="92">
        <v>53</v>
      </c>
      <c r="L37" s="93">
        <v>54</v>
      </c>
      <c r="M37" s="93">
        <f t="shared" si="4"/>
        <v>1</v>
      </c>
      <c r="N37" s="88">
        <f t="shared" si="5"/>
        <v>1.0188679245283019</v>
      </c>
      <c r="O37" s="92">
        <v>55</v>
      </c>
      <c r="P37" s="93">
        <v>92</v>
      </c>
      <c r="Q37" s="93">
        <f t="shared" si="6"/>
        <v>37</v>
      </c>
      <c r="R37" s="88">
        <f t="shared" si="16"/>
        <v>1.6727272727272726</v>
      </c>
      <c r="S37" s="92">
        <v>80</v>
      </c>
      <c r="T37" s="93">
        <v>91</v>
      </c>
      <c r="U37" s="93">
        <f t="shared" si="7"/>
        <v>11</v>
      </c>
      <c r="V37" s="88">
        <f t="shared" si="17"/>
        <v>1.1375</v>
      </c>
      <c r="W37" s="92">
        <f t="shared" si="14"/>
        <v>241</v>
      </c>
      <c r="X37" s="93">
        <f t="shared" si="15"/>
        <v>395</v>
      </c>
      <c r="Y37" s="93">
        <f t="shared" si="10"/>
        <v>154</v>
      </c>
      <c r="Z37" s="88">
        <f t="shared" si="11"/>
        <v>1.6390041493775933</v>
      </c>
    </row>
    <row r="38" spans="1:26" s="89" customFormat="1" ht="16.5" customHeight="1" thickBot="1">
      <c r="A38" s="90">
        <v>51841</v>
      </c>
      <c r="B38" s="91" t="s">
        <v>132</v>
      </c>
      <c r="C38" s="92">
        <v>268</v>
      </c>
      <c r="D38" s="93">
        <v>310</v>
      </c>
      <c r="E38" s="93">
        <f t="shared" si="0"/>
        <v>42</v>
      </c>
      <c r="F38" s="88">
        <f t="shared" si="1"/>
        <v>1.1567164179104477</v>
      </c>
      <c r="G38" s="92">
        <f>3+23*2</f>
        <v>49</v>
      </c>
      <c r="H38" s="93">
        <v>125</v>
      </c>
      <c r="I38" s="93">
        <f t="shared" si="2"/>
        <v>76</v>
      </c>
      <c r="J38" s="88">
        <f>+H38/G38</f>
        <v>2.5510204081632653</v>
      </c>
      <c r="K38" s="92">
        <v>110</v>
      </c>
      <c r="L38" s="93">
        <v>193</v>
      </c>
      <c r="M38" s="93">
        <f t="shared" si="4"/>
        <v>83</v>
      </c>
      <c r="N38" s="88">
        <f t="shared" si="5"/>
        <v>1.7545454545454546</v>
      </c>
      <c r="O38" s="92">
        <v>86</v>
      </c>
      <c r="P38" s="93">
        <v>216</v>
      </c>
      <c r="Q38" s="93">
        <f t="shared" si="6"/>
        <v>130</v>
      </c>
      <c r="R38" s="88">
        <f t="shared" si="16"/>
        <v>2.511627906976744</v>
      </c>
      <c r="S38" s="92">
        <v>314</v>
      </c>
      <c r="T38" s="93">
        <v>161</v>
      </c>
      <c r="U38" s="93">
        <f t="shared" si="7"/>
        <v>-153</v>
      </c>
      <c r="V38" s="88">
        <f t="shared" si="17"/>
        <v>0.5127388535031847</v>
      </c>
      <c r="W38" s="92">
        <f t="shared" si="14"/>
        <v>827</v>
      </c>
      <c r="X38" s="93">
        <f t="shared" si="15"/>
        <v>1005</v>
      </c>
      <c r="Y38" s="93">
        <f t="shared" si="10"/>
        <v>178</v>
      </c>
      <c r="Z38" s="88">
        <f t="shared" si="11"/>
        <v>1.215235792019347</v>
      </c>
    </row>
    <row r="39" spans="1:26" s="89" customFormat="1" ht="18.75" customHeight="1" thickBot="1">
      <c r="A39" s="98">
        <v>518</v>
      </c>
      <c r="B39" s="99" t="s">
        <v>133</v>
      </c>
      <c r="C39" s="32">
        <f>SUM(C30:C38)</f>
        <v>1903</v>
      </c>
      <c r="D39" s="5">
        <f>SUM(D30:D38)</f>
        <v>1760</v>
      </c>
      <c r="E39" s="5">
        <f t="shared" si="0"/>
        <v>-143</v>
      </c>
      <c r="F39" s="100">
        <f t="shared" si="1"/>
        <v>0.9248554913294798</v>
      </c>
      <c r="G39" s="32">
        <f>SUM(G30:G38)</f>
        <v>3126</v>
      </c>
      <c r="H39" s="5">
        <f>SUM(H30:H38)</f>
        <v>3207</v>
      </c>
      <c r="I39" s="5">
        <f t="shared" si="2"/>
        <v>81</v>
      </c>
      <c r="J39" s="100">
        <f>+H39/G39</f>
        <v>1.0259117082533589</v>
      </c>
      <c r="K39" s="32">
        <f>SUM(K30:K38)</f>
        <v>1266</v>
      </c>
      <c r="L39" s="5">
        <f>SUM(L30:L38)</f>
        <v>1050</v>
      </c>
      <c r="M39" s="5">
        <f t="shared" si="4"/>
        <v>-216</v>
      </c>
      <c r="N39" s="100">
        <f t="shared" si="5"/>
        <v>0.8293838862559242</v>
      </c>
      <c r="O39" s="32">
        <f>SUM(O30:O38)</f>
        <v>1761</v>
      </c>
      <c r="P39" s="5">
        <f>SUM(P30:P38)</f>
        <v>1849</v>
      </c>
      <c r="Q39" s="5">
        <f t="shared" si="6"/>
        <v>88</v>
      </c>
      <c r="R39" s="100">
        <f t="shared" si="16"/>
        <v>1.0499716070414538</v>
      </c>
      <c r="S39" s="32">
        <f>SUM(S30:S38)</f>
        <v>1265</v>
      </c>
      <c r="T39" s="5">
        <f>SUM(T30:T38)</f>
        <v>1261</v>
      </c>
      <c r="U39" s="5">
        <f t="shared" si="7"/>
        <v>-4</v>
      </c>
      <c r="V39" s="100">
        <f t="shared" si="17"/>
        <v>0.9968379446640316</v>
      </c>
      <c r="W39" s="32">
        <f t="shared" si="14"/>
        <v>9321</v>
      </c>
      <c r="X39" s="5">
        <f t="shared" si="15"/>
        <v>9127</v>
      </c>
      <c r="Y39" s="5">
        <f t="shared" si="10"/>
        <v>-194</v>
      </c>
      <c r="Z39" s="100">
        <f t="shared" si="11"/>
        <v>0.9791867825340629</v>
      </c>
    </row>
    <row r="40" spans="1:26" s="89" customFormat="1" ht="18.75" customHeight="1">
      <c r="A40" s="90">
        <v>52130</v>
      </c>
      <c r="B40" s="91" t="s">
        <v>134</v>
      </c>
      <c r="C40" s="92">
        <v>21963</v>
      </c>
      <c r="D40" s="93">
        <v>27666</v>
      </c>
      <c r="E40" s="93">
        <f t="shared" si="0"/>
        <v>5703</v>
      </c>
      <c r="F40" s="88">
        <f t="shared" si="1"/>
        <v>1.259663980330556</v>
      </c>
      <c r="G40" s="92">
        <v>8590</v>
      </c>
      <c r="H40" s="93">
        <v>10171</v>
      </c>
      <c r="I40" s="93">
        <f t="shared" si="2"/>
        <v>1581</v>
      </c>
      <c r="J40" s="88">
        <f>+H40/G40</f>
        <v>1.1840512223515716</v>
      </c>
      <c r="K40" s="92">
        <v>19915</v>
      </c>
      <c r="L40" s="93">
        <v>19432</v>
      </c>
      <c r="M40" s="93">
        <f t="shared" si="4"/>
        <v>-483</v>
      </c>
      <c r="N40" s="88">
        <f t="shared" si="5"/>
        <v>0.9757469244288225</v>
      </c>
      <c r="O40" s="92">
        <v>14855</v>
      </c>
      <c r="P40" s="93">
        <v>15304</v>
      </c>
      <c r="Q40" s="93">
        <f t="shared" si="6"/>
        <v>449</v>
      </c>
      <c r="R40" s="88">
        <f t="shared" si="16"/>
        <v>1.0302255132951867</v>
      </c>
      <c r="S40" s="92">
        <v>16983</v>
      </c>
      <c r="T40" s="93">
        <v>16400</v>
      </c>
      <c r="U40" s="93">
        <f t="shared" si="7"/>
        <v>-583</v>
      </c>
      <c r="V40" s="88">
        <f t="shared" si="17"/>
        <v>0.965671553906848</v>
      </c>
      <c r="W40" s="92">
        <f t="shared" si="14"/>
        <v>82306</v>
      </c>
      <c r="X40" s="93">
        <f t="shared" si="15"/>
        <v>88973</v>
      </c>
      <c r="Y40" s="93">
        <f t="shared" si="10"/>
        <v>6667</v>
      </c>
      <c r="Z40" s="88">
        <f t="shared" si="11"/>
        <v>1.081002600053459</v>
      </c>
    </row>
    <row r="41" spans="1:26" s="89" customFormat="1" ht="18.75" customHeight="1">
      <c r="A41" s="90"/>
      <c r="B41" s="91" t="s">
        <v>135</v>
      </c>
      <c r="C41" s="92">
        <f>24141-21963</f>
        <v>2178</v>
      </c>
      <c r="D41" s="93">
        <v>2150</v>
      </c>
      <c r="E41" s="93">
        <f t="shared" si="0"/>
        <v>-28</v>
      </c>
      <c r="F41" s="88">
        <f t="shared" si="1"/>
        <v>0.9871441689623508</v>
      </c>
      <c r="G41" s="92">
        <f>2965*2+3941-G40</f>
        <v>1281</v>
      </c>
      <c r="H41" s="93">
        <v>2100</v>
      </c>
      <c r="I41" s="93">
        <f t="shared" si="2"/>
        <v>819</v>
      </c>
      <c r="J41" s="88">
        <f>+H41/G41</f>
        <v>1.639344262295082</v>
      </c>
      <c r="K41" s="92">
        <f>20794-K40</f>
        <v>879</v>
      </c>
      <c r="L41" s="93">
        <v>260</v>
      </c>
      <c r="M41" s="93">
        <f t="shared" si="4"/>
        <v>-619</v>
      </c>
      <c r="N41" s="88">
        <f t="shared" si="5"/>
        <v>0.29579067121729236</v>
      </c>
      <c r="O41" s="92">
        <f>16217-O40</f>
        <v>1362</v>
      </c>
      <c r="P41" s="93">
        <v>1700</v>
      </c>
      <c r="Q41" s="93">
        <f t="shared" si="6"/>
        <v>338</v>
      </c>
      <c r="R41" s="88">
        <f t="shared" si="16"/>
        <v>1.2481644640234948</v>
      </c>
      <c r="S41" s="92">
        <f>17969-S40</f>
        <v>986</v>
      </c>
      <c r="T41" s="93">
        <v>1130</v>
      </c>
      <c r="U41" s="93">
        <f t="shared" si="7"/>
        <v>144</v>
      </c>
      <c r="V41" s="88">
        <f t="shared" si="17"/>
        <v>1.1460446247464504</v>
      </c>
      <c r="W41" s="92">
        <f t="shared" si="14"/>
        <v>6686</v>
      </c>
      <c r="X41" s="93">
        <f t="shared" si="15"/>
        <v>7340</v>
      </c>
      <c r="Y41" s="93">
        <f t="shared" si="10"/>
        <v>654</v>
      </c>
      <c r="Z41" s="88">
        <f t="shared" si="11"/>
        <v>1.0978163326353574</v>
      </c>
    </row>
    <row r="42" spans="1:26" s="89" customFormat="1" ht="18.75" customHeight="1">
      <c r="A42" s="90">
        <v>52430</v>
      </c>
      <c r="B42" s="91" t="s">
        <v>136</v>
      </c>
      <c r="C42" s="205">
        <v>8429</v>
      </c>
      <c r="D42" s="93">
        <v>7752</v>
      </c>
      <c r="E42" s="207">
        <f>+D42-C42+D43</f>
        <v>2007</v>
      </c>
      <c r="F42" s="209">
        <f>+(D42+D43)/C42</f>
        <v>1.238106536955748</v>
      </c>
      <c r="G42" s="205">
        <f>1378+1108*2</f>
        <v>3594</v>
      </c>
      <c r="H42" s="93">
        <v>3191</v>
      </c>
      <c r="I42" s="207">
        <f>+H42-G42+H43</f>
        <v>701</v>
      </c>
      <c r="J42" s="209">
        <f>+(H42+H43)/G42</f>
        <v>1.1950473010573177</v>
      </c>
      <c r="K42" s="205">
        <v>7075</v>
      </c>
      <c r="L42" s="93">
        <v>5120</v>
      </c>
      <c r="M42" s="207">
        <f>+L42-K42+L43</f>
        <v>-183</v>
      </c>
      <c r="N42" s="209">
        <f>+(L42+L43)/K42</f>
        <v>0.9741342756183745</v>
      </c>
      <c r="O42" s="205">
        <v>5644</v>
      </c>
      <c r="P42" s="93">
        <v>4421</v>
      </c>
      <c r="Q42" s="207">
        <f>+P42-O42+P43</f>
        <v>307</v>
      </c>
      <c r="R42" s="209">
        <f>+(P42+P43)/O42</f>
        <v>1.0543940467753365</v>
      </c>
      <c r="S42" s="205">
        <v>6262</v>
      </c>
      <c r="T42" s="93">
        <v>4558</v>
      </c>
      <c r="U42" s="207">
        <f>+T42-S42+T43</f>
        <v>-126</v>
      </c>
      <c r="V42" s="209">
        <f>+(T42+T43)/S42</f>
        <v>0.9798786330245928</v>
      </c>
      <c r="W42" s="205">
        <f>+C43+G43+K42+O42+S42</f>
        <v>18981</v>
      </c>
      <c r="X42" s="93">
        <f aca="true" t="shared" si="19" ref="X42:X56">+D42+H42+L42+P42+T42</f>
        <v>25042</v>
      </c>
      <c r="Y42" s="207">
        <f>+X42-W42+X43</f>
        <v>14729</v>
      </c>
      <c r="Z42" s="209">
        <f>+(X42+X43)/W42</f>
        <v>1.775986512828618</v>
      </c>
    </row>
    <row r="43" spans="1:26" s="89" customFormat="1" ht="21" customHeight="1">
      <c r="A43" s="90">
        <v>52431</v>
      </c>
      <c r="B43" s="91" t="s">
        <v>137</v>
      </c>
      <c r="C43" s="211"/>
      <c r="D43" s="93">
        <v>2684</v>
      </c>
      <c r="E43" s="208"/>
      <c r="F43" s="210"/>
      <c r="G43" s="211"/>
      <c r="H43" s="93">
        <v>1104</v>
      </c>
      <c r="I43" s="208"/>
      <c r="J43" s="210"/>
      <c r="K43" s="206"/>
      <c r="L43" s="93">
        <v>1772</v>
      </c>
      <c r="M43" s="208"/>
      <c r="N43" s="210"/>
      <c r="O43" s="206"/>
      <c r="P43" s="93">
        <v>1530</v>
      </c>
      <c r="Q43" s="208"/>
      <c r="R43" s="210"/>
      <c r="S43" s="206"/>
      <c r="T43" s="93">
        <v>1578</v>
      </c>
      <c r="U43" s="208"/>
      <c r="V43" s="210"/>
      <c r="W43" s="206"/>
      <c r="X43" s="93">
        <f t="shared" si="19"/>
        <v>8668</v>
      </c>
      <c r="Y43" s="208"/>
      <c r="Z43" s="210"/>
    </row>
    <row r="44" spans="1:26" s="89" customFormat="1" ht="21" customHeight="1">
      <c r="A44" s="90">
        <v>52730</v>
      </c>
      <c r="B44" s="91" t="s">
        <v>138</v>
      </c>
      <c r="C44" s="92"/>
      <c r="D44" s="93">
        <v>596</v>
      </c>
      <c r="E44" s="93">
        <f aca="true" t="shared" si="20" ref="E44:E57">+D44-C44</f>
        <v>596</v>
      </c>
      <c r="F44" s="88"/>
      <c r="G44" s="92"/>
      <c r="H44" s="93">
        <v>245</v>
      </c>
      <c r="I44" s="93">
        <f aca="true" t="shared" si="21" ref="I44:I57">+H44-G44</f>
        <v>245</v>
      </c>
      <c r="J44" s="88"/>
      <c r="K44" s="92"/>
      <c r="L44" s="93">
        <v>394</v>
      </c>
      <c r="M44" s="93">
        <f aca="true" t="shared" si="22" ref="M44:M57">+L44-K44</f>
        <v>394</v>
      </c>
      <c r="N44" s="88"/>
      <c r="O44" s="92"/>
      <c r="P44" s="93">
        <v>340</v>
      </c>
      <c r="Q44" s="93">
        <f aca="true" t="shared" si="23" ref="Q44:Q57">+P44-O44</f>
        <v>340</v>
      </c>
      <c r="R44" s="88"/>
      <c r="S44" s="92"/>
      <c r="T44" s="93">
        <v>351</v>
      </c>
      <c r="U44" s="93">
        <f aca="true" t="shared" si="24" ref="U44:U57">+T44-S44</f>
        <v>351</v>
      </c>
      <c r="V44" s="88"/>
      <c r="W44" s="92">
        <f aca="true" t="shared" si="25" ref="W44:W56">+C44+G44+K44+O44+S44</f>
        <v>0</v>
      </c>
      <c r="X44" s="93">
        <f t="shared" si="19"/>
        <v>1926</v>
      </c>
      <c r="Y44" s="93">
        <f aca="true" t="shared" si="26" ref="Y44:Y57">+X44-W44</f>
        <v>1926</v>
      </c>
      <c r="Z44" s="88"/>
    </row>
    <row r="45" spans="1:26" s="89" customFormat="1" ht="21" customHeight="1" thickBot="1">
      <c r="A45" s="90">
        <v>52731</v>
      </c>
      <c r="B45" s="91" t="s">
        <v>139</v>
      </c>
      <c r="C45" s="101">
        <v>575</v>
      </c>
      <c r="D45" s="102">
        <v>125</v>
      </c>
      <c r="E45" s="102">
        <f t="shared" si="20"/>
        <v>-450</v>
      </c>
      <c r="F45" s="88">
        <f>+D45/C45</f>
        <v>0.21739130434782608</v>
      </c>
      <c r="G45" s="101">
        <f>94+74*2</f>
        <v>242</v>
      </c>
      <c r="H45" s="102">
        <v>52</v>
      </c>
      <c r="I45" s="102">
        <f t="shared" si="21"/>
        <v>-190</v>
      </c>
      <c r="J45" s="88">
        <f>+H45/G45</f>
        <v>0.21487603305785125</v>
      </c>
      <c r="K45" s="101">
        <v>469</v>
      </c>
      <c r="L45" s="102">
        <v>83</v>
      </c>
      <c r="M45" s="102">
        <f t="shared" si="22"/>
        <v>-386</v>
      </c>
      <c r="N45" s="88">
        <f>+L45/K45</f>
        <v>0.17697228144989338</v>
      </c>
      <c r="O45" s="101">
        <v>388</v>
      </c>
      <c r="P45" s="102">
        <v>71</v>
      </c>
      <c r="Q45" s="102">
        <f t="shared" si="23"/>
        <v>-317</v>
      </c>
      <c r="R45" s="88">
        <f>+P45/O45</f>
        <v>0.18298969072164947</v>
      </c>
      <c r="S45" s="101">
        <v>339</v>
      </c>
      <c r="T45" s="102">
        <v>74</v>
      </c>
      <c r="U45" s="102">
        <f t="shared" si="24"/>
        <v>-265</v>
      </c>
      <c r="V45" s="88">
        <f>+T45/S45</f>
        <v>0.2182890855457227</v>
      </c>
      <c r="W45" s="101">
        <f t="shared" si="25"/>
        <v>2013</v>
      </c>
      <c r="X45" s="102">
        <f t="shared" si="19"/>
        <v>405</v>
      </c>
      <c r="Y45" s="102">
        <f t="shared" si="26"/>
        <v>-1608</v>
      </c>
      <c r="Z45" s="88">
        <f aca="true" t="shared" si="27" ref="Z45:Z57">+X45/W45</f>
        <v>0.20119225037257824</v>
      </c>
    </row>
    <row r="46" spans="1:26" s="89" customFormat="1" ht="18.75" customHeight="1" thickBot="1">
      <c r="A46" s="98">
        <v>521</v>
      </c>
      <c r="B46" s="99" t="s">
        <v>140</v>
      </c>
      <c r="C46" s="32">
        <f>SUM(C40:C45)</f>
        <v>33145</v>
      </c>
      <c r="D46" s="5">
        <f>SUM(D40:D45)</f>
        <v>40973</v>
      </c>
      <c r="E46" s="5">
        <f t="shared" si="20"/>
        <v>7828</v>
      </c>
      <c r="F46" s="100">
        <f>+D46/C46</f>
        <v>1.236174385276814</v>
      </c>
      <c r="G46" s="32">
        <f>SUM(G40:G45)</f>
        <v>13707</v>
      </c>
      <c r="H46" s="5">
        <f>SUM(H40:H45)</f>
        <v>16863</v>
      </c>
      <c r="I46" s="5">
        <f t="shared" si="21"/>
        <v>3156</v>
      </c>
      <c r="J46" s="100">
        <f>+H46/G46</f>
        <v>1.2302473188881593</v>
      </c>
      <c r="K46" s="32">
        <f>SUM(K40:K45)</f>
        <v>28338</v>
      </c>
      <c r="L46" s="5">
        <f>SUM(L40:L45)</f>
        <v>27061</v>
      </c>
      <c r="M46" s="5">
        <f t="shared" si="22"/>
        <v>-1277</v>
      </c>
      <c r="N46" s="100">
        <f>+L46/K46</f>
        <v>0.9549368339332345</v>
      </c>
      <c r="O46" s="32">
        <f>SUM(O40:O45)</f>
        <v>22249</v>
      </c>
      <c r="P46" s="5">
        <f>SUM(P40:P45)</f>
        <v>23366</v>
      </c>
      <c r="Q46" s="5">
        <f t="shared" si="23"/>
        <v>1117</v>
      </c>
      <c r="R46" s="100">
        <f>+P46/O46</f>
        <v>1.0502045035731944</v>
      </c>
      <c r="S46" s="32">
        <f>SUM(S40:S45)</f>
        <v>24570</v>
      </c>
      <c r="T46" s="5">
        <f>SUM(T40:T45)</f>
        <v>24091</v>
      </c>
      <c r="U46" s="5">
        <f t="shared" si="24"/>
        <v>-479</v>
      </c>
      <c r="V46" s="100">
        <f>+T46/S46</f>
        <v>0.9805046805046805</v>
      </c>
      <c r="W46" s="32">
        <f t="shared" si="25"/>
        <v>122009</v>
      </c>
      <c r="X46" s="5">
        <f t="shared" si="19"/>
        <v>132354</v>
      </c>
      <c r="Y46" s="5">
        <f t="shared" si="26"/>
        <v>10345</v>
      </c>
      <c r="Z46" s="100">
        <f t="shared" si="27"/>
        <v>1.084788827053742</v>
      </c>
    </row>
    <row r="47" spans="1:26" s="89" customFormat="1" ht="18.75" customHeight="1" thickBot="1">
      <c r="A47" s="98">
        <v>531</v>
      </c>
      <c r="B47" s="99" t="s">
        <v>141</v>
      </c>
      <c r="C47" s="32">
        <v>0</v>
      </c>
      <c r="D47" s="5">
        <v>0</v>
      </c>
      <c r="E47" s="5">
        <f t="shared" si="20"/>
        <v>0</v>
      </c>
      <c r="F47" s="100"/>
      <c r="G47" s="32">
        <v>0</v>
      </c>
      <c r="H47" s="5">
        <v>0</v>
      </c>
      <c r="I47" s="5">
        <f t="shared" si="21"/>
        <v>0</v>
      </c>
      <c r="J47" s="100"/>
      <c r="K47" s="32">
        <v>3</v>
      </c>
      <c r="L47" s="5">
        <v>0</v>
      </c>
      <c r="M47" s="5">
        <f t="shared" si="22"/>
        <v>-3</v>
      </c>
      <c r="N47" s="100">
        <f>+L47/K47</f>
        <v>0</v>
      </c>
      <c r="O47" s="32">
        <v>0</v>
      </c>
      <c r="P47" s="5">
        <v>0</v>
      </c>
      <c r="Q47" s="5">
        <f t="shared" si="23"/>
        <v>0</v>
      </c>
      <c r="R47" s="100"/>
      <c r="S47" s="32">
        <v>0</v>
      </c>
      <c r="T47" s="5">
        <v>0</v>
      </c>
      <c r="U47" s="5">
        <f t="shared" si="24"/>
        <v>0</v>
      </c>
      <c r="V47" s="100"/>
      <c r="W47" s="32">
        <f t="shared" si="25"/>
        <v>3</v>
      </c>
      <c r="X47" s="5">
        <f t="shared" si="19"/>
        <v>0</v>
      </c>
      <c r="Y47" s="5">
        <f t="shared" si="26"/>
        <v>-3</v>
      </c>
      <c r="Z47" s="100">
        <f t="shared" si="27"/>
        <v>0</v>
      </c>
    </row>
    <row r="48" spans="1:26" s="89" customFormat="1" ht="18.75" customHeight="1" thickBot="1">
      <c r="A48" s="98">
        <v>544</v>
      </c>
      <c r="B48" s="99" t="s">
        <v>142</v>
      </c>
      <c r="C48" s="32">
        <v>26</v>
      </c>
      <c r="D48" s="5">
        <v>20</v>
      </c>
      <c r="E48" s="5">
        <f t="shared" si="20"/>
        <v>-6</v>
      </c>
      <c r="F48" s="100">
        <f aca="true" t="shared" si="28" ref="F48:F57">+D48/C48</f>
        <v>0.7692307692307693</v>
      </c>
      <c r="G48" s="32">
        <v>0</v>
      </c>
      <c r="H48" s="5">
        <v>0</v>
      </c>
      <c r="I48" s="5">
        <f t="shared" si="21"/>
        <v>0</v>
      </c>
      <c r="J48" s="100"/>
      <c r="K48" s="32">
        <v>0</v>
      </c>
      <c r="L48" s="5">
        <v>0</v>
      </c>
      <c r="M48" s="5">
        <f t="shared" si="22"/>
        <v>0</v>
      </c>
      <c r="N48" s="100"/>
      <c r="O48" s="32">
        <v>0</v>
      </c>
      <c r="P48" s="5">
        <v>0</v>
      </c>
      <c r="Q48" s="5">
        <f t="shared" si="23"/>
        <v>0</v>
      </c>
      <c r="R48" s="100"/>
      <c r="S48" s="32">
        <v>0</v>
      </c>
      <c r="T48" s="5">
        <v>0</v>
      </c>
      <c r="U48" s="5">
        <f t="shared" si="24"/>
        <v>0</v>
      </c>
      <c r="V48" s="100"/>
      <c r="W48" s="32">
        <f t="shared" si="25"/>
        <v>26</v>
      </c>
      <c r="X48" s="5">
        <f t="shared" si="19"/>
        <v>20</v>
      </c>
      <c r="Y48" s="5">
        <f t="shared" si="26"/>
        <v>-6</v>
      </c>
      <c r="Z48" s="100">
        <f t="shared" si="27"/>
        <v>0.7692307692307693</v>
      </c>
    </row>
    <row r="49" spans="1:26" s="89" customFormat="1" ht="18" customHeight="1">
      <c r="A49" s="90">
        <v>54931</v>
      </c>
      <c r="B49" s="91" t="s">
        <v>143</v>
      </c>
      <c r="C49" s="92">
        <v>148</v>
      </c>
      <c r="D49" s="93">
        <v>364</v>
      </c>
      <c r="E49" s="93">
        <f t="shared" si="20"/>
        <v>216</v>
      </c>
      <c r="F49" s="88">
        <f t="shared" si="28"/>
        <v>2.4594594594594597</v>
      </c>
      <c r="G49" s="92">
        <f>8+67*2</f>
        <v>142</v>
      </c>
      <c r="H49" s="93">
        <v>109</v>
      </c>
      <c r="I49" s="93">
        <f t="shared" si="21"/>
        <v>-33</v>
      </c>
      <c r="J49" s="88">
        <f aca="true" t="shared" si="29" ref="J49:J57">+H49/G49</f>
        <v>0.7676056338028169</v>
      </c>
      <c r="K49" s="92">
        <v>215</v>
      </c>
      <c r="L49" s="93">
        <v>228</v>
      </c>
      <c r="M49" s="93">
        <f t="shared" si="22"/>
        <v>13</v>
      </c>
      <c r="N49" s="88">
        <f aca="true" t="shared" si="30" ref="N49:N57">+L49/K49</f>
        <v>1.0604651162790697</v>
      </c>
      <c r="O49" s="92">
        <v>273</v>
      </c>
      <c r="P49" s="93">
        <v>237</v>
      </c>
      <c r="Q49" s="93">
        <f t="shared" si="23"/>
        <v>-36</v>
      </c>
      <c r="R49" s="88">
        <f aca="true" t="shared" si="31" ref="R49:R54">+P49/O49</f>
        <v>0.8681318681318682</v>
      </c>
      <c r="S49" s="92">
        <v>375</v>
      </c>
      <c r="T49" s="93">
        <v>262</v>
      </c>
      <c r="U49" s="93">
        <f t="shared" si="24"/>
        <v>-113</v>
      </c>
      <c r="V49" s="88">
        <f aca="true" t="shared" si="32" ref="V49:V57">+T49/S49</f>
        <v>0.6986666666666667</v>
      </c>
      <c r="W49" s="92">
        <f t="shared" si="25"/>
        <v>1153</v>
      </c>
      <c r="X49" s="93">
        <f t="shared" si="19"/>
        <v>1200</v>
      </c>
      <c r="Y49" s="93">
        <f t="shared" si="26"/>
        <v>47</v>
      </c>
      <c r="Z49" s="88">
        <f t="shared" si="27"/>
        <v>1.0407632263660018</v>
      </c>
    </row>
    <row r="50" spans="1:26" s="89" customFormat="1" ht="21.75" customHeight="1">
      <c r="A50" s="90">
        <v>54932</v>
      </c>
      <c r="B50" s="91" t="s">
        <v>144</v>
      </c>
      <c r="C50" s="92">
        <v>24</v>
      </c>
      <c r="D50" s="93">
        <v>25</v>
      </c>
      <c r="E50" s="93">
        <f t="shared" si="20"/>
        <v>1</v>
      </c>
      <c r="F50" s="88">
        <f t="shared" si="28"/>
        <v>1.0416666666666667</v>
      </c>
      <c r="G50" s="92">
        <f>1+4*2</f>
        <v>9</v>
      </c>
      <c r="H50" s="93">
        <v>8</v>
      </c>
      <c r="I50" s="93">
        <f t="shared" si="21"/>
        <v>-1</v>
      </c>
      <c r="J50" s="88">
        <f t="shared" si="29"/>
        <v>0.8888888888888888</v>
      </c>
      <c r="K50" s="92"/>
      <c r="L50" s="93">
        <v>20</v>
      </c>
      <c r="M50" s="93">
        <f t="shared" si="22"/>
        <v>20</v>
      </c>
      <c r="N50" s="88" t="e">
        <f t="shared" si="30"/>
        <v>#DIV/0!</v>
      </c>
      <c r="O50" s="92">
        <v>-112</v>
      </c>
      <c r="P50" s="93">
        <v>10</v>
      </c>
      <c r="Q50" s="93">
        <f t="shared" si="23"/>
        <v>122</v>
      </c>
      <c r="R50" s="88">
        <f t="shared" si="31"/>
        <v>-0.08928571428571429</v>
      </c>
      <c r="S50" s="92"/>
      <c r="T50" s="93">
        <v>11</v>
      </c>
      <c r="U50" s="93">
        <f t="shared" si="24"/>
        <v>11</v>
      </c>
      <c r="V50" s="88" t="e">
        <f t="shared" si="32"/>
        <v>#DIV/0!</v>
      </c>
      <c r="W50" s="92">
        <f t="shared" si="25"/>
        <v>-79</v>
      </c>
      <c r="X50" s="93">
        <f t="shared" si="19"/>
        <v>74</v>
      </c>
      <c r="Y50" s="93">
        <f t="shared" si="26"/>
        <v>153</v>
      </c>
      <c r="Z50" s="88">
        <f t="shared" si="27"/>
        <v>-0.9367088607594937</v>
      </c>
    </row>
    <row r="51" spans="1:26" s="89" customFormat="1" ht="21.75" customHeight="1">
      <c r="A51" s="90">
        <v>54934</v>
      </c>
      <c r="B51" s="91" t="s">
        <v>145</v>
      </c>
      <c r="C51" s="92">
        <v>142</v>
      </c>
      <c r="D51" s="93">
        <v>123</v>
      </c>
      <c r="E51" s="93">
        <f t="shared" si="20"/>
        <v>-19</v>
      </c>
      <c r="F51" s="88">
        <f t="shared" si="28"/>
        <v>0.8661971830985915</v>
      </c>
      <c r="G51" s="92">
        <v>12</v>
      </c>
      <c r="H51" s="93">
        <v>43</v>
      </c>
      <c r="I51" s="93">
        <f t="shared" si="21"/>
        <v>31</v>
      </c>
      <c r="J51" s="88">
        <f t="shared" si="29"/>
        <v>3.5833333333333335</v>
      </c>
      <c r="K51" s="92">
        <v>133</v>
      </c>
      <c r="L51" s="93">
        <v>29</v>
      </c>
      <c r="M51" s="93">
        <f t="shared" si="22"/>
        <v>-104</v>
      </c>
      <c r="N51" s="88">
        <f t="shared" si="30"/>
        <v>0.21804511278195488</v>
      </c>
      <c r="O51" s="92">
        <v>3</v>
      </c>
      <c r="P51" s="93">
        <v>84</v>
      </c>
      <c r="Q51" s="93">
        <f t="shared" si="23"/>
        <v>81</v>
      </c>
      <c r="R51" s="88">
        <f t="shared" si="31"/>
        <v>28</v>
      </c>
      <c r="S51" s="92">
        <v>3</v>
      </c>
      <c r="T51" s="93">
        <v>86</v>
      </c>
      <c r="U51" s="93">
        <f t="shared" si="24"/>
        <v>83</v>
      </c>
      <c r="V51" s="88">
        <f t="shared" si="32"/>
        <v>28.666666666666668</v>
      </c>
      <c r="W51" s="92">
        <f t="shared" si="25"/>
        <v>293</v>
      </c>
      <c r="X51" s="93">
        <f t="shared" si="19"/>
        <v>365</v>
      </c>
      <c r="Y51" s="93">
        <f t="shared" si="26"/>
        <v>72</v>
      </c>
      <c r="Z51" s="88">
        <f t="shared" si="27"/>
        <v>1.2457337883959045</v>
      </c>
    </row>
    <row r="52" spans="1:26" s="89" customFormat="1" ht="21.75" customHeight="1" thickBot="1">
      <c r="A52" s="90">
        <v>54935</v>
      </c>
      <c r="B52" s="91" t="s">
        <v>146</v>
      </c>
      <c r="C52" s="92">
        <v>112</v>
      </c>
      <c r="D52" s="93">
        <v>59</v>
      </c>
      <c r="E52" s="93">
        <f t="shared" si="20"/>
        <v>-53</v>
      </c>
      <c r="F52" s="88">
        <f t="shared" si="28"/>
        <v>0.5267857142857143</v>
      </c>
      <c r="G52" s="92">
        <f>4+9*2</f>
        <v>22</v>
      </c>
      <c r="H52" s="93">
        <v>24</v>
      </c>
      <c r="I52" s="93">
        <f t="shared" si="21"/>
        <v>2</v>
      </c>
      <c r="J52" s="88">
        <f t="shared" si="29"/>
        <v>1.0909090909090908</v>
      </c>
      <c r="K52" s="92">
        <v>17</v>
      </c>
      <c r="L52" s="93">
        <v>41</v>
      </c>
      <c r="M52" s="93">
        <f t="shared" si="22"/>
        <v>24</v>
      </c>
      <c r="N52" s="88">
        <f t="shared" si="30"/>
        <v>2.411764705882353</v>
      </c>
      <c r="O52" s="92">
        <v>15</v>
      </c>
      <c r="P52" s="93">
        <v>35</v>
      </c>
      <c r="Q52" s="93">
        <f t="shared" si="23"/>
        <v>20</v>
      </c>
      <c r="R52" s="88">
        <f t="shared" si="31"/>
        <v>2.3333333333333335</v>
      </c>
      <c r="S52" s="92">
        <v>15</v>
      </c>
      <c r="T52" s="93">
        <v>36</v>
      </c>
      <c r="U52" s="93">
        <f t="shared" si="24"/>
        <v>21</v>
      </c>
      <c r="V52" s="88">
        <f t="shared" si="32"/>
        <v>2.4</v>
      </c>
      <c r="W52" s="92">
        <f t="shared" si="25"/>
        <v>181</v>
      </c>
      <c r="X52" s="93">
        <f t="shared" si="19"/>
        <v>195</v>
      </c>
      <c r="Y52" s="93">
        <f t="shared" si="26"/>
        <v>14</v>
      </c>
      <c r="Z52" s="88">
        <f t="shared" si="27"/>
        <v>1.0773480662983426</v>
      </c>
    </row>
    <row r="53" spans="1:26" s="89" customFormat="1" ht="18.75" customHeight="1" thickBot="1">
      <c r="A53" s="98">
        <v>549</v>
      </c>
      <c r="B53" s="99" t="s">
        <v>147</v>
      </c>
      <c r="C53" s="32">
        <f>SUM(C49:C52)</f>
        <v>426</v>
      </c>
      <c r="D53" s="5">
        <f>SUM(D49:D52)</f>
        <v>571</v>
      </c>
      <c r="E53" s="5">
        <f t="shared" si="20"/>
        <v>145</v>
      </c>
      <c r="F53" s="100">
        <f t="shared" si="28"/>
        <v>1.34037558685446</v>
      </c>
      <c r="G53" s="32">
        <f>SUM(G49:G52)</f>
        <v>185</v>
      </c>
      <c r="H53" s="5">
        <f>SUM(H49:H52)</f>
        <v>184</v>
      </c>
      <c r="I53" s="5">
        <f t="shared" si="21"/>
        <v>-1</v>
      </c>
      <c r="J53" s="100">
        <f t="shared" si="29"/>
        <v>0.9945945945945946</v>
      </c>
      <c r="K53" s="32">
        <f>SUM(K49:K52)</f>
        <v>365</v>
      </c>
      <c r="L53" s="5">
        <f>SUM(L49:L52)</f>
        <v>318</v>
      </c>
      <c r="M53" s="5">
        <f t="shared" si="22"/>
        <v>-47</v>
      </c>
      <c r="N53" s="100">
        <f t="shared" si="30"/>
        <v>0.8712328767123287</v>
      </c>
      <c r="O53" s="32">
        <f>SUM(O49:O52)</f>
        <v>179</v>
      </c>
      <c r="P53" s="5">
        <f>SUM(P49:P52)</f>
        <v>366</v>
      </c>
      <c r="Q53" s="5">
        <f t="shared" si="23"/>
        <v>187</v>
      </c>
      <c r="R53" s="100">
        <f t="shared" si="31"/>
        <v>2.0446927374301676</v>
      </c>
      <c r="S53" s="32">
        <f>SUM(S49:S52)</f>
        <v>393</v>
      </c>
      <c r="T53" s="5">
        <f>SUM(T49:T52)</f>
        <v>395</v>
      </c>
      <c r="U53" s="5">
        <f t="shared" si="24"/>
        <v>2</v>
      </c>
      <c r="V53" s="100">
        <f t="shared" si="32"/>
        <v>1.005089058524173</v>
      </c>
      <c r="W53" s="32">
        <f t="shared" si="25"/>
        <v>1548</v>
      </c>
      <c r="X53" s="5">
        <f t="shared" si="19"/>
        <v>1834</v>
      </c>
      <c r="Y53" s="5">
        <f t="shared" si="26"/>
        <v>286</v>
      </c>
      <c r="Z53" s="100">
        <f t="shared" si="27"/>
        <v>1.1847545219638242</v>
      </c>
    </row>
    <row r="54" spans="1:26" s="89" customFormat="1" ht="18.75" customHeight="1" thickBot="1">
      <c r="A54" s="98">
        <v>551</v>
      </c>
      <c r="B54" s="99" t="s">
        <v>148</v>
      </c>
      <c r="C54" s="32">
        <v>3669</v>
      </c>
      <c r="D54" s="5">
        <v>3755</v>
      </c>
      <c r="E54" s="5">
        <f t="shared" si="20"/>
        <v>86</v>
      </c>
      <c r="F54" s="100">
        <f t="shared" si="28"/>
        <v>1.023439629326792</v>
      </c>
      <c r="G54" s="32">
        <f>9+326*2</f>
        <v>661</v>
      </c>
      <c r="H54" s="5">
        <v>675</v>
      </c>
      <c r="I54" s="5">
        <f t="shared" si="21"/>
        <v>14</v>
      </c>
      <c r="J54" s="100">
        <f t="shared" si="29"/>
        <v>1.021180030257186</v>
      </c>
      <c r="K54" s="32">
        <v>2340</v>
      </c>
      <c r="L54" s="5">
        <v>2584</v>
      </c>
      <c r="M54" s="5">
        <f t="shared" si="22"/>
        <v>244</v>
      </c>
      <c r="N54" s="100">
        <f t="shared" si="30"/>
        <v>1.1042735042735043</v>
      </c>
      <c r="O54" s="32">
        <v>1603</v>
      </c>
      <c r="P54" s="5">
        <v>1739</v>
      </c>
      <c r="Q54" s="5">
        <f t="shared" si="23"/>
        <v>136</v>
      </c>
      <c r="R54" s="100">
        <f t="shared" si="31"/>
        <v>1.084840923268871</v>
      </c>
      <c r="S54" s="32">
        <v>1653</v>
      </c>
      <c r="T54" s="5">
        <v>1921</v>
      </c>
      <c r="U54" s="5">
        <f t="shared" si="24"/>
        <v>268</v>
      </c>
      <c r="V54" s="100">
        <f t="shared" si="32"/>
        <v>1.162129461584997</v>
      </c>
      <c r="W54" s="32">
        <f t="shared" si="25"/>
        <v>9926</v>
      </c>
      <c r="X54" s="5">
        <f t="shared" si="19"/>
        <v>10674</v>
      </c>
      <c r="Y54" s="5">
        <f t="shared" si="26"/>
        <v>748</v>
      </c>
      <c r="Z54" s="100">
        <f t="shared" si="27"/>
        <v>1.075357646584727</v>
      </c>
    </row>
    <row r="55" spans="1:26" s="89" customFormat="1" ht="18.75" customHeight="1" thickBot="1">
      <c r="A55" s="98">
        <v>548</v>
      </c>
      <c r="B55" s="99" t="s">
        <v>149</v>
      </c>
      <c r="C55" s="32">
        <v>58</v>
      </c>
      <c r="D55" s="5"/>
      <c r="E55" s="5">
        <f t="shared" si="20"/>
        <v>-58</v>
      </c>
      <c r="F55" s="100">
        <f t="shared" si="28"/>
        <v>0</v>
      </c>
      <c r="G55" s="32">
        <v>47</v>
      </c>
      <c r="H55" s="5"/>
      <c r="I55" s="5">
        <f t="shared" si="21"/>
        <v>-47</v>
      </c>
      <c r="J55" s="100">
        <f t="shared" si="29"/>
        <v>0</v>
      </c>
      <c r="K55" s="32">
        <v>0</v>
      </c>
      <c r="L55" s="5"/>
      <c r="M55" s="5">
        <f t="shared" si="22"/>
        <v>0</v>
      </c>
      <c r="N55" s="100" t="e">
        <f t="shared" si="30"/>
        <v>#DIV/0!</v>
      </c>
      <c r="O55" s="32">
        <v>0</v>
      </c>
      <c r="P55" s="5">
        <v>0</v>
      </c>
      <c r="Q55" s="5">
        <f t="shared" si="23"/>
        <v>0</v>
      </c>
      <c r="R55" s="100"/>
      <c r="S55" s="32">
        <v>0</v>
      </c>
      <c r="T55" s="5">
        <v>0</v>
      </c>
      <c r="U55" s="5">
        <f t="shared" si="24"/>
        <v>0</v>
      </c>
      <c r="V55" s="100" t="e">
        <f t="shared" si="32"/>
        <v>#DIV/0!</v>
      </c>
      <c r="W55" s="32">
        <f t="shared" si="25"/>
        <v>105</v>
      </c>
      <c r="X55" s="5">
        <f t="shared" si="19"/>
        <v>0</v>
      </c>
      <c r="Y55" s="5">
        <f t="shared" si="26"/>
        <v>-105</v>
      </c>
      <c r="Z55" s="100">
        <f t="shared" si="27"/>
        <v>0</v>
      </c>
    </row>
    <row r="56" spans="1:26" s="89" customFormat="1" ht="18.75" customHeight="1" thickBot="1">
      <c r="A56" s="79">
        <v>591</v>
      </c>
      <c r="B56" s="103" t="s">
        <v>150</v>
      </c>
      <c r="C56" s="104">
        <v>129</v>
      </c>
      <c r="D56" s="105">
        <v>87</v>
      </c>
      <c r="E56" s="105">
        <f t="shared" si="20"/>
        <v>-42</v>
      </c>
      <c r="F56" s="100">
        <f t="shared" si="28"/>
        <v>0.6744186046511628</v>
      </c>
      <c r="G56" s="104">
        <v>0</v>
      </c>
      <c r="H56" s="105">
        <v>0</v>
      </c>
      <c r="I56" s="105">
        <f t="shared" si="21"/>
        <v>0</v>
      </c>
      <c r="J56" s="100" t="e">
        <f t="shared" si="29"/>
        <v>#DIV/0!</v>
      </c>
      <c r="K56" s="104">
        <v>0</v>
      </c>
      <c r="L56" s="105">
        <v>0</v>
      </c>
      <c r="M56" s="105">
        <f t="shared" si="22"/>
        <v>0</v>
      </c>
      <c r="N56" s="100" t="e">
        <f t="shared" si="30"/>
        <v>#DIV/0!</v>
      </c>
      <c r="O56" s="104">
        <v>0</v>
      </c>
      <c r="P56" s="105">
        <v>0</v>
      </c>
      <c r="Q56" s="105">
        <f t="shared" si="23"/>
        <v>0</v>
      </c>
      <c r="R56" s="100"/>
      <c r="S56" s="104">
        <v>0</v>
      </c>
      <c r="T56" s="105">
        <v>0</v>
      </c>
      <c r="U56" s="105">
        <f t="shared" si="24"/>
        <v>0</v>
      </c>
      <c r="V56" s="100" t="e">
        <f t="shared" si="32"/>
        <v>#DIV/0!</v>
      </c>
      <c r="W56" s="104">
        <f t="shared" si="25"/>
        <v>129</v>
      </c>
      <c r="X56" s="105">
        <f t="shared" si="19"/>
        <v>87</v>
      </c>
      <c r="Y56" s="105">
        <f t="shared" si="26"/>
        <v>-42</v>
      </c>
      <c r="Z56" s="100">
        <f t="shared" si="27"/>
        <v>0.6744186046511628</v>
      </c>
    </row>
    <row r="57" spans="1:26" s="89" customFormat="1" ht="17.25" customHeight="1" thickBot="1">
      <c r="A57" s="212" t="s">
        <v>28</v>
      </c>
      <c r="B57" s="213"/>
      <c r="C57" s="16">
        <f>+C56+C55+C54+C53+C48+C47+C46+C39++C29+C28+C27+C26+C25+C19</f>
        <v>44175</v>
      </c>
      <c r="D57" s="5">
        <f>+D56+D55+D54+D53+D48+D47+D46+D39++D29+D28+D27+D26+D25+D19</f>
        <v>53676</v>
      </c>
      <c r="E57" s="5">
        <f t="shared" si="20"/>
        <v>9501</v>
      </c>
      <c r="F57" s="100">
        <f t="shared" si="28"/>
        <v>1.215076400679117</v>
      </c>
      <c r="G57" s="16">
        <f>+G56+G55+G54+G53+G48+G47+G46+G39++G29+G28+G27+G26+G25+G19</f>
        <v>19740</v>
      </c>
      <c r="H57" s="5">
        <f>+H56+H55+H54+H53+H48+H47+H46+H39++H29+H28+H27+H26+H25+H19</f>
        <v>23016</v>
      </c>
      <c r="I57" s="5">
        <f t="shared" si="21"/>
        <v>3276</v>
      </c>
      <c r="J57" s="100">
        <f t="shared" si="29"/>
        <v>1.1659574468085105</v>
      </c>
      <c r="K57" s="16">
        <f>+K56+K55+K54+K53+K48+K47+K46+K39++K29+K28+K27+K26+K25+K19</f>
        <v>35994</v>
      </c>
      <c r="L57" s="5">
        <f>+L56+L55+L54+L53+L48+L47+L46+L39++L29+L28+L27+L26+L25+L19</f>
        <v>34724</v>
      </c>
      <c r="M57" s="5">
        <f t="shared" si="22"/>
        <v>-1270</v>
      </c>
      <c r="N57" s="100">
        <f t="shared" si="30"/>
        <v>0.964716341612491</v>
      </c>
      <c r="O57" s="16">
        <f>+O56+O55+O54+O53+O48+O47+O46+O39++O29+O28+O27+O26+O25+O19</f>
        <v>28777</v>
      </c>
      <c r="P57" s="5">
        <f>+P56+P55+P54+P53+P48+P47+P46+P39++P29+P28+P27+P26+P25+P19</f>
        <v>30421</v>
      </c>
      <c r="Q57" s="5">
        <f t="shared" si="23"/>
        <v>1644</v>
      </c>
      <c r="R57" s="100">
        <f>+P57/O57</f>
        <v>1.057128957153282</v>
      </c>
      <c r="S57" s="16">
        <f>+S56+S55+S54+S53+S48+S47+S46+S39++S29+S28+S27+S26+S25+S19</f>
        <v>30957</v>
      </c>
      <c r="T57" s="5">
        <f>+T56+T55+T54+T53+T48+T47+T46+T39++T29+T28+T27+T26+T25+T19</f>
        <v>31102</v>
      </c>
      <c r="U57" s="5">
        <f t="shared" si="24"/>
        <v>145</v>
      </c>
      <c r="V57" s="100">
        <f t="shared" si="32"/>
        <v>1.004683916400168</v>
      </c>
      <c r="W57" s="16">
        <f>+W56+W55+W54+W53+W48+W47+W46+W39++W29+W28+W27+W26+W25+W19-31</f>
        <v>159612</v>
      </c>
      <c r="X57" s="5">
        <f>+X56+X55+X54+X53+X48+X47+X46+X39++X29+X28+X27+X26+X25+X19</f>
        <v>172939</v>
      </c>
      <c r="Y57" s="5">
        <f t="shared" si="26"/>
        <v>13327</v>
      </c>
      <c r="Z57" s="100">
        <f t="shared" si="27"/>
        <v>1.083496228353758</v>
      </c>
    </row>
  </sheetData>
  <mergeCells count="27">
    <mergeCell ref="A57:B57"/>
    <mergeCell ref="S3:V3"/>
    <mergeCell ref="W3:Z3"/>
    <mergeCell ref="B3:B4"/>
    <mergeCell ref="A3:A4"/>
    <mergeCell ref="C3:F3"/>
    <mergeCell ref="G3:J3"/>
    <mergeCell ref="K3:N3"/>
    <mergeCell ref="O3:R3"/>
    <mergeCell ref="C42:C43"/>
    <mergeCell ref="E42:E43"/>
    <mergeCell ref="M42:M43"/>
    <mergeCell ref="N42:N43"/>
    <mergeCell ref="Q42:Q43"/>
    <mergeCell ref="G42:G43"/>
    <mergeCell ref="K42:K43"/>
    <mergeCell ref="O42:O43"/>
    <mergeCell ref="F42:F43"/>
    <mergeCell ref="J42:J43"/>
    <mergeCell ref="I42:I43"/>
    <mergeCell ref="W42:W43"/>
    <mergeCell ref="Y42:Y43"/>
    <mergeCell ref="Z42:Z43"/>
    <mergeCell ref="R42:R43"/>
    <mergeCell ref="U42:U43"/>
    <mergeCell ref="V42:V43"/>
    <mergeCell ref="S42:S43"/>
  </mergeCells>
  <printOptions horizontalCentered="1"/>
  <pageMargins left="0.1968503937007874" right="0.1968503937007874" top="0.55" bottom="0.2362204724409449" header="0.1968503937007874" footer="0.196850393700787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schallnerova</cp:lastModifiedBy>
  <cp:lastPrinted>2005-06-16T05:58:25Z</cp:lastPrinted>
  <dcterms:created xsi:type="dcterms:W3CDTF">2005-02-16T09:39:17Z</dcterms:created>
  <dcterms:modified xsi:type="dcterms:W3CDTF">2005-06-16T08:14:41Z</dcterms:modified>
  <cp:category/>
  <cp:version/>
  <cp:contentType/>
  <cp:contentStatus/>
</cp:coreProperties>
</file>