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0"/>
  </bookViews>
  <sheets>
    <sheet name="RK-40-2016-107, pr03" sheetId="1" r:id="rId1"/>
  </sheets>
  <definedNames>
    <definedName name="_xlnm.Print_Area" localSheetId="0">'RK-40-2016-107, pr03'!$A$1:$AB$59</definedName>
  </definedNames>
  <calcPr fullCalcOnLoad="1"/>
</workbook>
</file>

<file path=xl/comments1.xml><?xml version="1.0" encoding="utf-8"?>
<comments xmlns="http://schemas.openxmlformats.org/spreadsheetml/2006/main">
  <authors>
    <author>Fialkov? Veronika Ing.</author>
  </authors>
  <commentList>
    <comment ref="V4" authorId="0">
      <text>
        <r>
          <rPr>
            <b/>
            <sz val="9"/>
            <rFont val="Tahoma"/>
            <family val="2"/>
          </rPr>
          <t>Fialková Veronika Ing.:</t>
        </r>
        <r>
          <rPr>
            <sz val="9"/>
            <rFont val="Tahoma"/>
            <family val="2"/>
          </rPr>
          <t xml:space="preserve">
první etapa začíná rovněž jako začátek projektu???</t>
        </r>
      </text>
    </comment>
  </commentList>
</comments>
</file>

<file path=xl/sharedStrings.xml><?xml version="1.0" encoding="utf-8"?>
<sst xmlns="http://schemas.openxmlformats.org/spreadsheetml/2006/main" count="172" uniqueCount="125">
  <si>
    <t>Celkem</t>
  </si>
  <si>
    <t>cena bez DPH</t>
  </si>
  <si>
    <t>Kód</t>
  </si>
  <si>
    <t>Název</t>
  </si>
  <si>
    <t>1</t>
  </si>
  <si>
    <t>Celkové výdaje</t>
  </si>
  <si>
    <t>1.1</t>
  </si>
  <si>
    <t>Celkové způsobilé výdaje</t>
  </si>
  <si>
    <t>1.1.1</t>
  </si>
  <si>
    <t>Celkové způsobilé výdaje - investiční</t>
  </si>
  <si>
    <t>1.1.1.1</t>
  </si>
  <si>
    <t>Stavební práce</t>
  </si>
  <si>
    <t>1.1.1.1.1</t>
  </si>
  <si>
    <t>Nákup pozemků</t>
  </si>
  <si>
    <t>1.1.1.1.2</t>
  </si>
  <si>
    <t>Stavby</t>
  </si>
  <si>
    <t>1.1.1.1.2.1</t>
  </si>
  <si>
    <t>Stavby - hlavní aktivita</t>
  </si>
  <si>
    <t>1.1.1.1.3</t>
  </si>
  <si>
    <t>Demolice</t>
  </si>
  <si>
    <t>1.1.1.1.4</t>
  </si>
  <si>
    <t>Zabezpečení výstavby</t>
  </si>
  <si>
    <t>1.1.1.1.5</t>
  </si>
  <si>
    <t>Projektová dokumentace</t>
  </si>
  <si>
    <t>1.1.1.2</t>
  </si>
  <si>
    <t>Pořízení majetku</t>
  </si>
  <si>
    <t>1.1.1.2.1</t>
  </si>
  <si>
    <t>Pořízení drobného hmotného majetku</t>
  </si>
  <si>
    <t>1.1.1.2.1.1</t>
  </si>
  <si>
    <t>Pořízení drobného hmotného majetku - hlavní aktivita</t>
  </si>
  <si>
    <t>Pořízení drobného nehmotného majetku</t>
  </si>
  <si>
    <t>1.1.1.2.2.1</t>
  </si>
  <si>
    <t>Pořízení drobného nehmotného majetku - hlavní aktivita</t>
  </si>
  <si>
    <t>1.1.1.2.3</t>
  </si>
  <si>
    <t>Pořízení dlouhodobého hmotného majetku</t>
  </si>
  <si>
    <t>1.1.1.2.3.1</t>
  </si>
  <si>
    <t>Pořízení dlouhodobého hmotného majetku - hlavní aktivita</t>
  </si>
  <si>
    <t>1.1.1.2.4</t>
  </si>
  <si>
    <t>Pořízení dlouhodobého nehmotného majetku</t>
  </si>
  <si>
    <t>1.1.1.2.4.1</t>
  </si>
  <si>
    <t>Pořízení dlouhodobého nehmotného majetku - hlavní aktivita</t>
  </si>
  <si>
    <t>1.1.1.3</t>
  </si>
  <si>
    <t>Publicita projektu</t>
  </si>
  <si>
    <t>1.1.1.3.1</t>
  </si>
  <si>
    <t>Povinná publicita</t>
  </si>
  <si>
    <t>1.1.2</t>
  </si>
  <si>
    <t>Celkové způsobilé výdaje - neinvestiční</t>
  </si>
  <si>
    <t>1.1.2.1</t>
  </si>
  <si>
    <t>Nákupy služeb</t>
  </si>
  <si>
    <t>1.1.2.1.1</t>
  </si>
  <si>
    <t>Pořízení služeb bezprostředně souvisejících s realizací projektu</t>
  </si>
  <si>
    <t>1.1.2.2</t>
  </si>
  <si>
    <t>1.1.2.2.1</t>
  </si>
  <si>
    <t>1.1.2.3</t>
  </si>
  <si>
    <t>1.1.2.3.1</t>
  </si>
  <si>
    <t>1.1.2.3.2</t>
  </si>
  <si>
    <t>1.2</t>
  </si>
  <si>
    <t>Celkové nezpůsobilé výdaje</t>
  </si>
  <si>
    <t>DPH</t>
  </si>
  <si>
    <t>rok 2016</t>
  </si>
  <si>
    <t>rok 2017</t>
  </si>
  <si>
    <t>rok 2018</t>
  </si>
  <si>
    <t>rok 2019</t>
  </si>
  <si>
    <t>Rozdělení do roků</t>
  </si>
  <si>
    <t>Rozdělení do etap</t>
  </si>
  <si>
    <t>studie proveditelnosti</t>
  </si>
  <si>
    <t>zpracování ZD a organizace VZ</t>
  </si>
  <si>
    <t>TDI</t>
  </si>
  <si>
    <t>BOZP</t>
  </si>
  <si>
    <t>1.2.2</t>
  </si>
  <si>
    <t>1.2.3</t>
  </si>
  <si>
    <t>1.2.4</t>
  </si>
  <si>
    <t>1.2.5</t>
  </si>
  <si>
    <t>1.2.6</t>
  </si>
  <si>
    <t>záchranný archeologický výzkum</t>
  </si>
  <si>
    <t>projektová dokumentace</t>
  </si>
  <si>
    <t>Veřejná zakázka</t>
  </si>
  <si>
    <t>Metiman - dospělý</t>
  </si>
  <si>
    <t>Metiman - dětský</t>
  </si>
  <si>
    <t>VZ 4 - část 5</t>
  </si>
  <si>
    <t>1.2.1</t>
  </si>
  <si>
    <t>1.1.1.2.1.2</t>
  </si>
  <si>
    <t>VZ4 - část 3</t>
  </si>
  <si>
    <t>1.1.1.1.4.1</t>
  </si>
  <si>
    <t>1.1.1.1.4.2</t>
  </si>
  <si>
    <t>1.1.1.1.4.3</t>
  </si>
  <si>
    <t>1.1.1.2.3.1.1</t>
  </si>
  <si>
    <t>1.1.1.2.3.1.2</t>
  </si>
  <si>
    <t>1.1.1.2.3.1.3</t>
  </si>
  <si>
    <t>Celkem s DPH</t>
  </si>
  <si>
    <t>VZ 4 - část 2, část 3,  část 5</t>
  </si>
  <si>
    <t>VZ4 - část 1, VZ4 - část 2, část 4</t>
  </si>
  <si>
    <t>1.2.7</t>
  </si>
  <si>
    <t>1. etapa: 
4.10.2016 - 30.9.2018</t>
  </si>
  <si>
    <t>2. etapa: 
1. 10. 2018 -31. 12. 2019</t>
  </si>
  <si>
    <t>Zdroj informace pro stanovení ceny</t>
  </si>
  <si>
    <t>NR - nerelevantní</t>
  </si>
  <si>
    <t>NR</t>
  </si>
  <si>
    <t>vedlejší</t>
  </si>
  <si>
    <t>hlavní</t>
  </si>
  <si>
    <t>Aktivita</t>
  </si>
  <si>
    <t>VZ1</t>
  </si>
  <si>
    <t>rozpočet projektanta</t>
  </si>
  <si>
    <t>VZ2</t>
  </si>
  <si>
    <t>VZ3</t>
  </si>
  <si>
    <t>smlouva</t>
  </si>
  <si>
    <t xml:space="preserve"> - </t>
  </si>
  <si>
    <t xml:space="preserve">hlavní </t>
  </si>
  <si>
    <t>1.1.1.2.3.1.4</t>
  </si>
  <si>
    <t>Trenažér práce v podvěsu</t>
  </si>
  <si>
    <t>Ostatní dlouhodobý hmotný majetek s cenou do 100 tis. Kč bez DPH/ks</t>
  </si>
  <si>
    <t>objednávka</t>
  </si>
  <si>
    <t>Autorský dozor</t>
  </si>
  <si>
    <t>Sadové úpravy</t>
  </si>
  <si>
    <t>Zpevněné plochy</t>
  </si>
  <si>
    <t>Oplocení</t>
  </si>
  <si>
    <t>Poplatek za zřízení bankovní záruky</t>
  </si>
  <si>
    <t>Poplatek za navýšení hlavního jističe E.On</t>
  </si>
  <si>
    <t>Poměr vedlejších výdajů / celkové způsobilé výdaje</t>
  </si>
  <si>
    <t>VZ4 - část 2</t>
  </si>
  <si>
    <t>Zkratky:</t>
  </si>
  <si>
    <t>Kontrola:</t>
  </si>
  <si>
    <t>nabídka Medim s.r.o. z 1.6.2016</t>
  </si>
  <si>
    <t>Příloha č. 1 Studie proveditelnosti: Rozpočet projektu</t>
  </si>
  <si>
    <t>Projekt: Vzdělávací a výcvikové středisko ZZS KV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</si>
</sst>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1"/>
      <color rgb="FF0070C0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Alignment="0">
      <protection locked="0"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vertical="center"/>
    </xf>
    <xf numFmtId="0" fontId="0" fillId="35" borderId="0" xfId="0" applyFill="1" applyAlignment="1">
      <alignment/>
    </xf>
    <xf numFmtId="0" fontId="5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48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0" fontId="0" fillId="15" borderId="0" xfId="0" applyFill="1" applyAlignment="1">
      <alignment/>
    </xf>
    <xf numFmtId="4" fontId="0" fillId="0" borderId="11" xfId="0" applyNumberFormat="1" applyBorder="1" applyAlignment="1">
      <alignment/>
    </xf>
    <xf numFmtId="4" fontId="48" fillId="0" borderId="10" xfId="0" applyNumberFormat="1" applyFont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43" fillId="0" borderId="0" xfId="0" applyFont="1" applyAlignment="1">
      <alignment/>
    </xf>
    <xf numFmtId="0" fontId="51" fillId="0" borderId="10" xfId="0" applyFont="1" applyFill="1" applyBorder="1" applyAlignment="1">
      <alignment wrapText="1"/>
    </xf>
    <xf numFmtId="4" fontId="33" fillId="0" borderId="0" xfId="0" applyNumberFormat="1" applyFont="1" applyAlignment="1">
      <alignment/>
    </xf>
    <xf numFmtId="49" fontId="50" fillId="0" borderId="10" xfId="0" applyNumberFormat="1" applyFon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48" fillId="0" borderId="0" xfId="0" applyNumberFormat="1" applyFont="1" applyBorder="1" applyAlignment="1">
      <alignment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/>
    </xf>
    <xf numFmtId="4" fontId="48" fillId="0" borderId="14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48" fillId="36" borderId="0" xfId="0" applyFont="1" applyFill="1" applyAlignment="1">
      <alignment/>
    </xf>
    <xf numFmtId="4" fontId="0" fillId="36" borderId="10" xfId="0" applyNumberFormat="1" applyFill="1" applyBorder="1" applyAlignment="1">
      <alignment/>
    </xf>
    <xf numFmtId="4" fontId="48" fillId="36" borderId="10" xfId="0" applyNumberFormat="1" applyFont="1" applyFill="1" applyBorder="1" applyAlignment="1">
      <alignment/>
    </xf>
    <xf numFmtId="4" fontId="0" fillId="36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4" fontId="0" fillId="36" borderId="16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48" fillId="36" borderId="11" xfId="0" applyNumberFormat="1" applyFont="1" applyFill="1" applyBorder="1" applyAlignment="1">
      <alignment/>
    </xf>
    <xf numFmtId="4" fontId="48" fillId="0" borderId="16" xfId="0" applyNumberFormat="1" applyFont="1" applyBorder="1" applyAlignment="1">
      <alignment/>
    </xf>
    <xf numFmtId="4" fontId="48" fillId="0" borderId="17" xfId="0" applyNumberFormat="1" applyFont="1" applyBorder="1" applyAlignment="1">
      <alignment/>
    </xf>
    <xf numFmtId="4" fontId="48" fillId="36" borderId="16" xfId="0" applyNumberFormat="1" applyFont="1" applyFill="1" applyBorder="1" applyAlignment="1">
      <alignment/>
    </xf>
    <xf numFmtId="0" fontId="48" fillId="36" borderId="0" xfId="0" applyFont="1" applyFill="1" applyBorder="1" applyAlignment="1">
      <alignment/>
    </xf>
    <xf numFmtId="4" fontId="48" fillId="0" borderId="18" xfId="0" applyNumberFormat="1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48" fillId="6" borderId="14" xfId="0" applyFont="1" applyFill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4" fontId="48" fillId="35" borderId="24" xfId="0" applyNumberFormat="1" applyFont="1" applyFill="1" applyBorder="1" applyAlignment="1">
      <alignment/>
    </xf>
    <xf numFmtId="4" fontId="48" fillId="0" borderId="24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5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36" borderId="25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4" fontId="48" fillId="0" borderId="25" xfId="0" applyNumberFormat="1" applyFont="1" applyBorder="1" applyAlignment="1">
      <alignment/>
    </xf>
    <xf numFmtId="4" fontId="48" fillId="0" borderId="26" xfId="0" applyNumberFormat="1" applyFont="1" applyBorder="1" applyAlignment="1">
      <alignment/>
    </xf>
    <xf numFmtId="4" fontId="48" fillId="36" borderId="25" xfId="0" applyNumberFormat="1" applyFont="1" applyFill="1" applyBorder="1" applyAlignment="1">
      <alignment/>
    </xf>
    <xf numFmtId="4" fontId="48" fillId="36" borderId="14" xfId="0" applyNumberFormat="1" applyFont="1" applyFill="1" applyBorder="1" applyAlignment="1">
      <alignment/>
    </xf>
    <xf numFmtId="4" fontId="48" fillId="36" borderId="15" xfId="0" applyNumberFormat="1" applyFont="1" applyFill="1" applyBorder="1" applyAlignment="1">
      <alignment/>
    </xf>
    <xf numFmtId="4" fontId="48" fillId="0" borderId="27" xfId="0" applyNumberFormat="1" applyFont="1" applyBorder="1" applyAlignment="1">
      <alignment/>
    </xf>
    <xf numFmtId="0" fontId="50" fillId="0" borderId="28" xfId="0" applyFont="1" applyBorder="1" applyAlignment="1">
      <alignment/>
    </xf>
    <xf numFmtId="0" fontId="0" fillId="0" borderId="28" xfId="0" applyBorder="1" applyAlignment="1">
      <alignment wrapText="1"/>
    </xf>
    <xf numFmtId="4" fontId="0" fillId="0" borderId="28" xfId="0" applyNumberFormat="1" applyBorder="1" applyAlignment="1">
      <alignment/>
    </xf>
    <xf numFmtId="4" fontId="0" fillId="36" borderId="29" xfId="0" applyNumberFormat="1" applyFill="1" applyBorder="1" applyAlignment="1">
      <alignment/>
    </xf>
    <xf numFmtId="4" fontId="0" fillId="36" borderId="28" xfId="0" applyNumberFormat="1" applyFill="1" applyBorder="1" applyAlignment="1">
      <alignment/>
    </xf>
    <xf numFmtId="4" fontId="0" fillId="36" borderId="13" xfId="0" applyNumberFormat="1" applyFill="1" applyBorder="1" applyAlignment="1">
      <alignment/>
    </xf>
    <xf numFmtId="4" fontId="48" fillId="0" borderId="29" xfId="0" applyNumberFormat="1" applyFont="1" applyBorder="1" applyAlignment="1">
      <alignment/>
    </xf>
    <xf numFmtId="4" fontId="48" fillId="0" borderId="28" xfId="0" applyNumberFormat="1" applyFont="1" applyBorder="1" applyAlignment="1">
      <alignment/>
    </xf>
    <xf numFmtId="4" fontId="48" fillId="0" borderId="30" xfId="0" applyNumberFormat="1" applyFont="1" applyBorder="1" applyAlignment="1">
      <alignment/>
    </xf>
    <xf numFmtId="4" fontId="48" fillId="36" borderId="29" xfId="0" applyNumberFormat="1" applyFont="1" applyFill="1" applyBorder="1" applyAlignment="1">
      <alignment/>
    </xf>
    <xf numFmtId="4" fontId="48" fillId="36" borderId="28" xfId="0" applyNumberFormat="1" applyFont="1" applyFill="1" applyBorder="1" applyAlignment="1">
      <alignment/>
    </xf>
    <xf numFmtId="4" fontId="48" fillId="36" borderId="13" xfId="0" applyNumberFormat="1" applyFont="1" applyFill="1" applyBorder="1" applyAlignment="1">
      <alignment/>
    </xf>
    <xf numFmtId="4" fontId="48" fillId="0" borderId="31" xfId="0" applyNumberFormat="1" applyFont="1" applyBorder="1" applyAlignment="1">
      <alignment/>
    </xf>
    <xf numFmtId="0" fontId="50" fillId="37" borderId="32" xfId="0" applyFont="1" applyFill="1" applyBorder="1" applyAlignment="1">
      <alignment/>
    </xf>
    <xf numFmtId="0" fontId="0" fillId="37" borderId="33" xfId="0" applyFill="1" applyBorder="1" applyAlignment="1">
      <alignment wrapText="1"/>
    </xf>
    <xf numFmtId="49" fontId="50" fillId="0" borderId="28" xfId="0" applyNumberFormat="1" applyFont="1" applyBorder="1" applyAlignment="1">
      <alignment/>
    </xf>
    <xf numFmtId="0" fontId="51" fillId="0" borderId="28" xfId="0" applyFont="1" applyFill="1" applyBorder="1" applyAlignment="1">
      <alignment wrapText="1"/>
    </xf>
    <xf numFmtId="4" fontId="0" fillId="15" borderId="31" xfId="0" applyNumberFormat="1" applyFill="1" applyBorder="1" applyAlignment="1">
      <alignment/>
    </xf>
    <xf numFmtId="4" fontId="0" fillId="36" borderId="30" xfId="0" applyNumberFormat="1" applyFill="1" applyBorder="1" applyAlignment="1">
      <alignment/>
    </xf>
    <xf numFmtId="0" fontId="50" fillId="15" borderId="32" xfId="0" applyFont="1" applyFill="1" applyBorder="1" applyAlignment="1">
      <alignment/>
    </xf>
    <xf numFmtId="0" fontId="0" fillId="15" borderId="33" xfId="0" applyFill="1" applyBorder="1" applyAlignment="1">
      <alignment wrapText="1"/>
    </xf>
    <xf numFmtId="4" fontId="0" fillId="15" borderId="33" xfId="0" applyNumberFormat="1" applyFill="1" applyBorder="1" applyAlignment="1">
      <alignment/>
    </xf>
    <xf numFmtId="4" fontId="48" fillId="35" borderId="31" xfId="0" applyNumberFormat="1" applyFont="1" applyFill="1" applyBorder="1" applyAlignment="1">
      <alignment/>
    </xf>
    <xf numFmtId="4" fontId="0" fillId="37" borderId="33" xfId="0" applyNumberFormat="1" applyFill="1" applyBorder="1" applyAlignment="1">
      <alignment/>
    </xf>
    <xf numFmtId="0" fontId="50" fillId="33" borderId="32" xfId="0" applyFont="1" applyFill="1" applyBorder="1" applyAlignment="1">
      <alignment/>
    </xf>
    <xf numFmtId="0" fontId="0" fillId="33" borderId="33" xfId="0" applyFill="1" applyBorder="1" applyAlignment="1">
      <alignment wrapText="1"/>
    </xf>
    <xf numFmtId="4" fontId="0" fillId="33" borderId="33" xfId="0" applyNumberForma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36" borderId="25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0" fillId="34" borderId="32" xfId="0" applyFont="1" applyFill="1" applyBorder="1" applyAlignment="1">
      <alignment vertical="center"/>
    </xf>
    <xf numFmtId="0" fontId="0" fillId="34" borderId="33" xfId="0" applyFill="1" applyBorder="1" applyAlignment="1">
      <alignment vertical="center" wrapText="1"/>
    </xf>
    <xf numFmtId="4" fontId="0" fillId="34" borderId="33" xfId="0" applyNumberFormat="1" applyFill="1" applyBorder="1" applyAlignment="1">
      <alignment vertical="center"/>
    </xf>
    <xf numFmtId="0" fontId="33" fillId="0" borderId="10" xfId="0" applyFont="1" applyBorder="1" applyAlignment="1">
      <alignment wrapText="1"/>
    </xf>
    <xf numFmtId="4" fontId="33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2" fillId="0" borderId="28" xfId="0" applyFont="1" applyBorder="1" applyAlignment="1">
      <alignment/>
    </xf>
    <xf numFmtId="0" fontId="33" fillId="0" borderId="28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52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48" fillId="0" borderId="11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vertical="center"/>
    </xf>
    <xf numFmtId="0" fontId="0" fillId="36" borderId="13" xfId="0" applyFill="1" applyBorder="1" applyAlignment="1">
      <alignment/>
    </xf>
    <xf numFmtId="0" fontId="0" fillId="36" borderId="11" xfId="0" applyFill="1" applyBorder="1" applyAlignment="1">
      <alignment/>
    </xf>
    <xf numFmtId="4" fontId="48" fillId="36" borderId="34" xfId="0" applyNumberFormat="1" applyFont="1" applyFill="1" applyBorder="1" applyAlignment="1">
      <alignment/>
    </xf>
    <xf numFmtId="0" fontId="0" fillId="36" borderId="15" xfId="0" applyFill="1" applyBorder="1" applyAlignment="1">
      <alignment/>
    </xf>
    <xf numFmtId="4" fontId="48" fillId="0" borderId="35" xfId="0" applyNumberFormat="1" applyFont="1" applyBorder="1" applyAlignment="1">
      <alignment/>
    </xf>
    <xf numFmtId="4" fontId="48" fillId="0" borderId="36" xfId="0" applyNumberFormat="1" applyFont="1" applyBorder="1" applyAlignment="1">
      <alignment/>
    </xf>
    <xf numFmtId="4" fontId="48" fillId="0" borderId="37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4" fontId="48" fillId="0" borderId="39" xfId="0" applyNumberFormat="1" applyFont="1" applyBorder="1" applyAlignment="1">
      <alignment/>
    </xf>
    <xf numFmtId="4" fontId="48" fillId="0" borderId="40" xfId="0" applyNumberFormat="1" applyFont="1" applyBorder="1" applyAlignment="1">
      <alignment/>
    </xf>
    <xf numFmtId="4" fontId="48" fillId="0" borderId="38" xfId="0" applyNumberFormat="1" applyFont="1" applyBorder="1" applyAlignment="1">
      <alignment/>
    </xf>
    <xf numFmtId="4" fontId="0" fillId="36" borderId="26" xfId="0" applyNumberFormat="1" applyFill="1" applyBorder="1" applyAlignment="1">
      <alignment/>
    </xf>
    <xf numFmtId="4" fontId="48" fillId="36" borderId="17" xfId="0" applyNumberFormat="1" applyFont="1" applyFill="1" applyBorder="1" applyAlignment="1">
      <alignment/>
    </xf>
    <xf numFmtId="4" fontId="48" fillId="36" borderId="26" xfId="0" applyNumberFormat="1" applyFont="1" applyFill="1" applyBorder="1" applyAlignment="1">
      <alignment/>
    </xf>
    <xf numFmtId="4" fontId="0" fillId="37" borderId="33" xfId="0" applyNumberFormat="1" applyFill="1" applyBorder="1" applyAlignment="1">
      <alignment wrapText="1"/>
    </xf>
    <xf numFmtId="4" fontId="0" fillId="0" borderId="11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34" borderId="33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wrapText="1"/>
    </xf>
    <xf numFmtId="0" fontId="0" fillId="37" borderId="33" xfId="0" applyFill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15" borderId="33" xfId="0" applyFill="1" applyBorder="1" applyAlignment="1">
      <alignment horizontal="center" wrapText="1"/>
    </xf>
    <xf numFmtId="0" fontId="51" fillId="0" borderId="28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40" xfId="0" applyBorder="1" applyAlignment="1">
      <alignment horizontal="center" wrapText="1"/>
    </xf>
    <xf numFmtId="4" fontId="48" fillId="36" borderId="40" xfId="0" applyNumberFormat="1" applyFont="1" applyFill="1" applyBorder="1" applyAlignment="1">
      <alignment/>
    </xf>
    <xf numFmtId="4" fontId="48" fillId="36" borderId="24" xfId="0" applyNumberFormat="1" applyFont="1" applyFill="1" applyBorder="1" applyAlignment="1">
      <alignment/>
    </xf>
    <xf numFmtId="0" fontId="0" fillId="0" borderId="40" xfId="0" applyFill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0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" fontId="3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36" borderId="0" xfId="0" applyNumberForma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50" fillId="0" borderId="10" xfId="0" applyFont="1" applyFill="1" applyBorder="1" applyAlignment="1">
      <alignment horizontal="right"/>
    </xf>
    <xf numFmtId="0" fontId="0" fillId="0" borderId="14" xfId="0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0" fontId="33" fillId="34" borderId="33" xfId="0" applyFont="1" applyFill="1" applyBorder="1" applyAlignment="1">
      <alignment vertical="center" wrapText="1"/>
    </xf>
    <xf numFmtId="4" fontId="33" fillId="34" borderId="33" xfId="0" applyNumberFormat="1" applyFont="1" applyFill="1" applyBorder="1" applyAlignment="1">
      <alignment vertical="center"/>
    </xf>
    <xf numFmtId="4" fontId="48" fillId="0" borderId="34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0" fontId="0" fillId="36" borderId="24" xfId="0" applyFill="1" applyBorder="1" applyAlignment="1">
      <alignment/>
    </xf>
    <xf numFmtId="4" fontId="48" fillId="0" borderId="40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36" borderId="10" xfId="0" applyFont="1" applyFill="1" applyBorder="1" applyAlignment="1">
      <alignment/>
    </xf>
    <xf numFmtId="0" fontId="53" fillId="0" borderId="0" xfId="0" applyFont="1" applyAlignment="1">
      <alignment/>
    </xf>
    <xf numFmtId="0" fontId="33" fillId="35" borderId="15" xfId="0" applyFont="1" applyFill="1" applyBorder="1" applyAlignment="1">
      <alignment horizontal="left"/>
    </xf>
    <xf numFmtId="0" fontId="33" fillId="35" borderId="27" xfId="0" applyFont="1" applyFill="1" applyBorder="1" applyAlignment="1">
      <alignment horizontal="left"/>
    </xf>
    <xf numFmtId="0" fontId="54" fillId="35" borderId="0" xfId="0" applyFont="1" applyFill="1" applyBorder="1" applyAlignment="1">
      <alignment horizontal="left"/>
    </xf>
    <xf numFmtId="0" fontId="54" fillId="35" borderId="41" xfId="0" applyFont="1" applyFill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36" borderId="45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67"/>
  <sheetViews>
    <sheetView tabSelected="1" view="pageLayout" zoomScaleNormal="90" workbookViewId="0" topLeftCell="T1">
      <selection activeCell="T1" sqref="T1"/>
    </sheetView>
  </sheetViews>
  <sheetFormatPr defaultColWidth="9.140625" defaultRowHeight="15"/>
  <cols>
    <col min="1" max="1" width="10.57421875" style="0" customWidth="1"/>
    <col min="2" max="2" width="31.8515625" style="0" customWidth="1"/>
    <col min="3" max="3" width="9.57421875" style="0" customWidth="1"/>
    <col min="4" max="4" width="11.28125" style="150" customWidth="1"/>
    <col min="5" max="5" width="17.57421875" style="150" customWidth="1"/>
    <col min="6" max="6" width="14.8515625" style="0" customWidth="1"/>
    <col min="7" max="7" width="14.421875" style="0" customWidth="1"/>
    <col min="8" max="8" width="15.7109375" style="0" customWidth="1"/>
    <col min="9" max="9" width="15.57421875" style="33" customWidth="1"/>
    <col min="10" max="10" width="13.7109375" style="33" customWidth="1"/>
    <col min="11" max="11" width="15.8515625" style="34" bestFit="1" customWidth="1"/>
    <col min="12" max="12" width="14.8515625" style="2" bestFit="1" customWidth="1"/>
    <col min="13" max="13" width="13.7109375" style="2" bestFit="1" customWidth="1"/>
    <col min="14" max="14" width="15.28125" style="2" customWidth="1"/>
    <col min="15" max="16" width="15.28125" style="34" customWidth="1"/>
    <col min="17" max="17" width="13.421875" style="34" customWidth="1"/>
    <col min="18" max="19" width="13.421875" style="2" customWidth="1"/>
    <col min="20" max="20" width="17.28125" style="2" customWidth="1"/>
    <col min="21" max="21" width="12.28125" style="2" hidden="1" customWidth="1"/>
    <col min="22" max="22" width="15.421875" style="34" customWidth="1"/>
    <col min="23" max="23" width="15.57421875" style="34" customWidth="1"/>
    <col min="24" max="24" width="21.28125" style="33" customWidth="1"/>
    <col min="25" max="26" width="21.28125" style="0" customWidth="1"/>
    <col min="27" max="27" width="19.7109375" style="0" customWidth="1"/>
    <col min="28" max="28" width="14.00390625" style="33" bestFit="1" customWidth="1"/>
    <col min="29" max="29" width="13.00390625" style="30" bestFit="1" customWidth="1"/>
  </cols>
  <sheetData>
    <row r="1" spans="1:5" ht="18.75">
      <c r="A1" s="3" t="s">
        <v>123</v>
      </c>
      <c r="E1" s="3"/>
    </row>
    <row r="2" spans="1:5" ht="18.75">
      <c r="A2" s="195" t="s">
        <v>124</v>
      </c>
      <c r="E2" s="3"/>
    </row>
    <row r="3" spans="9:28" ht="15.75" customHeight="1" thickBot="1">
      <c r="I3" s="198" t="s">
        <v>63</v>
      </c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9"/>
      <c r="U3" s="52"/>
      <c r="V3" s="196" t="s">
        <v>64</v>
      </c>
      <c r="W3" s="197"/>
      <c r="X3" s="197"/>
      <c r="Y3" s="197"/>
      <c r="Z3" s="197"/>
      <c r="AA3" s="197"/>
      <c r="AB3" s="197"/>
    </row>
    <row r="4" spans="1:256" ht="26.25" customHeight="1">
      <c r="A4" s="51" t="s">
        <v>2</v>
      </c>
      <c r="B4" s="53" t="s">
        <v>3</v>
      </c>
      <c r="C4" s="54" t="s">
        <v>100</v>
      </c>
      <c r="D4" s="151" t="s">
        <v>76</v>
      </c>
      <c r="E4" s="151" t="s">
        <v>95</v>
      </c>
      <c r="F4" s="55" t="s">
        <v>1</v>
      </c>
      <c r="G4" s="55" t="s">
        <v>58</v>
      </c>
      <c r="H4" s="56" t="s">
        <v>0</v>
      </c>
      <c r="I4" s="203" t="s">
        <v>59</v>
      </c>
      <c r="J4" s="204"/>
      <c r="K4" s="208"/>
      <c r="L4" s="200" t="s">
        <v>60</v>
      </c>
      <c r="M4" s="201"/>
      <c r="N4" s="202"/>
      <c r="O4" s="203" t="s">
        <v>61</v>
      </c>
      <c r="P4" s="204"/>
      <c r="Q4" s="204"/>
      <c r="R4" s="205" t="s">
        <v>62</v>
      </c>
      <c r="S4" s="206"/>
      <c r="T4" s="207"/>
      <c r="U4" s="57"/>
      <c r="V4" s="209" t="s">
        <v>93</v>
      </c>
      <c r="W4" s="210"/>
      <c r="X4" s="210"/>
      <c r="Y4" s="211" t="s">
        <v>94</v>
      </c>
      <c r="Z4" s="211"/>
      <c r="AA4" s="211"/>
      <c r="AB4" s="12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ht="15.75" thickBot="1">
      <c r="A5" s="100"/>
      <c r="B5" s="101"/>
      <c r="C5" s="102"/>
      <c r="D5" s="152"/>
      <c r="E5" s="152"/>
      <c r="F5" s="103"/>
      <c r="G5" s="103"/>
      <c r="H5" s="104"/>
      <c r="I5" s="105" t="s">
        <v>1</v>
      </c>
      <c r="J5" s="106" t="s">
        <v>58</v>
      </c>
      <c r="K5" s="110" t="s">
        <v>89</v>
      </c>
      <c r="L5" s="140" t="s">
        <v>1</v>
      </c>
      <c r="M5" s="109" t="s">
        <v>58</v>
      </c>
      <c r="N5" s="107" t="s">
        <v>89</v>
      </c>
      <c r="O5" s="105" t="s">
        <v>1</v>
      </c>
      <c r="P5" s="106" t="s">
        <v>58</v>
      </c>
      <c r="Q5" s="107" t="s">
        <v>89</v>
      </c>
      <c r="R5" s="108" t="s">
        <v>1</v>
      </c>
      <c r="S5" s="109" t="s">
        <v>58</v>
      </c>
      <c r="T5" s="110" t="s">
        <v>89</v>
      </c>
      <c r="U5" s="111"/>
      <c r="V5" s="105" t="s">
        <v>1</v>
      </c>
      <c r="W5" s="106" t="s">
        <v>58</v>
      </c>
      <c r="X5" s="107" t="s">
        <v>89</v>
      </c>
      <c r="Y5" s="138" t="s">
        <v>1</v>
      </c>
      <c r="Z5" s="138" t="s">
        <v>58</v>
      </c>
      <c r="AA5" s="139" t="s">
        <v>89</v>
      </c>
      <c r="AB5" s="129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5" customFormat="1" ht="23.25" customHeight="1" thickBot="1">
      <c r="A6" s="112" t="s">
        <v>4</v>
      </c>
      <c r="B6" s="186" t="s">
        <v>5</v>
      </c>
      <c r="C6" s="113"/>
      <c r="D6" s="153"/>
      <c r="E6" s="153"/>
      <c r="F6" s="114">
        <f>SUM(F7,F44)</f>
        <v>70342415.85</v>
      </c>
      <c r="G6" s="114">
        <f>SUM(G7,G44)</f>
        <v>14756661.335000003</v>
      </c>
      <c r="H6" s="187">
        <f>F6+G6</f>
        <v>85099077.185</v>
      </c>
      <c r="I6" s="114">
        <f aca="true" t="shared" si="0" ref="I6:AA6">SUM(I7,I44)</f>
        <v>571100</v>
      </c>
      <c r="J6" s="114">
        <f t="shared" si="0"/>
        <v>112560</v>
      </c>
      <c r="K6" s="114">
        <f t="shared" si="0"/>
        <v>683660</v>
      </c>
      <c r="L6" s="114">
        <f t="shared" si="0"/>
        <v>20786163.165578514</v>
      </c>
      <c r="M6" s="114">
        <f t="shared" si="0"/>
        <v>4365094.264771488</v>
      </c>
      <c r="N6" s="114">
        <f t="shared" si="0"/>
        <v>25151257.43035</v>
      </c>
      <c r="O6" s="114">
        <f t="shared" si="0"/>
        <v>43226248.68400826</v>
      </c>
      <c r="P6" s="114">
        <f t="shared" si="0"/>
        <v>9069637.223641736</v>
      </c>
      <c r="Q6" s="114">
        <f t="shared" si="0"/>
        <v>52295885.90765</v>
      </c>
      <c r="R6" s="114">
        <f t="shared" si="0"/>
        <v>5758904.004545454</v>
      </c>
      <c r="S6" s="114">
        <f t="shared" si="0"/>
        <v>1209369.8409545454</v>
      </c>
      <c r="T6" s="114">
        <f t="shared" si="0"/>
        <v>6968273.8455</v>
      </c>
      <c r="U6" s="114">
        <f t="shared" si="0"/>
        <v>147993269.754</v>
      </c>
      <c r="V6" s="114">
        <f t="shared" si="0"/>
        <v>63629956.070578516</v>
      </c>
      <c r="W6" s="114">
        <f t="shared" si="0"/>
        <v>13347044.77482149</v>
      </c>
      <c r="X6" s="114">
        <f t="shared" si="0"/>
        <v>76977000.84539999</v>
      </c>
      <c r="Y6" s="114">
        <f t="shared" si="0"/>
        <v>6712459.780165289</v>
      </c>
      <c r="Z6" s="114">
        <f t="shared" si="0"/>
        <v>1409616.5538347107</v>
      </c>
      <c r="AA6" s="114">
        <f t="shared" si="0"/>
        <v>8122076.333999999</v>
      </c>
      <c r="AB6" s="130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4" customFormat="1" ht="17.25" customHeight="1" thickBot="1">
      <c r="A7" s="97" t="s">
        <v>6</v>
      </c>
      <c r="B7" s="98" t="s">
        <v>7</v>
      </c>
      <c r="C7" s="98"/>
      <c r="D7" s="154"/>
      <c r="E7" s="154"/>
      <c r="F7" s="99">
        <f>SUM(F8,F34)</f>
        <v>67391922.67999999</v>
      </c>
      <c r="G7" s="99">
        <f aca="true" t="shared" si="1" ref="G7:AA7">SUM(G8,G34)</f>
        <v>14144932.765000002</v>
      </c>
      <c r="H7" s="99">
        <f t="shared" si="1"/>
        <v>81536855.445</v>
      </c>
      <c r="I7" s="99">
        <f t="shared" si="1"/>
        <v>35100</v>
      </c>
      <c r="J7" s="99">
        <f t="shared" si="1"/>
        <v>0</v>
      </c>
      <c r="K7" s="99">
        <f t="shared" si="1"/>
        <v>35100</v>
      </c>
      <c r="L7" s="99">
        <f t="shared" si="1"/>
        <v>20766163.165578514</v>
      </c>
      <c r="M7" s="99">
        <f t="shared" si="1"/>
        <v>4360894.264771488</v>
      </c>
      <c r="N7" s="99">
        <f t="shared" si="1"/>
        <v>25127057.43035</v>
      </c>
      <c r="O7" s="99">
        <f t="shared" si="1"/>
        <v>41482113.665</v>
      </c>
      <c r="P7" s="99">
        <f t="shared" si="1"/>
        <v>8711243.86965</v>
      </c>
      <c r="Q7" s="99">
        <f t="shared" si="1"/>
        <v>50193357.53465</v>
      </c>
      <c r="R7" s="99">
        <f t="shared" si="1"/>
        <v>5108545.85</v>
      </c>
      <c r="S7" s="99">
        <f t="shared" si="1"/>
        <v>1072794.6284999999</v>
      </c>
      <c r="T7" s="99">
        <f t="shared" si="1"/>
        <v>6181340.478499999</v>
      </c>
      <c r="U7" s="99">
        <f t="shared" si="1"/>
        <v>147993269.754</v>
      </c>
      <c r="V7" s="99">
        <f t="shared" si="1"/>
        <v>62283376.83057851</v>
      </c>
      <c r="W7" s="99">
        <f t="shared" si="1"/>
        <v>13072138.13442149</v>
      </c>
      <c r="X7" s="99">
        <f t="shared" si="1"/>
        <v>75355514.96499999</v>
      </c>
      <c r="Y7" s="99">
        <f t="shared" si="1"/>
        <v>5108545.85</v>
      </c>
      <c r="Z7" s="99">
        <f t="shared" si="1"/>
        <v>1072794.6284999999</v>
      </c>
      <c r="AA7" s="99">
        <f t="shared" si="1"/>
        <v>6181340.478499999</v>
      </c>
      <c r="AB7" s="128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6" customFormat="1" ht="30.75" thickBot="1">
      <c r="A8" s="86" t="s">
        <v>8</v>
      </c>
      <c r="B8" s="87" t="s">
        <v>9</v>
      </c>
      <c r="C8" s="87"/>
      <c r="D8" s="155"/>
      <c r="E8" s="155"/>
      <c r="F8" s="96">
        <f>SUM(F9:F32)</f>
        <v>67238489.35</v>
      </c>
      <c r="G8" s="96">
        <f>SUM(G9:G32)</f>
        <v>14120082.765000002</v>
      </c>
      <c r="H8" s="96">
        <f>SUM(H9:H32)</f>
        <v>81358572.115</v>
      </c>
      <c r="I8" s="96">
        <f aca="true" t="shared" si="2" ref="I8:T8">SUM(I9:I32)</f>
        <v>0</v>
      </c>
      <c r="J8" s="96">
        <f t="shared" si="2"/>
        <v>0</v>
      </c>
      <c r="K8" s="96">
        <f t="shared" si="2"/>
        <v>0</v>
      </c>
      <c r="L8" s="96">
        <f t="shared" si="2"/>
        <v>20647829.835</v>
      </c>
      <c r="M8" s="96">
        <f t="shared" si="2"/>
        <v>4336044.26535</v>
      </c>
      <c r="N8" s="96">
        <f t="shared" si="2"/>
        <v>24983874.10035</v>
      </c>
      <c r="O8" s="96">
        <f t="shared" si="2"/>
        <v>41482113.665</v>
      </c>
      <c r="P8" s="96">
        <f t="shared" si="2"/>
        <v>8711243.86965</v>
      </c>
      <c r="Q8" s="96">
        <f t="shared" si="2"/>
        <v>50193357.53465</v>
      </c>
      <c r="R8" s="96">
        <f t="shared" si="2"/>
        <v>5108545.85</v>
      </c>
      <c r="S8" s="96">
        <f t="shared" si="2"/>
        <v>1072794.6284999999</v>
      </c>
      <c r="T8" s="96">
        <f t="shared" si="2"/>
        <v>6181340.478499999</v>
      </c>
      <c r="U8" s="96">
        <f>SUM(U9,U10,U11,U12,U13,U15,U16,U17,U18,U19,U20,U21,U22,U23,U24,U25,U30,U31,U32,U33)</f>
        <v>147993269.754</v>
      </c>
      <c r="V8" s="96">
        <f aca="true" t="shared" si="3" ref="V8:AA8">SUM(V9:V32)</f>
        <v>62129943.5</v>
      </c>
      <c r="W8" s="96">
        <f t="shared" si="3"/>
        <v>13047288.135000002</v>
      </c>
      <c r="X8" s="96">
        <f t="shared" si="3"/>
        <v>75177231.63499999</v>
      </c>
      <c r="Y8" s="96">
        <f t="shared" si="3"/>
        <v>5108545.85</v>
      </c>
      <c r="Z8" s="96">
        <f t="shared" si="3"/>
        <v>1072794.6284999999</v>
      </c>
      <c r="AA8" s="96">
        <f t="shared" si="3"/>
        <v>6181340.478499999</v>
      </c>
      <c r="AB8" s="128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ht="15">
      <c r="A9" s="119" t="s">
        <v>10</v>
      </c>
      <c r="B9" s="120" t="s">
        <v>11</v>
      </c>
      <c r="C9" s="121"/>
      <c r="D9" s="156"/>
      <c r="E9" s="156"/>
      <c r="F9" s="1"/>
      <c r="G9" s="1"/>
      <c r="H9" s="1"/>
      <c r="I9" s="76"/>
      <c r="J9" s="77"/>
      <c r="K9" s="91"/>
      <c r="L9" s="141"/>
      <c r="M9" s="80"/>
      <c r="N9" s="81"/>
      <c r="O9" s="82"/>
      <c r="P9" s="83"/>
      <c r="Q9" s="84"/>
      <c r="R9" s="79"/>
      <c r="S9" s="80"/>
      <c r="T9" s="81"/>
      <c r="U9" s="95">
        <f aca="true" t="shared" si="4" ref="U9:U17">SUM(K9:T9)</f>
        <v>0</v>
      </c>
      <c r="V9" s="82"/>
      <c r="W9" s="83"/>
      <c r="X9" s="131"/>
      <c r="Y9" s="8"/>
      <c r="Z9" s="8"/>
      <c r="AA9" s="8"/>
      <c r="AB9" s="127"/>
      <c r="AC9" s="32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ht="15">
      <c r="A10" s="29" t="s">
        <v>12</v>
      </c>
      <c r="B10" s="11" t="s">
        <v>13</v>
      </c>
      <c r="C10" s="11" t="s">
        <v>98</v>
      </c>
      <c r="D10" s="157" t="s">
        <v>106</v>
      </c>
      <c r="E10" s="157" t="s">
        <v>97</v>
      </c>
      <c r="F10" s="9">
        <v>800000</v>
      </c>
      <c r="G10" s="9">
        <v>168000</v>
      </c>
      <c r="H10" s="14">
        <v>968000</v>
      </c>
      <c r="I10" s="40"/>
      <c r="J10" s="35"/>
      <c r="K10" s="41"/>
      <c r="L10" s="142"/>
      <c r="M10" s="15"/>
      <c r="N10" s="45"/>
      <c r="P10" s="194"/>
      <c r="R10" s="46">
        <f>T10-((T10/121)*21)</f>
        <v>800000</v>
      </c>
      <c r="S10" s="36">
        <f>(T10/121)*21</f>
        <v>168000</v>
      </c>
      <c r="T10" s="43">
        <f>H10</f>
        <v>968000</v>
      </c>
      <c r="U10" s="58">
        <f>SUM(K10:T10)</f>
        <v>1936000</v>
      </c>
      <c r="V10" s="46"/>
      <c r="W10" s="36"/>
      <c r="X10" s="132"/>
      <c r="Y10" s="9">
        <f>AA10-Z10</f>
        <v>800000</v>
      </c>
      <c r="Z10" s="8">
        <f>(AA10/121)*21</f>
        <v>168000</v>
      </c>
      <c r="AA10" s="9">
        <f>H10</f>
        <v>968000</v>
      </c>
      <c r="AB10" s="127"/>
      <c r="AC10" s="32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ht="15">
      <c r="A11" s="29" t="s">
        <v>14</v>
      </c>
      <c r="B11" s="11" t="s">
        <v>15</v>
      </c>
      <c r="C11" s="11"/>
      <c r="D11" s="157"/>
      <c r="E11" s="157"/>
      <c r="F11" s="9"/>
      <c r="G11" s="9"/>
      <c r="H11" s="14"/>
      <c r="I11" s="40"/>
      <c r="J11" s="35"/>
      <c r="K11" s="41"/>
      <c r="L11" s="142"/>
      <c r="M11" s="15"/>
      <c r="N11" s="45"/>
      <c r="O11" s="46"/>
      <c r="P11" s="36"/>
      <c r="Q11" s="43"/>
      <c r="R11" s="44"/>
      <c r="S11" s="15"/>
      <c r="T11" s="45"/>
      <c r="U11" s="58">
        <f t="shared" si="4"/>
        <v>0</v>
      </c>
      <c r="V11" s="46"/>
      <c r="W11" s="36"/>
      <c r="X11" s="132"/>
      <c r="Y11" s="8"/>
      <c r="Z11" s="8"/>
      <c r="AA11" s="8"/>
      <c r="AB11" s="127"/>
      <c r="AC11" s="32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ht="30">
      <c r="A12" s="28" t="s">
        <v>16</v>
      </c>
      <c r="B12" s="11" t="s">
        <v>17</v>
      </c>
      <c r="C12" s="11" t="s">
        <v>99</v>
      </c>
      <c r="D12" s="157" t="s">
        <v>101</v>
      </c>
      <c r="E12" s="157" t="s">
        <v>102</v>
      </c>
      <c r="F12" s="9">
        <v>57101228.1</v>
      </c>
      <c r="G12" s="9">
        <f>F12*0.21</f>
        <v>11991257.901</v>
      </c>
      <c r="H12" s="14">
        <f>F12*1.21</f>
        <v>69092486.001</v>
      </c>
      <c r="I12" s="40"/>
      <c r="J12" s="35"/>
      <c r="K12" s="41"/>
      <c r="L12" s="142">
        <f>N12-M12</f>
        <v>19985429.835</v>
      </c>
      <c r="M12" s="15">
        <f>(N12/121)*21</f>
        <v>4196940.26535</v>
      </c>
      <c r="N12" s="45">
        <f>H12*0.35</f>
        <v>24182370.10035</v>
      </c>
      <c r="O12" s="46">
        <f>Q12-((Q12/121)*21)</f>
        <v>37115798.265</v>
      </c>
      <c r="P12" s="36">
        <f>(Q12/121)*21</f>
        <v>7794317.635650001</v>
      </c>
      <c r="Q12" s="43">
        <f>H12*0.65</f>
        <v>44910115.90065</v>
      </c>
      <c r="R12" s="44"/>
      <c r="S12" s="15"/>
      <c r="T12" s="45"/>
      <c r="U12" s="58">
        <f t="shared" si="4"/>
        <v>138184972.002</v>
      </c>
      <c r="V12" s="40">
        <f>F12</f>
        <v>57101228.1</v>
      </c>
      <c r="W12" s="35">
        <f>V12*0.21</f>
        <v>11991257.901</v>
      </c>
      <c r="X12" s="42">
        <f>V12*1.21</f>
        <v>69092486.001</v>
      </c>
      <c r="Y12" s="9"/>
      <c r="Z12" s="9"/>
      <c r="AA12" s="9"/>
      <c r="AB12" s="127"/>
      <c r="AC12" s="3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ht="15">
      <c r="A13" s="7" t="s">
        <v>18</v>
      </c>
      <c r="B13" s="11" t="s">
        <v>19</v>
      </c>
      <c r="C13" s="11"/>
      <c r="D13" s="157"/>
      <c r="E13" s="157"/>
      <c r="F13" s="9"/>
      <c r="G13" s="9"/>
      <c r="I13" s="40"/>
      <c r="J13" s="35"/>
      <c r="K13" s="41"/>
      <c r="L13" s="142"/>
      <c r="M13" s="15"/>
      <c r="N13" s="45"/>
      <c r="O13" s="46"/>
      <c r="P13" s="36"/>
      <c r="Q13" s="43"/>
      <c r="R13" s="44"/>
      <c r="S13" s="15"/>
      <c r="T13" s="45"/>
      <c r="U13" s="58">
        <f t="shared" si="4"/>
        <v>0</v>
      </c>
      <c r="V13" s="46"/>
      <c r="W13" s="36"/>
      <c r="X13" s="132"/>
      <c r="Y13" s="8"/>
      <c r="Z13" s="8"/>
      <c r="AA13" s="8"/>
      <c r="AB13" s="127"/>
      <c r="AC13" s="32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ht="15">
      <c r="A14" s="7" t="s">
        <v>20</v>
      </c>
      <c r="B14" s="117" t="s">
        <v>21</v>
      </c>
      <c r="C14" s="118"/>
      <c r="D14" s="158"/>
      <c r="E14" s="158"/>
      <c r="F14" s="148"/>
      <c r="G14" s="148"/>
      <c r="H14" s="148"/>
      <c r="I14" s="40"/>
      <c r="J14" s="35"/>
      <c r="K14" s="41"/>
      <c r="L14" s="142"/>
      <c r="M14" s="15"/>
      <c r="N14" s="45"/>
      <c r="O14" s="46"/>
      <c r="P14" s="36"/>
      <c r="Q14" s="43"/>
      <c r="R14" s="44"/>
      <c r="S14" s="15"/>
      <c r="T14" s="45"/>
      <c r="U14" s="58">
        <f t="shared" si="4"/>
        <v>0</v>
      </c>
      <c r="V14" s="46"/>
      <c r="W14" s="36"/>
      <c r="X14" s="132"/>
      <c r="Y14" s="8"/>
      <c r="Z14" s="8"/>
      <c r="AA14" s="8"/>
      <c r="AB14" s="127"/>
      <c r="AC14" s="3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15">
      <c r="A15" s="28" t="s">
        <v>83</v>
      </c>
      <c r="B15" s="11" t="s">
        <v>67</v>
      </c>
      <c r="C15" s="11" t="s">
        <v>98</v>
      </c>
      <c r="D15" s="157" t="s">
        <v>103</v>
      </c>
      <c r="E15" s="157" t="s">
        <v>97</v>
      </c>
      <c r="F15" s="9">
        <v>750000</v>
      </c>
      <c r="G15" s="9">
        <f>H15-F15</f>
        <v>157500</v>
      </c>
      <c r="H15" s="14">
        <v>907500</v>
      </c>
      <c r="I15" s="40"/>
      <c r="J15" s="35"/>
      <c r="K15" s="41"/>
      <c r="L15" s="142">
        <f>N15-M15</f>
        <v>300000</v>
      </c>
      <c r="M15" s="15">
        <f>(N15/121)*21</f>
        <v>63000</v>
      </c>
      <c r="N15" s="45">
        <f>(H15/15)*6</f>
        <v>363000</v>
      </c>
      <c r="O15" s="46">
        <f>Q15-((Q15/121)*21)</f>
        <v>450000</v>
      </c>
      <c r="P15" s="36">
        <f>(Q15/121)*21</f>
        <v>94500</v>
      </c>
      <c r="Q15" s="43">
        <f>(H15/15)*9</f>
        <v>544500</v>
      </c>
      <c r="R15" s="44"/>
      <c r="S15" s="15"/>
      <c r="T15" s="45"/>
      <c r="U15" s="58">
        <f t="shared" si="4"/>
        <v>1815000</v>
      </c>
      <c r="V15" s="40">
        <f>F15</f>
        <v>750000</v>
      </c>
      <c r="W15" s="35">
        <f>V15*0.21</f>
        <v>157500</v>
      </c>
      <c r="X15" s="42">
        <f>V15*1.21</f>
        <v>907500</v>
      </c>
      <c r="Y15" s="9"/>
      <c r="Z15" s="9"/>
      <c r="AA15" s="9"/>
      <c r="AB15" s="127"/>
      <c r="AC15" s="32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24.75" customHeight="1">
      <c r="A16" s="28" t="s">
        <v>84</v>
      </c>
      <c r="B16" s="11" t="s">
        <v>68</v>
      </c>
      <c r="C16" s="11" t="s">
        <v>98</v>
      </c>
      <c r="D16" s="157" t="s">
        <v>104</v>
      </c>
      <c r="E16" s="157" t="s">
        <v>97</v>
      </c>
      <c r="F16" s="9">
        <v>60000</v>
      </c>
      <c r="G16" s="14">
        <f>F16*0.21</f>
        <v>12600</v>
      </c>
      <c r="H16" s="14">
        <f>F16*1.21</f>
        <v>72600</v>
      </c>
      <c r="I16" s="40"/>
      <c r="J16" s="35"/>
      <c r="K16" s="41"/>
      <c r="L16" s="142">
        <f>N16-M16</f>
        <v>24000</v>
      </c>
      <c r="M16" s="15">
        <f>(N16/121)*21</f>
        <v>5040</v>
      </c>
      <c r="N16" s="45">
        <f>(H16/15)*6</f>
        <v>29040</v>
      </c>
      <c r="O16" s="46">
        <f>Q16-((Q16/121)*21)</f>
        <v>36000</v>
      </c>
      <c r="P16" s="36">
        <f>(Q16/121)*21</f>
        <v>7560</v>
      </c>
      <c r="Q16" s="43">
        <f>(H16/15)*9</f>
        <v>43560</v>
      </c>
      <c r="R16" s="44"/>
      <c r="S16" s="15"/>
      <c r="T16" s="45"/>
      <c r="U16" s="58">
        <f t="shared" si="4"/>
        <v>145200</v>
      </c>
      <c r="V16" s="40">
        <f>F16</f>
        <v>60000</v>
      </c>
      <c r="W16" s="35">
        <f>V16*0.21</f>
        <v>12600</v>
      </c>
      <c r="X16" s="42">
        <f>V16*1.21</f>
        <v>72600</v>
      </c>
      <c r="Y16" s="9"/>
      <c r="Z16" s="9"/>
      <c r="AA16" s="9"/>
      <c r="AB16" s="127"/>
      <c r="AC16" s="32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5">
      <c r="A17" s="28" t="s">
        <v>85</v>
      </c>
      <c r="B17" s="11" t="s">
        <v>74</v>
      </c>
      <c r="C17" s="11" t="s">
        <v>98</v>
      </c>
      <c r="D17" s="159" t="s">
        <v>105</v>
      </c>
      <c r="E17" s="157" t="s">
        <v>97</v>
      </c>
      <c r="F17" s="22">
        <v>338400</v>
      </c>
      <c r="G17" s="9">
        <f>H17-F17</f>
        <v>71064</v>
      </c>
      <c r="H17" s="16">
        <v>409464</v>
      </c>
      <c r="I17" s="40"/>
      <c r="J17" s="35"/>
      <c r="K17" s="41"/>
      <c r="L17" s="142">
        <f>N17-M17</f>
        <v>338400</v>
      </c>
      <c r="M17" s="15">
        <f>(N17/121)*21</f>
        <v>71064</v>
      </c>
      <c r="N17" s="45">
        <f>H17</f>
        <v>409464</v>
      </c>
      <c r="O17" s="46"/>
      <c r="P17" s="36"/>
      <c r="Q17" s="43"/>
      <c r="R17" s="48"/>
      <c r="S17" s="24"/>
      <c r="T17" s="49"/>
      <c r="U17" s="58">
        <f t="shared" si="4"/>
        <v>818928</v>
      </c>
      <c r="V17" s="40">
        <f>X17-W17</f>
        <v>338400</v>
      </c>
      <c r="W17" s="35">
        <f>(X17/121)*21</f>
        <v>71064</v>
      </c>
      <c r="X17" s="42">
        <f>N17</f>
        <v>409464</v>
      </c>
      <c r="Y17" s="9"/>
      <c r="Z17" s="9"/>
      <c r="AA17" s="9"/>
      <c r="AB17" s="127"/>
      <c r="AC17" s="32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ht="15">
      <c r="A18" s="29" t="s">
        <v>22</v>
      </c>
      <c r="B18" s="11" t="s">
        <v>23</v>
      </c>
      <c r="C18" s="11"/>
      <c r="D18" s="157"/>
      <c r="E18" s="157"/>
      <c r="F18" s="9"/>
      <c r="H18" s="23"/>
      <c r="I18" s="40"/>
      <c r="J18" s="35"/>
      <c r="K18" s="41"/>
      <c r="L18" s="142"/>
      <c r="M18" s="15"/>
      <c r="N18" s="45"/>
      <c r="O18" s="46"/>
      <c r="P18" s="36"/>
      <c r="Q18" s="43"/>
      <c r="R18" s="44"/>
      <c r="S18" s="15"/>
      <c r="T18" s="45"/>
      <c r="U18" s="58"/>
      <c r="V18" s="46"/>
      <c r="W18" s="36"/>
      <c r="X18" s="132"/>
      <c r="Y18" s="8"/>
      <c r="Z18" s="8"/>
      <c r="AA18" s="8"/>
      <c r="AB18" s="127"/>
      <c r="AC18" s="32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ht="15">
      <c r="A19" s="122" t="s">
        <v>24</v>
      </c>
      <c r="B19" s="115" t="s">
        <v>25</v>
      </c>
      <c r="C19" s="115"/>
      <c r="D19" s="160"/>
      <c r="E19" s="160"/>
      <c r="F19" s="123"/>
      <c r="G19" s="123"/>
      <c r="H19" s="116"/>
      <c r="I19" s="40"/>
      <c r="J19" s="35"/>
      <c r="K19" s="41"/>
      <c r="L19" s="142"/>
      <c r="M19" s="15"/>
      <c r="N19" s="45"/>
      <c r="O19" s="46"/>
      <c r="P19" s="36"/>
      <c r="Q19" s="43"/>
      <c r="R19" s="44"/>
      <c r="S19" s="15"/>
      <c r="T19" s="45"/>
      <c r="U19" s="58"/>
      <c r="V19" s="46"/>
      <c r="W19" s="36"/>
      <c r="X19" s="132"/>
      <c r="Y19" s="8"/>
      <c r="Z19" s="8"/>
      <c r="AA19" s="8"/>
      <c r="AB19" s="127"/>
      <c r="AC19" s="32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ht="30">
      <c r="A20" s="7" t="s">
        <v>26</v>
      </c>
      <c r="B20" s="11" t="s">
        <v>27</v>
      </c>
      <c r="C20" s="11"/>
      <c r="D20" s="157"/>
      <c r="E20" s="157"/>
      <c r="F20" s="9"/>
      <c r="G20" s="9"/>
      <c r="H20" s="14"/>
      <c r="I20" s="40"/>
      <c r="J20" s="35"/>
      <c r="K20" s="41"/>
      <c r="L20" s="142"/>
      <c r="M20" s="15"/>
      <c r="N20" s="45"/>
      <c r="O20" s="46"/>
      <c r="P20" s="36"/>
      <c r="Q20" s="43"/>
      <c r="R20" s="44"/>
      <c r="S20" s="15"/>
      <c r="T20" s="45"/>
      <c r="U20" s="58"/>
      <c r="V20" s="46"/>
      <c r="W20" s="36"/>
      <c r="X20" s="132"/>
      <c r="Y20" s="8"/>
      <c r="Z20" s="8"/>
      <c r="AA20" s="8"/>
      <c r="AB20" s="127"/>
      <c r="AC20" s="32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ht="45">
      <c r="A21" s="7" t="s">
        <v>28</v>
      </c>
      <c r="B21" s="11" t="s">
        <v>29</v>
      </c>
      <c r="C21" s="25" t="s">
        <v>99</v>
      </c>
      <c r="D21" s="161" t="s">
        <v>91</v>
      </c>
      <c r="E21" s="161" t="s">
        <v>102</v>
      </c>
      <c r="F21" s="26">
        <v>2104615.6</v>
      </c>
      <c r="G21" s="12">
        <f>F21*0.21</f>
        <v>441969.276</v>
      </c>
      <c r="H21" s="38">
        <f>F21*1.21</f>
        <v>2546584.876</v>
      </c>
      <c r="I21" s="40"/>
      <c r="J21" s="35"/>
      <c r="K21" s="41"/>
      <c r="L21" s="142"/>
      <c r="M21" s="15"/>
      <c r="N21" s="45"/>
      <c r="O21" s="46">
        <v>1420750.6</v>
      </c>
      <c r="P21" s="36">
        <f>O21*0.21</f>
        <v>298357.626</v>
      </c>
      <c r="Q21" s="34">
        <f>O21*1.21</f>
        <v>1719108.226</v>
      </c>
      <c r="R21" s="44">
        <v>683865</v>
      </c>
      <c r="S21" s="15">
        <f>R21*0.21</f>
        <v>143611.65</v>
      </c>
      <c r="T21" s="45">
        <f>R21*1.21</f>
        <v>827476.65</v>
      </c>
      <c r="U21" s="58">
        <f>SUM(K21:T21)</f>
        <v>5093169.752</v>
      </c>
      <c r="V21" s="124">
        <f>O21</f>
        <v>1420750.6</v>
      </c>
      <c r="W21" s="9">
        <f>V21*0.21</f>
        <v>298357.626</v>
      </c>
      <c r="X21" s="189">
        <f>V21*1.21</f>
        <v>1719108.226</v>
      </c>
      <c r="Y21" s="35">
        <f>AA21-Z21</f>
        <v>683865</v>
      </c>
      <c r="Z21" s="35">
        <f>(AA21/121)*21</f>
        <v>143611.65000000002</v>
      </c>
      <c r="AA21" s="35">
        <f>T21</f>
        <v>827476.65</v>
      </c>
      <c r="AB21" s="127"/>
      <c r="AC21" s="32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30">
      <c r="A22" s="7" t="s">
        <v>81</v>
      </c>
      <c r="B22" s="11" t="s">
        <v>30</v>
      </c>
      <c r="C22" s="11"/>
      <c r="D22" s="157"/>
      <c r="E22" s="169"/>
      <c r="F22" s="9"/>
      <c r="G22" s="9"/>
      <c r="H22" s="14"/>
      <c r="I22" s="40"/>
      <c r="J22" s="35"/>
      <c r="K22" s="41"/>
      <c r="L22" s="142"/>
      <c r="M22" s="15"/>
      <c r="N22" s="45"/>
      <c r="O22" s="46"/>
      <c r="P22" s="36"/>
      <c r="Q22" s="43"/>
      <c r="R22" s="44"/>
      <c r="S22" s="15"/>
      <c r="T22" s="45"/>
      <c r="U22" s="58"/>
      <c r="V22" s="133"/>
      <c r="W22" s="36"/>
      <c r="X22" s="190"/>
      <c r="Y22" s="8"/>
      <c r="Z22" s="8"/>
      <c r="AA22" s="8"/>
      <c r="AB22" s="127"/>
      <c r="AC22" s="32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30">
      <c r="A23" s="7" t="s">
        <v>31</v>
      </c>
      <c r="B23" s="11" t="s">
        <v>32</v>
      </c>
      <c r="C23" s="11" t="s">
        <v>99</v>
      </c>
      <c r="D23" s="182" t="s">
        <v>119</v>
      </c>
      <c r="E23" s="161" t="s">
        <v>102</v>
      </c>
      <c r="F23" s="26">
        <v>16330</v>
      </c>
      <c r="G23" s="26">
        <f>F23*0.21</f>
        <v>3429.2999999999997</v>
      </c>
      <c r="H23" s="38">
        <f>F23*1.21</f>
        <v>19759.3</v>
      </c>
      <c r="I23" s="40"/>
      <c r="J23" s="35"/>
      <c r="K23" s="41"/>
      <c r="L23" s="142"/>
      <c r="M23" s="15"/>
      <c r="N23" s="45"/>
      <c r="O23" s="188">
        <f>F23</f>
        <v>16330</v>
      </c>
      <c r="P23" s="192">
        <f>G23</f>
        <v>3429.2999999999997</v>
      </c>
      <c r="Q23" s="191">
        <f>H23</f>
        <v>19759.3</v>
      </c>
      <c r="R23" s="44"/>
      <c r="S23" s="15"/>
      <c r="T23" s="45"/>
      <c r="U23" s="58"/>
      <c r="V23" s="188">
        <f>F23</f>
        <v>16330</v>
      </c>
      <c r="W23" s="192">
        <f>G23</f>
        <v>3429.2999999999997</v>
      </c>
      <c r="X23" s="191">
        <f>H23</f>
        <v>19759.3</v>
      </c>
      <c r="Y23" s="8"/>
      <c r="Z23" s="8"/>
      <c r="AA23" s="8"/>
      <c r="AB23" s="127"/>
      <c r="AC23" s="32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ht="30">
      <c r="A24" s="7" t="s">
        <v>33</v>
      </c>
      <c r="B24" s="11" t="s">
        <v>34</v>
      </c>
      <c r="C24" s="11"/>
      <c r="D24" s="157"/>
      <c r="E24" s="169"/>
      <c r="F24" s="9"/>
      <c r="G24" s="9"/>
      <c r="H24" s="14"/>
      <c r="I24" s="40"/>
      <c r="J24" s="35"/>
      <c r="K24" s="41"/>
      <c r="L24" s="142"/>
      <c r="M24" s="15"/>
      <c r="N24" s="45"/>
      <c r="O24" s="46"/>
      <c r="P24" s="36"/>
      <c r="Q24" s="47"/>
      <c r="R24" s="50"/>
      <c r="S24" s="193"/>
      <c r="T24" s="45"/>
      <c r="U24" s="58"/>
      <c r="V24" s="46"/>
      <c r="W24" s="36"/>
      <c r="X24" s="132"/>
      <c r="Y24" s="8"/>
      <c r="Z24" s="8"/>
      <c r="AA24" s="8"/>
      <c r="AB24" s="127"/>
      <c r="AC24" s="32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ht="45">
      <c r="A25" s="7" t="s">
        <v>35</v>
      </c>
      <c r="B25" s="11" t="s">
        <v>36</v>
      </c>
      <c r="C25" s="11"/>
      <c r="D25" s="157"/>
      <c r="E25" s="172"/>
      <c r="F25" s="9"/>
      <c r="G25" s="9"/>
      <c r="H25" s="14"/>
      <c r="I25" s="40"/>
      <c r="J25" s="35"/>
      <c r="K25" s="41"/>
      <c r="L25" s="142"/>
      <c r="M25" s="15"/>
      <c r="N25" s="45"/>
      <c r="O25" s="46"/>
      <c r="P25" s="36"/>
      <c r="Q25" s="43"/>
      <c r="R25" s="44"/>
      <c r="S25" s="15"/>
      <c r="T25" s="45"/>
      <c r="U25" s="58">
        <f>SUM(K25:T25)</f>
        <v>0</v>
      </c>
      <c r="V25" s="60"/>
      <c r="W25" s="8"/>
      <c r="X25" s="14"/>
      <c r="Y25" s="35"/>
      <c r="Z25" s="35"/>
      <c r="AA25" s="35"/>
      <c r="AB25" s="127"/>
      <c r="AC25" s="32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ht="30">
      <c r="A26" s="28" t="s">
        <v>86</v>
      </c>
      <c r="B26" s="11" t="s">
        <v>78</v>
      </c>
      <c r="C26" s="11" t="s">
        <v>99</v>
      </c>
      <c r="D26" s="157" t="s">
        <v>79</v>
      </c>
      <c r="E26" s="182" t="s">
        <v>122</v>
      </c>
      <c r="F26" s="9">
        <v>1483809.6</v>
      </c>
      <c r="G26" s="9">
        <f>H26-F26</f>
        <v>311600.02</v>
      </c>
      <c r="H26" s="14">
        <v>1795409.62</v>
      </c>
      <c r="I26" s="40"/>
      <c r="J26" s="35"/>
      <c r="K26" s="41"/>
      <c r="L26" s="142"/>
      <c r="M26" s="15"/>
      <c r="N26" s="45"/>
      <c r="O26" s="46"/>
      <c r="P26" s="36"/>
      <c r="Q26" s="43"/>
      <c r="R26" s="44">
        <v>1483809.6</v>
      </c>
      <c r="S26" s="15">
        <f>R26*0.21</f>
        <v>311600.016</v>
      </c>
      <c r="T26" s="45">
        <f>R26*1.21</f>
        <v>1795409.6160000002</v>
      </c>
      <c r="U26" s="58"/>
      <c r="V26" s="46"/>
      <c r="W26" s="36"/>
      <c r="X26" s="132"/>
      <c r="Y26" s="35">
        <f>AA26-Z26</f>
        <v>1483809.6</v>
      </c>
      <c r="Z26" s="35">
        <f>(AA26/121)*21</f>
        <v>311600.016</v>
      </c>
      <c r="AA26" s="35">
        <f>T26</f>
        <v>1795409.6160000002</v>
      </c>
      <c r="AB26" s="127"/>
      <c r="AC26" s="32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ht="30">
      <c r="A27" s="28" t="s">
        <v>87</v>
      </c>
      <c r="B27" s="11" t="s">
        <v>77</v>
      </c>
      <c r="C27" s="11" t="s">
        <v>107</v>
      </c>
      <c r="D27" s="157" t="s">
        <v>79</v>
      </c>
      <c r="E27" s="182" t="s">
        <v>122</v>
      </c>
      <c r="F27" s="9">
        <v>2140871.25</v>
      </c>
      <c r="G27" s="9">
        <f>H27-F27</f>
        <v>449582.95999999996</v>
      </c>
      <c r="H27" s="14">
        <v>2590454.21</v>
      </c>
      <c r="I27" s="40"/>
      <c r="J27" s="35"/>
      <c r="K27" s="41"/>
      <c r="L27" s="142"/>
      <c r="M27" s="15"/>
      <c r="N27" s="45"/>
      <c r="O27" s="46"/>
      <c r="P27" s="36"/>
      <c r="Q27" s="43"/>
      <c r="R27" s="44">
        <v>2140871.25</v>
      </c>
      <c r="S27" s="15">
        <f>R27*0.21</f>
        <v>449582.96249999997</v>
      </c>
      <c r="T27" s="45">
        <f>R27*1.21</f>
        <v>2590454.2125</v>
      </c>
      <c r="U27" s="58"/>
      <c r="V27" s="46"/>
      <c r="W27" s="36"/>
      <c r="X27" s="132"/>
      <c r="Y27" s="35">
        <f>AA27-Z27</f>
        <v>2140871.25</v>
      </c>
      <c r="Z27" s="35">
        <f>(AA27/121)*21</f>
        <v>449582.96249999997</v>
      </c>
      <c r="AA27" s="35">
        <f>T27</f>
        <v>2590454.2125</v>
      </c>
      <c r="AB27" s="127"/>
      <c r="AC27" s="32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ht="30">
      <c r="A28" s="28" t="s">
        <v>88</v>
      </c>
      <c r="B28" s="11" t="s">
        <v>109</v>
      </c>
      <c r="C28" s="11" t="s">
        <v>107</v>
      </c>
      <c r="D28" s="157" t="s">
        <v>82</v>
      </c>
      <c r="E28" s="161" t="s">
        <v>102</v>
      </c>
      <c r="F28" s="9">
        <v>1685663.8</v>
      </c>
      <c r="G28" s="9">
        <f>F28*0.21</f>
        <v>353989.398</v>
      </c>
      <c r="H28" s="14">
        <f>F28*1.21</f>
        <v>2039653.198</v>
      </c>
      <c r="I28" s="40"/>
      <c r="J28" s="35"/>
      <c r="K28" s="41"/>
      <c r="L28" s="142"/>
      <c r="M28" s="15"/>
      <c r="N28" s="45"/>
      <c r="O28" s="46">
        <f>F28</f>
        <v>1685663.8</v>
      </c>
      <c r="P28" s="36">
        <f>O28*0.21</f>
        <v>353989.398</v>
      </c>
      <c r="Q28" s="43">
        <f>O28*1.21</f>
        <v>2039653.198</v>
      </c>
      <c r="R28" s="44"/>
      <c r="S28" s="15"/>
      <c r="T28" s="45"/>
      <c r="U28" s="58"/>
      <c r="V28" s="133">
        <f>O28</f>
        <v>1685663.8</v>
      </c>
      <c r="W28" s="36">
        <f>P28</f>
        <v>353989.398</v>
      </c>
      <c r="X28" s="171">
        <f>Q28</f>
        <v>2039653.198</v>
      </c>
      <c r="Y28" s="9"/>
      <c r="Z28" s="8"/>
      <c r="AA28" s="9"/>
      <c r="AB28" s="128"/>
      <c r="AC28" s="32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ht="45.75" customHeight="1">
      <c r="A29" s="183" t="s">
        <v>108</v>
      </c>
      <c r="B29" s="174" t="s">
        <v>110</v>
      </c>
      <c r="C29" s="174" t="s">
        <v>107</v>
      </c>
      <c r="D29" s="182" t="s">
        <v>90</v>
      </c>
      <c r="E29" s="184" t="s">
        <v>102</v>
      </c>
      <c r="F29" s="185">
        <v>757571</v>
      </c>
      <c r="G29" s="185">
        <f>F29*0.21</f>
        <v>159089.91</v>
      </c>
      <c r="H29" s="16">
        <f>F29+G29</f>
        <v>916660.91</v>
      </c>
      <c r="I29" s="40"/>
      <c r="J29" s="35"/>
      <c r="K29" s="41"/>
      <c r="L29" s="142"/>
      <c r="M29" s="15"/>
      <c r="N29" s="45"/>
      <c r="O29" s="46">
        <f>F29</f>
        <v>757571</v>
      </c>
      <c r="P29" s="36">
        <f>G29</f>
        <v>159089.91</v>
      </c>
      <c r="Q29" s="43">
        <f>H29</f>
        <v>916660.91</v>
      </c>
      <c r="R29" s="44"/>
      <c r="S29" s="15"/>
      <c r="T29" s="45"/>
      <c r="U29" s="58"/>
      <c r="V29" s="46">
        <f>F29</f>
        <v>757571</v>
      </c>
      <c r="W29" s="170">
        <f>G29</f>
        <v>159089.91</v>
      </c>
      <c r="X29" s="171">
        <f>H29</f>
        <v>916660.91</v>
      </c>
      <c r="Y29" s="9"/>
      <c r="Z29" s="8"/>
      <c r="AA29" s="9"/>
      <c r="AB29" s="128"/>
      <c r="AC29" s="32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ht="30">
      <c r="A30" s="7" t="s">
        <v>37</v>
      </c>
      <c r="B30" s="11" t="s">
        <v>38</v>
      </c>
      <c r="C30" s="11"/>
      <c r="D30" s="157"/>
      <c r="E30" s="157"/>
      <c r="F30" s="9"/>
      <c r="G30" s="9"/>
      <c r="H30" s="14"/>
      <c r="I30" s="40"/>
      <c r="J30" s="35"/>
      <c r="K30" s="41"/>
      <c r="L30" s="142"/>
      <c r="M30" s="15"/>
      <c r="N30" s="45"/>
      <c r="O30" s="46"/>
      <c r="P30" s="36"/>
      <c r="Q30" s="43"/>
      <c r="R30" s="44"/>
      <c r="S30" s="15"/>
      <c r="T30" s="45"/>
      <c r="U30" s="58"/>
      <c r="V30" s="46"/>
      <c r="W30" s="36"/>
      <c r="X30" s="132"/>
      <c r="Y30" s="8"/>
      <c r="Z30" s="8"/>
      <c r="AA30" s="8"/>
      <c r="AB30" s="128"/>
      <c r="AC30" s="32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ht="45">
      <c r="A31" s="7" t="s">
        <v>39</v>
      </c>
      <c r="B31" s="11" t="s">
        <v>40</v>
      </c>
      <c r="C31" s="11"/>
      <c r="D31" s="157"/>
      <c r="E31" s="157"/>
      <c r="F31" s="9"/>
      <c r="G31" s="9"/>
      <c r="H31" s="14"/>
      <c r="I31" s="40"/>
      <c r="J31" s="35"/>
      <c r="K31" s="41"/>
      <c r="L31" s="142"/>
      <c r="M31" s="15"/>
      <c r="N31" s="45"/>
      <c r="O31" s="46"/>
      <c r="P31" s="36"/>
      <c r="Q31" s="43"/>
      <c r="R31" s="44"/>
      <c r="S31" s="15"/>
      <c r="T31" s="45"/>
      <c r="U31" s="58"/>
      <c r="V31" s="46"/>
      <c r="W31" s="36"/>
      <c r="X31" s="132"/>
      <c r="Y31" s="8"/>
      <c r="Z31" s="8"/>
      <c r="AA31" s="8"/>
      <c r="AB31" s="127"/>
      <c r="AC31" s="32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ht="15">
      <c r="A32" s="7" t="s">
        <v>41</v>
      </c>
      <c r="B32" s="11" t="s">
        <v>42</v>
      </c>
      <c r="C32" s="11"/>
      <c r="D32" s="157"/>
      <c r="E32" s="157"/>
      <c r="F32" s="8"/>
      <c r="G32" s="8"/>
      <c r="H32" s="39"/>
      <c r="I32" s="40"/>
      <c r="J32" s="35"/>
      <c r="K32" s="41"/>
      <c r="L32" s="142"/>
      <c r="M32" s="15"/>
      <c r="N32" s="45"/>
      <c r="O32" s="46"/>
      <c r="P32" s="36"/>
      <c r="Q32" s="43"/>
      <c r="R32" s="44"/>
      <c r="S32" s="15"/>
      <c r="T32" s="45"/>
      <c r="U32" s="59"/>
      <c r="V32" s="46"/>
      <c r="W32" s="36"/>
      <c r="X32" s="132"/>
      <c r="Y32" s="8"/>
      <c r="Z32" s="8"/>
      <c r="AA32" s="8"/>
      <c r="AB32" s="127"/>
      <c r="AC32" s="32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ht="15.75" thickBot="1">
      <c r="A33" s="61" t="s">
        <v>43</v>
      </c>
      <c r="B33" s="25" t="s">
        <v>44</v>
      </c>
      <c r="C33" s="25"/>
      <c r="D33" s="161"/>
      <c r="E33" s="161"/>
      <c r="F33" s="62"/>
      <c r="G33" s="62"/>
      <c r="H33" s="63"/>
      <c r="I33" s="64"/>
      <c r="J33" s="65"/>
      <c r="K33" s="144"/>
      <c r="L33" s="143"/>
      <c r="M33" s="27"/>
      <c r="N33" s="68"/>
      <c r="O33" s="69"/>
      <c r="P33" s="70"/>
      <c r="Q33" s="71"/>
      <c r="R33" s="67"/>
      <c r="S33" s="27"/>
      <c r="T33" s="68"/>
      <c r="U33" s="72"/>
      <c r="V33" s="69"/>
      <c r="W33" s="70"/>
      <c r="X33" s="134"/>
      <c r="Y33" s="8"/>
      <c r="Z33" s="8"/>
      <c r="AA33" s="8"/>
      <c r="AB33" s="127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6" customFormat="1" ht="30.75" thickBot="1">
      <c r="A34" s="86" t="s">
        <v>45</v>
      </c>
      <c r="B34" s="87" t="s">
        <v>46</v>
      </c>
      <c r="C34" s="87"/>
      <c r="D34" s="155"/>
      <c r="E34" s="155"/>
      <c r="F34" s="147">
        <f>SUM(F35:F43)</f>
        <v>153433.33000000002</v>
      </c>
      <c r="G34" s="147">
        <f aca="true" t="shared" si="5" ref="G34:AA34">SUM(G35:G43)</f>
        <v>24850</v>
      </c>
      <c r="H34" s="147">
        <f t="shared" si="5"/>
        <v>178283.33000000002</v>
      </c>
      <c r="I34" s="147">
        <f t="shared" si="5"/>
        <v>35100</v>
      </c>
      <c r="J34" s="147">
        <f t="shared" si="5"/>
        <v>0</v>
      </c>
      <c r="K34" s="147">
        <f t="shared" si="5"/>
        <v>35100</v>
      </c>
      <c r="L34" s="147">
        <f t="shared" si="5"/>
        <v>118333.3305785124</v>
      </c>
      <c r="M34" s="147">
        <f t="shared" si="5"/>
        <v>24849.999421487606</v>
      </c>
      <c r="N34" s="147">
        <f t="shared" si="5"/>
        <v>143183.33000000002</v>
      </c>
      <c r="O34" s="147">
        <f t="shared" si="5"/>
        <v>0</v>
      </c>
      <c r="P34" s="147">
        <f t="shared" si="5"/>
        <v>0</v>
      </c>
      <c r="Q34" s="147">
        <f t="shared" si="5"/>
        <v>0</v>
      </c>
      <c r="R34" s="147">
        <f t="shared" si="5"/>
        <v>0</v>
      </c>
      <c r="S34" s="147">
        <f t="shared" si="5"/>
        <v>0</v>
      </c>
      <c r="T34" s="147">
        <f t="shared" si="5"/>
        <v>0</v>
      </c>
      <c r="U34" s="147">
        <f t="shared" si="5"/>
        <v>0</v>
      </c>
      <c r="V34" s="147">
        <f t="shared" si="5"/>
        <v>153433.3305785124</v>
      </c>
      <c r="W34" s="147">
        <f t="shared" si="5"/>
        <v>24849.999421487606</v>
      </c>
      <c r="X34" s="147">
        <f t="shared" si="5"/>
        <v>178283.33000000002</v>
      </c>
      <c r="Y34" s="147">
        <f t="shared" si="5"/>
        <v>0</v>
      </c>
      <c r="Z34" s="147">
        <f t="shared" si="5"/>
        <v>0</v>
      </c>
      <c r="AA34" s="147">
        <f t="shared" si="5"/>
        <v>0</v>
      </c>
      <c r="AB34" s="17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ht="15">
      <c r="A35" s="73" t="s">
        <v>47</v>
      </c>
      <c r="B35" s="74" t="s">
        <v>48</v>
      </c>
      <c r="C35" s="74"/>
      <c r="D35" s="162"/>
      <c r="E35" s="162"/>
      <c r="F35" s="75"/>
      <c r="G35" s="75"/>
      <c r="H35" s="23"/>
      <c r="I35" s="76"/>
      <c r="J35" s="77"/>
      <c r="K35" s="91"/>
      <c r="L35" s="141"/>
      <c r="M35" s="80"/>
      <c r="N35" s="81"/>
      <c r="O35" s="82"/>
      <c r="P35" s="83"/>
      <c r="Q35" s="84"/>
      <c r="R35" s="79"/>
      <c r="S35" s="80"/>
      <c r="T35" s="81"/>
      <c r="U35" s="85"/>
      <c r="V35" s="82"/>
      <c r="W35" s="83"/>
      <c r="X35" s="131"/>
      <c r="Y35" s="8"/>
      <c r="Z35" s="8"/>
      <c r="AA35" s="8"/>
      <c r="AB35" s="127"/>
      <c r="AC35" s="32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ht="30">
      <c r="A36" s="7" t="s">
        <v>49</v>
      </c>
      <c r="B36" s="11" t="s">
        <v>50</v>
      </c>
      <c r="C36" s="11"/>
      <c r="D36" s="157"/>
      <c r="E36" s="157"/>
      <c r="F36" s="9"/>
      <c r="G36" s="9"/>
      <c r="H36" s="14"/>
      <c r="I36" s="40"/>
      <c r="J36" s="35"/>
      <c r="K36" s="41"/>
      <c r="L36" s="142"/>
      <c r="M36" s="15"/>
      <c r="N36" s="45"/>
      <c r="O36" s="46"/>
      <c r="P36" s="36"/>
      <c r="Q36" s="43"/>
      <c r="R36" s="44"/>
      <c r="S36" s="15"/>
      <c r="T36" s="45"/>
      <c r="U36" s="59"/>
      <c r="V36" s="46"/>
      <c r="W36" s="36"/>
      <c r="X36" s="132"/>
      <c r="Y36" s="8"/>
      <c r="Z36" s="8"/>
      <c r="AA36" s="8"/>
      <c r="AB36" s="127"/>
      <c r="AC36" s="32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15">
      <c r="A37" s="7"/>
      <c r="B37" s="11" t="s">
        <v>65</v>
      </c>
      <c r="C37" s="11" t="s">
        <v>98</v>
      </c>
      <c r="D37" s="173" t="s">
        <v>111</v>
      </c>
      <c r="E37" s="173" t="s">
        <v>97</v>
      </c>
      <c r="F37" s="9">
        <v>35100</v>
      </c>
      <c r="G37" s="9">
        <v>0</v>
      </c>
      <c r="H37" s="14">
        <v>35100</v>
      </c>
      <c r="I37" s="40">
        <f>F37</f>
        <v>35100</v>
      </c>
      <c r="J37" s="35"/>
      <c r="K37" s="41">
        <f>H37</f>
        <v>35100</v>
      </c>
      <c r="L37" s="142"/>
      <c r="M37" s="15"/>
      <c r="N37" s="45"/>
      <c r="O37" s="46"/>
      <c r="P37" s="36"/>
      <c r="Q37" s="43"/>
      <c r="R37" s="44"/>
      <c r="S37" s="15"/>
      <c r="T37" s="45"/>
      <c r="U37" s="59"/>
      <c r="V37" s="46">
        <f>X37-W37</f>
        <v>35100</v>
      </c>
      <c r="W37" s="36"/>
      <c r="X37" s="42">
        <f>K37</f>
        <v>35100</v>
      </c>
      <c r="Y37" s="9"/>
      <c r="Z37" s="9"/>
      <c r="AA37" s="8"/>
      <c r="AB37" s="127"/>
      <c r="AC37" s="32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ht="15">
      <c r="A38" s="7"/>
      <c r="B38" s="11" t="s">
        <v>66</v>
      </c>
      <c r="C38" s="11" t="s">
        <v>98</v>
      </c>
      <c r="D38" s="173" t="s">
        <v>97</v>
      </c>
      <c r="E38" s="173" t="s">
        <v>97</v>
      </c>
      <c r="F38" s="9">
        <v>83333.33</v>
      </c>
      <c r="G38" s="9">
        <f>H38-F38</f>
        <v>17500</v>
      </c>
      <c r="H38" s="14">
        <v>100833.33</v>
      </c>
      <c r="I38" s="40"/>
      <c r="J38" s="35"/>
      <c r="K38" s="41"/>
      <c r="L38" s="142">
        <f>N38-M38</f>
        <v>83333.3305785124</v>
      </c>
      <c r="M38" s="15">
        <f>(N38/121)*21</f>
        <v>17499.999421487606</v>
      </c>
      <c r="N38" s="45">
        <f>H38</f>
        <v>100833.33</v>
      </c>
      <c r="O38" s="46"/>
      <c r="P38" s="36"/>
      <c r="Q38" s="43"/>
      <c r="R38" s="44"/>
      <c r="S38" s="15"/>
      <c r="T38" s="45"/>
      <c r="U38" s="59"/>
      <c r="V38" s="46">
        <f>X38-W38</f>
        <v>83333.3305785124</v>
      </c>
      <c r="W38" s="36">
        <f>(X38/121)*21</f>
        <v>17499.999421487606</v>
      </c>
      <c r="X38" s="42">
        <f>N38</f>
        <v>100833.33</v>
      </c>
      <c r="Y38" s="9"/>
      <c r="Z38" s="9"/>
      <c r="AA38" s="8"/>
      <c r="AB38" s="127"/>
      <c r="AC38" s="32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ht="15">
      <c r="A39" s="7" t="s">
        <v>51</v>
      </c>
      <c r="B39" s="11" t="s">
        <v>42</v>
      </c>
      <c r="C39" s="11"/>
      <c r="D39" s="173"/>
      <c r="E39" s="173"/>
      <c r="F39" s="9"/>
      <c r="G39" s="9"/>
      <c r="H39" s="14"/>
      <c r="I39" s="40"/>
      <c r="J39" s="35"/>
      <c r="K39" s="41"/>
      <c r="L39" s="142"/>
      <c r="M39" s="15"/>
      <c r="N39" s="45"/>
      <c r="O39" s="46"/>
      <c r="P39" s="36"/>
      <c r="Q39" s="43"/>
      <c r="R39" s="44"/>
      <c r="S39" s="15"/>
      <c r="T39" s="45"/>
      <c r="U39" s="59"/>
      <c r="V39" s="46"/>
      <c r="W39" s="36"/>
      <c r="X39" s="132"/>
      <c r="Y39" s="8"/>
      <c r="Z39" s="8"/>
      <c r="AA39" s="8"/>
      <c r="AB39" s="127"/>
      <c r="AC39" s="32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ht="15">
      <c r="A40" s="7" t="s">
        <v>52</v>
      </c>
      <c r="B40" s="11" t="s">
        <v>44</v>
      </c>
      <c r="C40" s="11" t="s">
        <v>98</v>
      </c>
      <c r="D40" s="173" t="s">
        <v>97</v>
      </c>
      <c r="E40" s="173" t="s">
        <v>97</v>
      </c>
      <c r="F40" s="9">
        <v>35000</v>
      </c>
      <c r="G40" s="9">
        <f>H40-F40</f>
        <v>7350</v>
      </c>
      <c r="H40" s="14">
        <v>42350</v>
      </c>
      <c r="I40" s="40"/>
      <c r="J40" s="35"/>
      <c r="K40" s="41"/>
      <c r="L40" s="142">
        <f>N40-M40</f>
        <v>35000</v>
      </c>
      <c r="M40" s="15">
        <f>(N40/121)*21</f>
        <v>7350</v>
      </c>
      <c r="N40" s="45">
        <f>H40</f>
        <v>42350</v>
      </c>
      <c r="O40" s="46"/>
      <c r="P40" s="36"/>
      <c r="Q40" s="43"/>
      <c r="R40" s="44"/>
      <c r="S40" s="15"/>
      <c r="T40" s="45"/>
      <c r="U40" s="59"/>
      <c r="V40" s="46">
        <f>X40-W40</f>
        <v>35000</v>
      </c>
      <c r="W40" s="36">
        <f>(X40/121)*21</f>
        <v>7350</v>
      </c>
      <c r="X40" s="42">
        <f>N40</f>
        <v>42350</v>
      </c>
      <c r="Y40" s="9"/>
      <c r="Z40" s="9"/>
      <c r="AA40" s="8"/>
      <c r="AB40" s="127"/>
      <c r="AC40" s="32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ht="15">
      <c r="A41" s="7" t="s">
        <v>53</v>
      </c>
      <c r="B41" s="11" t="s">
        <v>11</v>
      </c>
      <c r="C41" s="11"/>
      <c r="D41" s="157"/>
      <c r="E41" s="173"/>
      <c r="F41" s="9"/>
      <c r="G41" s="9"/>
      <c r="H41" s="14"/>
      <c r="I41" s="40"/>
      <c r="J41" s="35"/>
      <c r="K41" s="41"/>
      <c r="L41" s="142"/>
      <c r="M41" s="15"/>
      <c r="N41" s="45"/>
      <c r="O41" s="46"/>
      <c r="P41" s="36"/>
      <c r="Q41" s="43"/>
      <c r="R41" s="44"/>
      <c r="S41" s="15"/>
      <c r="T41" s="45"/>
      <c r="U41" s="59"/>
      <c r="V41" s="46"/>
      <c r="W41" s="36"/>
      <c r="X41" s="132"/>
      <c r="Y41" s="8"/>
      <c r="Z41" s="8"/>
      <c r="AA41" s="8"/>
      <c r="AB41" s="127"/>
      <c r="AC41" s="32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ht="15">
      <c r="A42" s="7" t="s">
        <v>54</v>
      </c>
      <c r="B42" s="11" t="s">
        <v>21</v>
      </c>
      <c r="C42" s="11"/>
      <c r="D42" s="157"/>
      <c r="E42" s="157"/>
      <c r="F42" s="9"/>
      <c r="G42" s="9"/>
      <c r="H42" s="14"/>
      <c r="I42" s="40"/>
      <c r="J42" s="35"/>
      <c r="K42" s="41"/>
      <c r="L42" s="142"/>
      <c r="M42" s="15"/>
      <c r="N42" s="45"/>
      <c r="O42" s="46"/>
      <c r="P42" s="36"/>
      <c r="Q42" s="43"/>
      <c r="R42" s="44"/>
      <c r="S42" s="15"/>
      <c r="T42" s="45"/>
      <c r="U42" s="59"/>
      <c r="V42" s="46"/>
      <c r="W42" s="36"/>
      <c r="X42" s="132"/>
      <c r="Y42" s="8"/>
      <c r="Z42" s="8"/>
      <c r="AA42" s="8"/>
      <c r="AB42" s="127"/>
      <c r="AC42" s="32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ht="15.75" thickBot="1">
      <c r="A43" s="61" t="s">
        <v>55</v>
      </c>
      <c r="B43" s="25" t="s">
        <v>23</v>
      </c>
      <c r="C43" s="25"/>
      <c r="D43" s="161"/>
      <c r="E43" s="161"/>
      <c r="F43" s="26"/>
      <c r="G43" s="26"/>
      <c r="H43" s="38"/>
      <c r="I43" s="64"/>
      <c r="J43" s="65"/>
      <c r="K43" s="144"/>
      <c r="L43" s="143"/>
      <c r="M43" s="27"/>
      <c r="N43" s="68"/>
      <c r="O43" s="69"/>
      <c r="P43" s="70"/>
      <c r="Q43" s="71"/>
      <c r="R43" s="67"/>
      <c r="S43" s="27"/>
      <c r="T43" s="68"/>
      <c r="U43" s="72"/>
      <c r="V43" s="69"/>
      <c r="W43" s="70"/>
      <c r="X43" s="134"/>
      <c r="Y43" s="8"/>
      <c r="Z43" s="8"/>
      <c r="AA43" s="8"/>
      <c r="AB43" s="127"/>
      <c r="AC43" s="32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s="13" customFormat="1" ht="15.75" thickBot="1">
      <c r="A44" s="92" t="s">
        <v>56</v>
      </c>
      <c r="B44" s="93" t="s">
        <v>57</v>
      </c>
      <c r="C44" s="93"/>
      <c r="D44" s="163"/>
      <c r="E44" s="163"/>
      <c r="F44" s="94">
        <f>SUM(F45:F51)</f>
        <v>2950493.1700000004</v>
      </c>
      <c r="G44" s="94">
        <f aca="true" t="shared" si="6" ref="G44:AA44">SUM(G45:G51)</f>
        <v>611728.5700000001</v>
      </c>
      <c r="H44" s="94">
        <f t="shared" si="6"/>
        <v>3562221.74</v>
      </c>
      <c r="I44" s="94">
        <f t="shared" si="6"/>
        <v>536000</v>
      </c>
      <c r="J44" s="94">
        <f t="shared" si="6"/>
        <v>112560</v>
      </c>
      <c r="K44" s="94">
        <f t="shared" si="6"/>
        <v>648560</v>
      </c>
      <c r="L44" s="94">
        <f t="shared" si="6"/>
        <v>20000</v>
      </c>
      <c r="M44" s="94">
        <f t="shared" si="6"/>
        <v>4200</v>
      </c>
      <c r="N44" s="94">
        <f t="shared" si="6"/>
        <v>24200</v>
      </c>
      <c r="O44" s="94">
        <f t="shared" si="6"/>
        <v>1744135.0190082644</v>
      </c>
      <c r="P44" s="94">
        <f t="shared" si="6"/>
        <v>358393.3539917356</v>
      </c>
      <c r="Q44" s="94">
        <f t="shared" si="6"/>
        <v>2102528.373</v>
      </c>
      <c r="R44" s="94">
        <f t="shared" si="6"/>
        <v>650358.1545454545</v>
      </c>
      <c r="S44" s="94">
        <f t="shared" si="6"/>
        <v>136575.21245454546</v>
      </c>
      <c r="T44" s="94">
        <f t="shared" si="6"/>
        <v>786933.3670000001</v>
      </c>
      <c r="U44" s="94">
        <f t="shared" si="6"/>
        <v>0</v>
      </c>
      <c r="V44" s="94">
        <f t="shared" si="6"/>
        <v>1346579.24</v>
      </c>
      <c r="W44" s="94">
        <f t="shared" si="6"/>
        <v>274906.64040000003</v>
      </c>
      <c r="X44" s="94">
        <f t="shared" si="6"/>
        <v>1621485.8804</v>
      </c>
      <c r="Y44" s="94">
        <f t="shared" si="6"/>
        <v>1603913.9301652894</v>
      </c>
      <c r="Z44" s="94">
        <f t="shared" si="6"/>
        <v>336821.92533471074</v>
      </c>
      <c r="AA44" s="94">
        <f t="shared" si="6"/>
        <v>1940735.8555</v>
      </c>
      <c r="AB44" s="128"/>
      <c r="AC44" s="32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s="13" customFormat="1" ht="15">
      <c r="A45" s="88" t="s">
        <v>80</v>
      </c>
      <c r="B45" s="74" t="s">
        <v>75</v>
      </c>
      <c r="C45" s="89"/>
      <c r="D45" s="164"/>
      <c r="E45" s="164"/>
      <c r="F45" s="75">
        <v>526000</v>
      </c>
      <c r="G45" s="75">
        <f>F45*0.21</f>
        <v>110460</v>
      </c>
      <c r="H45" s="23">
        <f>F45+G45</f>
        <v>636460</v>
      </c>
      <c r="I45" s="76">
        <f aca="true" t="shared" si="7" ref="I45:K46">F45</f>
        <v>526000</v>
      </c>
      <c r="J45" s="77">
        <f t="shared" si="7"/>
        <v>110460</v>
      </c>
      <c r="K45" s="91">
        <f t="shared" si="7"/>
        <v>636460</v>
      </c>
      <c r="L45" s="141"/>
      <c r="M45" s="80"/>
      <c r="N45" s="81"/>
      <c r="O45" s="82"/>
      <c r="P45" s="83"/>
      <c r="Q45" s="78"/>
      <c r="R45" s="79"/>
      <c r="S45" s="80"/>
      <c r="T45" s="81"/>
      <c r="U45" s="90"/>
      <c r="V45" s="76">
        <f>X45-W45</f>
        <v>526000</v>
      </c>
      <c r="W45" s="77">
        <f>(X45/121)*21</f>
        <v>110460</v>
      </c>
      <c r="X45" s="78">
        <f>K45</f>
        <v>636460</v>
      </c>
      <c r="Y45" s="9"/>
      <c r="Z45" s="9"/>
      <c r="AA45" s="9"/>
      <c r="AB45" s="128"/>
      <c r="AC45" s="32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ht="15">
      <c r="A46" s="21" t="s">
        <v>69</v>
      </c>
      <c r="B46" s="11" t="s">
        <v>112</v>
      </c>
      <c r="C46" s="19"/>
      <c r="D46" s="165"/>
      <c r="E46" s="165"/>
      <c r="F46" s="9">
        <v>10000</v>
      </c>
      <c r="G46" s="9">
        <f aca="true" t="shared" si="8" ref="G46:G51">H46-F46</f>
        <v>2100</v>
      </c>
      <c r="H46" s="14">
        <f>F46*1.21</f>
        <v>12100</v>
      </c>
      <c r="I46" s="40">
        <f t="shared" si="7"/>
        <v>10000</v>
      </c>
      <c r="J46" s="35">
        <f t="shared" si="7"/>
        <v>2100</v>
      </c>
      <c r="K46" s="145">
        <f t="shared" si="7"/>
        <v>12100</v>
      </c>
      <c r="L46" s="142"/>
      <c r="M46" s="15"/>
      <c r="N46" s="45"/>
      <c r="O46" s="46"/>
      <c r="P46" s="36"/>
      <c r="Q46" s="43"/>
      <c r="R46" s="44"/>
      <c r="S46" s="15"/>
      <c r="T46" s="45"/>
      <c r="U46" s="59"/>
      <c r="V46" s="46">
        <f>X46-W46</f>
        <v>10000</v>
      </c>
      <c r="W46" s="36">
        <f>(X46/121)*21</f>
        <v>2100</v>
      </c>
      <c r="X46" s="42">
        <f>H46</f>
        <v>12100</v>
      </c>
      <c r="Y46" s="9"/>
      <c r="Z46" s="9"/>
      <c r="AA46" s="8"/>
      <c r="AB46" s="126"/>
      <c r="AC46" s="32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ht="15">
      <c r="A47" s="21" t="s">
        <v>70</v>
      </c>
      <c r="B47" s="11" t="s">
        <v>113</v>
      </c>
      <c r="C47" s="8"/>
      <c r="D47" s="166"/>
      <c r="E47" s="166"/>
      <c r="F47" s="9">
        <v>501560.55</v>
      </c>
      <c r="G47" s="9">
        <f t="shared" si="8"/>
        <v>105327.72000000003</v>
      </c>
      <c r="H47" s="14">
        <v>606888.27</v>
      </c>
      <c r="I47" s="40"/>
      <c r="J47" s="35"/>
      <c r="K47" s="145"/>
      <c r="L47" s="142"/>
      <c r="M47" s="15"/>
      <c r="N47" s="45"/>
      <c r="O47" s="46">
        <f>Q47-((Q47/121)*21)</f>
        <v>351092.38760330575</v>
      </c>
      <c r="P47" s="36">
        <f>(Q47/121)*21</f>
        <v>73729.40139669421</v>
      </c>
      <c r="Q47" s="43">
        <f>H47*0.7</f>
        <v>424821.789</v>
      </c>
      <c r="R47" s="44">
        <f>T47-S47</f>
        <v>150468.16611570248</v>
      </c>
      <c r="S47" s="15">
        <f>(T47/121)*21</f>
        <v>31598.31488429752</v>
      </c>
      <c r="T47" s="45">
        <f>H47*0.3</f>
        <v>182066.481</v>
      </c>
      <c r="U47" s="59"/>
      <c r="V47" s="124"/>
      <c r="W47" s="9"/>
      <c r="X47" s="189"/>
      <c r="Y47" s="9">
        <f>F47</f>
        <v>501560.55</v>
      </c>
      <c r="Z47" s="9">
        <f>Y47*0.21</f>
        <v>105327.71549999999</v>
      </c>
      <c r="AA47" s="9">
        <f>Y47*1.21</f>
        <v>606888.2655</v>
      </c>
      <c r="AB47" s="126"/>
      <c r="AC47" s="32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ht="15">
      <c r="A48" s="21" t="s">
        <v>71</v>
      </c>
      <c r="B48" s="11" t="s">
        <v>114</v>
      </c>
      <c r="C48" s="8"/>
      <c r="D48" s="166"/>
      <c r="E48" s="166"/>
      <c r="F48" s="9">
        <v>1506158.48</v>
      </c>
      <c r="G48" s="9">
        <f t="shared" si="8"/>
        <v>316293.28</v>
      </c>
      <c r="H48" s="14">
        <v>1822451.76</v>
      </c>
      <c r="I48" s="40"/>
      <c r="J48" s="35"/>
      <c r="K48" s="145"/>
      <c r="L48" s="142"/>
      <c r="M48" s="15"/>
      <c r="N48" s="45"/>
      <c r="O48" s="46">
        <f>Q48-((Q48/121)*21)</f>
        <v>1355542.6314049587</v>
      </c>
      <c r="P48" s="36">
        <f>(Q48/121)*21</f>
        <v>284663.95259504137</v>
      </c>
      <c r="Q48" s="43">
        <f>H48*0.9</f>
        <v>1640206.584</v>
      </c>
      <c r="R48" s="44">
        <f>T48-S48</f>
        <v>150615.8479338843</v>
      </c>
      <c r="S48" s="15">
        <f>(T48/121)*21</f>
        <v>31629.328066115704</v>
      </c>
      <c r="T48" s="45">
        <f>H48*0.1</f>
        <v>182245.176</v>
      </c>
      <c r="U48" s="59"/>
      <c r="V48" s="124">
        <f>F48*0.5</f>
        <v>753079.24</v>
      </c>
      <c r="W48" s="9">
        <f>V48*0.21</f>
        <v>158146.6404</v>
      </c>
      <c r="X48" s="189">
        <f>V48*1.21</f>
        <v>911225.8803999999</v>
      </c>
      <c r="Y48" s="9">
        <f>AA48-Z48</f>
        <v>753079.2396694215</v>
      </c>
      <c r="Z48" s="9">
        <f>(AA48/121)*21</f>
        <v>158146.64033057852</v>
      </c>
      <c r="AA48" s="9">
        <f>H48*0.5</f>
        <v>911225.88</v>
      </c>
      <c r="AB48" s="126"/>
      <c r="AC48" s="32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ht="15">
      <c r="A49" s="21" t="s">
        <v>72</v>
      </c>
      <c r="B49" s="11" t="s">
        <v>115</v>
      </c>
      <c r="C49" s="8"/>
      <c r="D49" s="166"/>
      <c r="E49" s="166"/>
      <c r="F49" s="9">
        <v>349274.14</v>
      </c>
      <c r="G49" s="9">
        <f t="shared" si="8"/>
        <v>73347.57</v>
      </c>
      <c r="H49" s="14">
        <v>422621.71</v>
      </c>
      <c r="I49" s="40"/>
      <c r="J49" s="35"/>
      <c r="K49" s="145"/>
      <c r="L49" s="142"/>
      <c r="M49" s="15"/>
      <c r="N49" s="45"/>
      <c r="O49" s="46"/>
      <c r="P49" s="36"/>
      <c r="Q49" s="43"/>
      <c r="R49" s="44">
        <f>T49-S49</f>
        <v>349274.1404958678</v>
      </c>
      <c r="S49" s="15">
        <f>(T49/121)*21</f>
        <v>73347.56950413223</v>
      </c>
      <c r="T49" s="45">
        <f>H49</f>
        <v>422621.71</v>
      </c>
      <c r="U49" s="59"/>
      <c r="V49" s="46"/>
      <c r="W49" s="36"/>
      <c r="X49" s="132"/>
      <c r="Y49" s="9">
        <f>AA49-Z49</f>
        <v>349274.1404958678</v>
      </c>
      <c r="Z49" s="9">
        <f>(AA49/121)*21</f>
        <v>73347.56950413223</v>
      </c>
      <c r="AA49" s="9">
        <f>T49</f>
        <v>422621.71</v>
      </c>
      <c r="AB49" s="126"/>
      <c r="AC49" s="32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ht="30">
      <c r="A50" s="21" t="s">
        <v>73</v>
      </c>
      <c r="B50" s="11" t="s">
        <v>116</v>
      </c>
      <c r="C50" s="8"/>
      <c r="D50" s="166"/>
      <c r="E50" s="166"/>
      <c r="F50" s="9">
        <v>20000</v>
      </c>
      <c r="G50" s="9">
        <f t="shared" si="8"/>
        <v>4200</v>
      </c>
      <c r="H50" s="14">
        <v>24200</v>
      </c>
      <c r="I50" s="64"/>
      <c r="J50" s="66"/>
      <c r="K50" s="146"/>
      <c r="L50" s="142">
        <f>N50-M50</f>
        <v>20000</v>
      </c>
      <c r="M50" s="15">
        <f>(N50/121)*21</f>
        <v>4200</v>
      </c>
      <c r="N50" s="15">
        <f>H50</f>
        <v>24200</v>
      </c>
      <c r="O50" s="36"/>
      <c r="P50" s="36"/>
      <c r="Q50" s="36"/>
      <c r="R50" s="15"/>
      <c r="S50" s="15"/>
      <c r="T50" s="15"/>
      <c r="U50" s="15"/>
      <c r="V50" s="36">
        <f>X50-W50</f>
        <v>20000</v>
      </c>
      <c r="W50" s="36">
        <f>(X50/121)*21</f>
        <v>4200</v>
      </c>
      <c r="X50" s="42">
        <f>H50</f>
        <v>24200</v>
      </c>
      <c r="Y50" s="9"/>
      <c r="Z50" s="9"/>
      <c r="AA50" s="8"/>
      <c r="AB50" s="126"/>
      <c r="AC50" s="32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ht="30.75" thickBot="1">
      <c r="A51" s="21" t="s">
        <v>92</v>
      </c>
      <c r="B51" s="174" t="s">
        <v>117</v>
      </c>
      <c r="C51" s="8"/>
      <c r="D51" s="166"/>
      <c r="E51" s="166"/>
      <c r="F51" s="9">
        <v>37500</v>
      </c>
      <c r="G51" s="9">
        <f t="shared" si="8"/>
        <v>0</v>
      </c>
      <c r="H51" s="125">
        <v>37500</v>
      </c>
      <c r="I51" s="135"/>
      <c r="J51" s="136"/>
      <c r="K51" s="137"/>
      <c r="L51" s="142"/>
      <c r="M51" s="15"/>
      <c r="N51" s="15"/>
      <c r="O51" s="15">
        <f>F51</f>
        <v>37500</v>
      </c>
      <c r="P51" s="15"/>
      <c r="Q51" s="15">
        <f>H51</f>
        <v>37500</v>
      </c>
      <c r="R51" s="15"/>
      <c r="S51" s="15"/>
      <c r="T51" s="15"/>
      <c r="U51" s="15"/>
      <c r="V51" s="15">
        <f>O51</f>
        <v>37500</v>
      </c>
      <c r="W51" s="15">
        <v>0</v>
      </c>
      <c r="X51" s="125">
        <f>Q51</f>
        <v>37500</v>
      </c>
      <c r="Y51" s="15"/>
      <c r="Z51" s="15"/>
      <c r="AA51" s="15"/>
      <c r="AB51" s="24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6:256" ht="15">
      <c r="F52" s="12"/>
      <c r="G52" s="12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ht="15">
      <c r="A53" s="149" t="s">
        <v>120</v>
      </c>
      <c r="F53" s="12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ht="15">
      <c r="A54" s="149" t="s">
        <v>96</v>
      </c>
      <c r="F54" s="12"/>
      <c r="G54" s="12"/>
      <c r="H54" s="12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AB54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ht="15">
      <c r="A55" s="149"/>
      <c r="F55" s="12"/>
      <c r="G55" s="12"/>
      <c r="H55" s="12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AB55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2:256" ht="15">
      <c r="B56" s="1" t="s">
        <v>121</v>
      </c>
      <c r="F56" s="12"/>
      <c r="G56" s="179"/>
      <c r="H56" s="18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AB56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ht="30">
      <c r="A57" s="175"/>
      <c r="B57" s="178" t="s">
        <v>118</v>
      </c>
      <c r="C57" s="177">
        <f>(H10+H15+H16+H17+H37+H38+H40)/H7</f>
        <v>0.031100627025168207</v>
      </c>
      <c r="D57" s="176"/>
      <c r="E57" s="167"/>
      <c r="F57" s="37"/>
      <c r="G57" s="181"/>
      <c r="H57" s="18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AB57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2:256" ht="15">
      <c r="B58" s="18"/>
      <c r="C58" s="18"/>
      <c r="D58" s="167"/>
      <c r="E58" s="167"/>
      <c r="F58" s="12"/>
      <c r="G58" s="180"/>
      <c r="H58" s="18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AB58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6:256" ht="15">
      <c r="F59" s="12"/>
      <c r="G59" s="180"/>
      <c r="H59" s="18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AB59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2:256" ht="15">
      <c r="B60" s="1"/>
      <c r="C60" s="1"/>
      <c r="D60" s="168"/>
      <c r="E60" s="168"/>
      <c r="F60" s="12"/>
      <c r="G60" s="179"/>
      <c r="H60" s="17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AB6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6:256" ht="15">
      <c r="F61" s="12"/>
      <c r="G61" s="12"/>
      <c r="H61" s="12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AB61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6:256" ht="15">
      <c r="F62" s="12"/>
      <c r="G62" s="12"/>
      <c r="H62" s="12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AB62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2:256" ht="15">
      <c r="B63" s="1"/>
      <c r="C63" s="1"/>
      <c r="D63" s="168"/>
      <c r="E63" s="168"/>
      <c r="F63" s="20"/>
      <c r="G63" s="20"/>
      <c r="H63" s="2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AB63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6:256" ht="15">
      <c r="F64" s="12"/>
      <c r="G64" s="12"/>
      <c r="H64" s="12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AB64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6:256" ht="15">
      <c r="F65" s="1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AB65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6:256" ht="15">
      <c r="F66" s="1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AB66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6:256" ht="15"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AB67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6:256" ht="15"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AB68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6:256" ht="15">
      <c r="F69" s="1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AB69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6:256" ht="15">
      <c r="F70" s="1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AB7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6:256" ht="15"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AB71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6:256" ht="15">
      <c r="F72" s="1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AB72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6:256" ht="15">
      <c r="F73" s="12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AB73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6:256" ht="15">
      <c r="F74" s="1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AB74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6:256" ht="15">
      <c r="F75" s="1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AB75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6:28" ht="15">
      <c r="F76" s="1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AB76"/>
    </row>
    <row r="77" spans="6:28" ht="15">
      <c r="F77" s="1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AB77"/>
    </row>
    <row r="78" spans="6:28" ht="15">
      <c r="F78" s="12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AB78"/>
    </row>
    <row r="79" spans="6:28" ht="15">
      <c r="F79" s="1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AB79"/>
    </row>
    <row r="80" spans="6:28" ht="15">
      <c r="F80" s="1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AB80"/>
    </row>
    <row r="81" spans="6:28" ht="15">
      <c r="F81" s="1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AB81"/>
    </row>
    <row r="82" spans="6:28" ht="15">
      <c r="F82" s="12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AB82"/>
    </row>
    <row r="83" spans="6:28" ht="15">
      <c r="F83" s="1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AB83"/>
    </row>
    <row r="84" spans="6:28" ht="15">
      <c r="F84" s="1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AB84"/>
    </row>
    <row r="85" spans="6:28" ht="15">
      <c r="F85" s="1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AB85"/>
    </row>
    <row r="86" spans="6:28" ht="15">
      <c r="F86" s="1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AB86"/>
    </row>
    <row r="87" spans="6:28" ht="15"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AB87"/>
    </row>
    <row r="88" spans="6:28" ht="15">
      <c r="F88" s="1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AB88"/>
    </row>
    <row r="89" spans="6:28" ht="15">
      <c r="F89" s="12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AB89"/>
    </row>
    <row r="90" spans="6:28" ht="15">
      <c r="F90" s="1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AB90"/>
    </row>
    <row r="91" spans="6:28" ht="15">
      <c r="F91" s="1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AB91"/>
    </row>
    <row r="92" spans="6:28" ht="15">
      <c r="F92" s="1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AB92"/>
    </row>
    <row r="93" spans="6:28" ht="15">
      <c r="F93" s="1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AB93"/>
    </row>
    <row r="94" spans="6:28" ht="15">
      <c r="F94" s="1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AB94"/>
    </row>
    <row r="95" spans="6:28" ht="15">
      <c r="F95" s="1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AB95"/>
    </row>
    <row r="96" spans="6:28" ht="15">
      <c r="F96" s="12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AB96"/>
    </row>
    <row r="97" spans="6:28" ht="15">
      <c r="F97" s="12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AB97"/>
    </row>
    <row r="98" spans="6:28" ht="15">
      <c r="F98" s="12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AB98"/>
    </row>
    <row r="99" spans="7:28" ht="1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AB99"/>
    </row>
    <row r="100" spans="7:28" ht="1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AB100"/>
    </row>
    <row r="101" spans="7:28" ht="1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AB101"/>
    </row>
    <row r="102" spans="7:28" ht="1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AB102"/>
    </row>
    <row r="103" spans="7:28" ht="1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AB103"/>
    </row>
    <row r="104" spans="7:28" ht="1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AB104"/>
    </row>
    <row r="105" spans="7:28" ht="1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AB105"/>
    </row>
    <row r="106" spans="7:28" ht="1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AB106"/>
    </row>
    <row r="107" spans="7:28" ht="1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AB107"/>
    </row>
    <row r="108" spans="7:28" ht="1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AB108"/>
    </row>
    <row r="109" spans="7:28" ht="1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AB109"/>
    </row>
    <row r="110" spans="7:28" ht="1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AB110"/>
    </row>
    <row r="111" spans="7:28" ht="1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AB111"/>
    </row>
    <row r="112" spans="7:28" ht="1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AB112"/>
    </row>
    <row r="113" spans="7:28" ht="1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AB113"/>
    </row>
    <row r="114" spans="7:28" ht="1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AB114"/>
    </row>
    <row r="115" spans="7:28" ht="1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AB115"/>
    </row>
    <row r="116" spans="7:28" ht="1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AB116"/>
    </row>
    <row r="117" spans="7:28" ht="1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AB117"/>
    </row>
    <row r="118" spans="7:28" ht="1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AB118"/>
    </row>
    <row r="119" spans="7:28" ht="1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AB119"/>
    </row>
    <row r="120" spans="7:28" ht="1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AB120"/>
    </row>
    <row r="121" spans="7:28" ht="1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AB121"/>
    </row>
    <row r="122" spans="7:28" ht="1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AB122"/>
    </row>
    <row r="123" spans="7:28" ht="1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AB123"/>
    </row>
    <row r="124" spans="7:28" ht="1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AB124"/>
    </row>
    <row r="125" spans="14:28" ht="15"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AB125"/>
    </row>
    <row r="126" spans="14:28" ht="15"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AB126"/>
    </row>
    <row r="127" spans="14:28" ht="15"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AB127"/>
    </row>
    <row r="128" spans="14:28" ht="15"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AB128"/>
    </row>
    <row r="129" spans="14:28" ht="15"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AB129"/>
    </row>
    <row r="130" spans="14:28" ht="15"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AB130"/>
    </row>
    <row r="131" spans="14:28" ht="15"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AB131"/>
    </row>
    <row r="132" spans="14:28" ht="15"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AB132"/>
    </row>
    <row r="133" spans="14:28" ht="15"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AB133"/>
    </row>
    <row r="134" spans="14:28" ht="15"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AB134"/>
    </row>
    <row r="135" spans="14:28" ht="15"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AB135"/>
    </row>
    <row r="136" spans="14:28" ht="15"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AB136"/>
    </row>
    <row r="137" spans="14:28" ht="15"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AB137"/>
    </row>
    <row r="138" spans="14:28" ht="15"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AB138"/>
    </row>
    <row r="139" spans="14:28" ht="15"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AB139"/>
    </row>
    <row r="140" spans="14:28" ht="15"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AB140"/>
    </row>
    <row r="141" spans="14:28" ht="15"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AB141"/>
    </row>
    <row r="142" spans="14:28" ht="15"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AB142"/>
    </row>
    <row r="143" spans="14:28" ht="15"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AB143"/>
    </row>
    <row r="144" spans="14:28" ht="15"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AB144"/>
    </row>
    <row r="145" spans="14:28" ht="15"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AB145"/>
    </row>
    <row r="146" spans="14:28" ht="15"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AB146"/>
    </row>
    <row r="147" ht="15">
      <c r="AB147"/>
    </row>
    <row r="148" ht="15">
      <c r="AB148"/>
    </row>
    <row r="149" ht="15">
      <c r="AB149"/>
    </row>
    <row r="150" ht="15">
      <c r="AB150"/>
    </row>
    <row r="151" ht="15">
      <c r="AB151"/>
    </row>
    <row r="152" ht="15">
      <c r="AB152"/>
    </row>
    <row r="153" ht="15">
      <c r="AB153"/>
    </row>
    <row r="154" ht="15">
      <c r="AB154"/>
    </row>
    <row r="155" ht="15">
      <c r="AB155"/>
    </row>
    <row r="156" ht="15">
      <c r="AB156"/>
    </row>
    <row r="157" ht="15">
      <c r="AB157"/>
    </row>
    <row r="158" ht="15">
      <c r="AB158"/>
    </row>
    <row r="159" ht="15">
      <c r="AB159"/>
    </row>
    <row r="160" ht="15">
      <c r="AB160"/>
    </row>
    <row r="161" ht="15">
      <c r="AB161"/>
    </row>
    <row r="162" ht="15">
      <c r="AB162"/>
    </row>
    <row r="163" ht="15">
      <c r="AB163"/>
    </row>
    <row r="164" ht="15">
      <c r="AB164"/>
    </row>
    <row r="165" ht="15">
      <c r="AB165"/>
    </row>
    <row r="166" ht="15">
      <c r="AB166"/>
    </row>
    <row r="167" ht="15">
      <c r="AB167"/>
    </row>
  </sheetData>
  <sheetProtection/>
  <mergeCells count="8">
    <mergeCell ref="V3:AB3"/>
    <mergeCell ref="I3:T3"/>
    <mergeCell ref="L4:N4"/>
    <mergeCell ref="O4:Q4"/>
    <mergeCell ref="R4:T4"/>
    <mergeCell ref="I4:K4"/>
    <mergeCell ref="V4:X4"/>
    <mergeCell ref="Y4:AA4"/>
  </mergeCells>
  <printOptions/>
  <pageMargins left="0.2755905511811024" right="0.2362204724409449" top="0.7480314960629921" bottom="0.7874015748031497" header="0.31496062992125984" footer="0.31496062992125984"/>
  <pageSetup fitToHeight="1" fitToWidth="1" horizontalDpi="600" verticalDpi="600" orientation="landscape" paperSize="8" scale="26" r:id="rId3"/>
  <headerFooter>
    <oddHeader>&amp;RRK-40-2016-107, př. 3
Počet stran: 1</oddHeader>
  </headerFooter>
  <colBreaks count="1" manualBreakCount="1">
    <brk id="20" max="5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Kutiš Pavel Ing. et Ing.</dc:creator>
  <cp:keywords/>
  <dc:description/>
  <cp:lastModifiedBy>Pospíchalová Petra</cp:lastModifiedBy>
  <cp:lastPrinted>2016-12-06T06:27:21Z</cp:lastPrinted>
  <dcterms:created xsi:type="dcterms:W3CDTF">2016-02-22T09:28:30Z</dcterms:created>
  <dcterms:modified xsi:type="dcterms:W3CDTF">2016-12-06T06:27:27Z</dcterms:modified>
  <cp:category/>
  <cp:version/>
  <cp:contentType/>
  <cp:contentStatus/>
</cp:coreProperties>
</file>