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2" windowWidth="15492" windowHeight="7716" tabRatio="775" activeTab="0"/>
  </bookViews>
  <sheets>
    <sheet name="fin. plán 2013" sheetId="1" r:id="rId1"/>
    <sheet name="Dotace z MPSV" sheetId="2" r:id="rId2"/>
    <sheet name="Domov ve Zboží" sheetId="3" r:id="rId3"/>
    <sheet name="Domov Háj" sheetId="4" r:id="rId4"/>
    <sheet name="ÚSP Lidmaň" sheetId="5" r:id="rId5"/>
    <sheet name="Domov ve Věži" sheetId="6" r:id="rId6"/>
    <sheet name="Domov Jeřabina" sheetId="7" r:id="rId7"/>
    <sheet name="Domov bez zámku" sheetId="8" r:id="rId8"/>
    <sheet name="ÚSP Nové Syrovice" sheetId="9" r:id="rId9"/>
    <sheet name="ÚSP Křižanov" sheetId="10" r:id="rId10"/>
    <sheet name="DS M.Curierových" sheetId="11" r:id="rId11"/>
    <sheet name="DS Třebíč Koutkova" sheetId="12" r:id="rId12"/>
    <sheet name="DS Náměšť nad Os" sheetId="13" r:id="rId13"/>
    <sheet name="Psych.Jihl." sheetId="14" r:id="rId14"/>
    <sheet name="DS Mitrov" sheetId="15" r:id="rId15"/>
    <sheet name="DS Velké Meziříčí" sheetId="16" r:id="rId16"/>
    <sheet name="DS Havlíčkův Brod" sheetId="17" r:id="rId17"/>
    <sheet name="DD Humpolec" sheetId="18" r:id="rId18"/>
    <sheet name="DD Proseč u Pošné" sheetId="19" r:id="rId19"/>
    <sheet name="DD Onšov" sheetId="20" r:id="rId20"/>
    <sheet name="DD Proseč Obořiště" sheetId="21" r:id="rId21"/>
    <sheet name="DD Ždírec" sheetId="22" r:id="rId22"/>
    <sheet name="List1" sheetId="23" r:id="rId23"/>
  </sheets>
  <definedNames>
    <definedName name="_454">"#REF!"</definedName>
    <definedName name="_455">"#REF!"</definedName>
    <definedName name="_459">"#REF!"</definedName>
    <definedName name="_463">"#REF!"</definedName>
    <definedName name="_464">"#REF!"</definedName>
    <definedName name="_465">"#REF!"</definedName>
    <definedName name="_48">"#REF!"</definedName>
    <definedName name="_49">"#REF!"</definedName>
    <definedName name="_53">"#REF!"</definedName>
    <definedName name="_55">"#REF!"</definedName>
    <definedName name="_57">"#REF!"</definedName>
    <definedName name="_59">"#REF!"</definedName>
    <definedName name="_690">"#REF!"</definedName>
    <definedName name="_691">"#REF!"</definedName>
    <definedName name="_695">"#REF!"</definedName>
    <definedName name="_697">"#REF!"</definedName>
    <definedName name="_699">"#REF!"</definedName>
    <definedName name="_701">"#REF!"</definedName>
    <definedName name="_875">"#REF!"</definedName>
    <definedName name="_876">"#REF!"</definedName>
    <definedName name="_880">"#REF!"</definedName>
    <definedName name="_882">"#REF!"</definedName>
    <definedName name="_884">"#REF!"</definedName>
    <definedName name="_886">"#REF!"</definedName>
    <definedName name="_xlnm.Print_Area_1">'fin. plán 2013'!$A$1:$X$174</definedName>
    <definedName name="_xlnm.Print_Area_10">'ÚSP Křižanov'!$A$1:$N$127</definedName>
    <definedName name="_xlnm.Print_Area_11">'DS M.Curierových'!$A$1:$N$127</definedName>
    <definedName name="_xlnm.Print_Area_12">'DS Třebíč Koutkova'!$A$1:$N$124</definedName>
    <definedName name="_xlnm.Print_Area_13">'DS Náměšť nad Os'!$A$1:$N$132</definedName>
    <definedName name="_xlnm.Print_Area_14">'Psych.Jihl.'!$A$1:$N$122</definedName>
    <definedName name="_xlnm.Print_Area_15">'DS Mitrov'!$A$1:$N$129</definedName>
    <definedName name="_xlnm.Print_Area_16">'DS Velké Meziříčí'!$A$1:$N$127</definedName>
    <definedName name="_xlnm.Print_Area_17">'DS Havlíčkův Brod'!$A$1:$N$129</definedName>
    <definedName name="_xlnm.Print_Area_18">'DD Humpolec'!$A$1:$N$127</definedName>
    <definedName name="_xlnm.Print_Area_19">'DD Proseč u Pošné'!$A$1:$N$128</definedName>
    <definedName name="_xlnm.Print_Area_2">#REF!</definedName>
    <definedName name="_xlnm.Print_Area_20">'DD Onšov'!$A$1:$N$128</definedName>
    <definedName name="_xlnm.Print_Area_21">'DD Proseč Obořiště'!$A$1:$N$128</definedName>
    <definedName name="_xlnm.Print_Area_22">'DD Ždírec'!$A$1:$N$128</definedName>
    <definedName name="_xlnm.Print_Area_3">'Domov ve Zboží'!$A$1:$N$127</definedName>
    <definedName name="_xlnm.Print_Area_4">'Domov Háj'!$A$1:$N$126</definedName>
    <definedName name="_xlnm.Print_Area_6">'Domov ve Věži'!$A$1:$N$122</definedName>
    <definedName name="_xlnm.Print_Area_7">'Domov Jeřabina'!$A$1:$N$122</definedName>
    <definedName name="_xlnm.Print_Area_8">'Domov bez zámku'!$A$1:$N$127</definedName>
    <definedName name="_xlnm.Print_Area_9">'ÚSP Nové Syrovice'!$A$1:$N$127</definedName>
    <definedName name="_xlnm.Print_Area" localSheetId="17">'DD Humpolec'!$A$1:$N$129</definedName>
    <definedName name="_xlnm.Print_Area" localSheetId="19">'DD Onšov'!$A$1:$N$128</definedName>
    <definedName name="_xlnm.Print_Area" localSheetId="20">'DD Proseč Obořiště'!$A$1:$N$128</definedName>
    <definedName name="_xlnm.Print_Area" localSheetId="18">'DD Proseč u Pošné'!$A$1:$N$128</definedName>
    <definedName name="_xlnm.Print_Area" localSheetId="21">'DD Ždírec'!$A$1:$N$128</definedName>
    <definedName name="_xlnm.Print_Area" localSheetId="7">'Domov bez zámku'!$A$1:$N$127</definedName>
    <definedName name="_xlnm.Print_Area" localSheetId="3">'Domov Háj'!$A$1:$N$127</definedName>
    <definedName name="_xlnm.Print_Area" localSheetId="6">'Domov Jeřabina'!$A$1:$N$127</definedName>
    <definedName name="_xlnm.Print_Area" localSheetId="5">'Domov ve Věži'!$A$1:$N$127</definedName>
    <definedName name="_xlnm.Print_Area" localSheetId="2">'Domov ve Zboží'!$A$1:$N$128</definedName>
    <definedName name="_xlnm.Print_Area" localSheetId="16">'DS Havlíčkův Brod'!$A$1:$N$131</definedName>
    <definedName name="_xlnm.Print_Area" localSheetId="10">'DS M.Curierových'!$A$1:$N$127</definedName>
    <definedName name="_xlnm.Print_Area" localSheetId="14">'DS Mitrov'!$A$1:$N$129</definedName>
    <definedName name="_xlnm.Print_Area" localSheetId="12">'DS Náměšť nad Os'!$A$1:$N$133</definedName>
    <definedName name="_xlnm.Print_Area" localSheetId="11">'DS Třebíč Koutkova'!$A$1:$N$127</definedName>
    <definedName name="_xlnm.Print_Area" localSheetId="15">'DS Velké Meziříčí'!$A$1:$N$129</definedName>
    <definedName name="_xlnm.Print_Area" localSheetId="0">'fin. plán 2013'!$A$1:$X$180</definedName>
    <definedName name="_xlnm.Print_Area" localSheetId="13">'Psych.Jihl.'!$A$1:$N$129</definedName>
    <definedName name="_xlnm.Print_Area" localSheetId="9">'ÚSP Křižanov'!$A$1:$N$127</definedName>
    <definedName name="_xlnm.Print_Area" localSheetId="8">'ÚSP Nové Syrovice'!$A$1:$N$127</definedName>
  </definedNames>
  <calcPr fullCalcOnLoad="1"/>
</workbook>
</file>

<file path=xl/sharedStrings.xml><?xml version="1.0" encoding="utf-8"?>
<sst xmlns="http://schemas.openxmlformats.org/spreadsheetml/2006/main" count="3681" uniqueCount="366">
  <si>
    <t>/ v tis. Kč/</t>
  </si>
  <si>
    <t>DS Havlíčkův Brod</t>
  </si>
  <si>
    <t>DD Ždírec</t>
  </si>
  <si>
    <t>DD Onšov</t>
  </si>
  <si>
    <t>DD Proseč Obořiště</t>
  </si>
  <si>
    <t>DD Proseč u  Pošné</t>
  </si>
  <si>
    <t>DD Humpolec</t>
  </si>
  <si>
    <t>DS Třebíč Koutkova-Kubešova</t>
  </si>
  <si>
    <t>DS Třebíč Manž. Curieových</t>
  </si>
  <si>
    <t>DS Náměšt nad Oslavou</t>
  </si>
  <si>
    <t>DS Mitrov</t>
  </si>
  <si>
    <t>DS Velké Meziříčí</t>
  </si>
  <si>
    <t>Celkem DD</t>
  </si>
  <si>
    <t>ÚSP Lidmaň</t>
  </si>
  <si>
    <t>Domov bez zámku</t>
  </si>
  <si>
    <t>Domov ve Věži</t>
  </si>
  <si>
    <t>ÚSP Křižanov</t>
  </si>
  <si>
    <t>Domov Jeřabina</t>
  </si>
  <si>
    <t>ÚSP Nové Syrovice</t>
  </si>
  <si>
    <t>DÚSP Černovice</t>
  </si>
  <si>
    <t>Domov Háj</t>
  </si>
  <si>
    <t>Psychocentrum</t>
  </si>
  <si>
    <t>Celkem ÚSP</t>
  </si>
  <si>
    <t>Celkem zařízení (DD + ÚSP +        Psychocentrum)</t>
  </si>
  <si>
    <t>Výnosy z vlastních výkonů a zboží /úč.60/</t>
  </si>
  <si>
    <t>- výnosy z prodeje vlastních výrobků /úč.601/</t>
  </si>
  <si>
    <t>-  výnosy z prodeje služeb /úč.602/</t>
  </si>
  <si>
    <t xml:space="preserve">         z toho: - úhrady od obyvatel</t>
  </si>
  <si>
    <t xml:space="preserve">                    - příspěvek na péči</t>
  </si>
  <si>
    <t xml:space="preserve">                    - fakultativní služby</t>
  </si>
  <si>
    <t xml:space="preserve">                    - příjmy od zdravotní pojišťovny</t>
  </si>
  <si>
    <t xml:space="preserve">                    - obědy</t>
  </si>
  <si>
    <t xml:space="preserve">                    - ostatní výnosy</t>
  </si>
  <si>
    <t>- výnosy z pronájmu /úč.603/</t>
  </si>
  <si>
    <t>- výnosy z prodaného zboží /úč.604/</t>
  </si>
  <si>
    <t>Ostatní výnosy /sesk. 64/</t>
  </si>
  <si>
    <t>- výnosy z prodeje materiálu /úč.644/</t>
  </si>
  <si>
    <t>- výnosy z prodeje DNaHM /úč.645,646/</t>
  </si>
  <si>
    <t>- čerpání fondů /úč.648/</t>
  </si>
  <si>
    <t>Finanční výnosy /uč.66/</t>
  </si>
  <si>
    <t>- úroky /uč.662/</t>
  </si>
  <si>
    <t>- výnosy z dl. fin. majetku /uč.665/</t>
  </si>
  <si>
    <t>Výnosy z transferů: /sesk. 67/</t>
  </si>
  <si>
    <t>- MPSV</t>
  </si>
  <si>
    <t>- dotace z ÚP</t>
  </si>
  <si>
    <t>- jiné</t>
  </si>
  <si>
    <t>VÝNOSY CELKEM</t>
  </si>
  <si>
    <t>Spotřeba materiálu /úč.501/</t>
  </si>
  <si>
    <t>- potraviny</t>
  </si>
  <si>
    <t>- PHM</t>
  </si>
  <si>
    <t>- prádlo</t>
  </si>
  <si>
    <t>- knihy,tisk</t>
  </si>
  <si>
    <t>- materiál pro terapeutické činnosti</t>
  </si>
  <si>
    <t>- kancelářský materiál</t>
  </si>
  <si>
    <t>- čistící a desinfekční prostředky</t>
  </si>
  <si>
    <t>- všeobecný materiál - ostatní</t>
  </si>
  <si>
    <t>Spotřeba energie celkem</t>
  </si>
  <si>
    <t>- el.energie</t>
  </si>
  <si>
    <t>- plyn</t>
  </si>
  <si>
    <t>- voda a stočné</t>
  </si>
  <si>
    <t>Prodané zboží /úč.504/</t>
  </si>
  <si>
    <t>Aktivace DM a materiálu a zboží /úč. 506,507/</t>
  </si>
  <si>
    <t>Opravy a udržování /úč. 511/</t>
  </si>
  <si>
    <t>- opravy a údržba nemovitostí</t>
  </si>
  <si>
    <t>Cestovné /úč.512/</t>
  </si>
  <si>
    <t>Náklady na reprezentaci /úč.513/</t>
  </si>
  <si>
    <t>Ostatní služby /518/</t>
  </si>
  <si>
    <t>- služby spojů</t>
  </si>
  <si>
    <t>- nájemné</t>
  </si>
  <si>
    <t>- úklid - dodavatelsky</t>
  </si>
  <si>
    <t>- praní a opravy prádla - dodavatelsky</t>
  </si>
  <si>
    <t>- stravování - dodavatelsky</t>
  </si>
  <si>
    <t>- servis a revize</t>
  </si>
  <si>
    <t>- ostatní služby</t>
  </si>
  <si>
    <t>Osobní náklady /sesk. 52/</t>
  </si>
  <si>
    <t>- mzdové náklady /521/</t>
  </si>
  <si>
    <t xml:space="preserve">      z toho:  - platy zaměstnanců</t>
  </si>
  <si>
    <t xml:space="preserve">                  - OON</t>
  </si>
  <si>
    <t>- soc.pojištění /524-528/</t>
  </si>
  <si>
    <t>Daně a poplatky  /úč.53/</t>
  </si>
  <si>
    <t>- daň silniční</t>
  </si>
  <si>
    <t>Ostatní náklady /sesk.54/</t>
  </si>
  <si>
    <t>- smluvní pokuty</t>
  </si>
  <si>
    <t>- prodaný materiál /544/</t>
  </si>
  <si>
    <t>Odpisy, rezervy a opravné položky /sesk.55/</t>
  </si>
  <si>
    <t>- odpisy /551/</t>
  </si>
  <si>
    <t>- tvorba a zůčtování opravných položek /556/</t>
  </si>
  <si>
    <t>- náklady z drobného dlouhodobého majektu /úč.558/</t>
  </si>
  <si>
    <t>Finanční náklady /úč.56/</t>
  </si>
  <si>
    <t>- ostatní finanční náklady</t>
  </si>
  <si>
    <t>Daň z příjmů /úč.59/</t>
  </si>
  <si>
    <t>NÁKLADY CELKEM</t>
  </si>
  <si>
    <t>x</t>
  </si>
  <si>
    <t>DSNáměšt nad Oslavou</t>
  </si>
  <si>
    <t>Průměr</t>
  </si>
  <si>
    <t>v tis. Kč</t>
  </si>
  <si>
    <t>Rozdíl 2012 - 2011</t>
  </si>
  <si>
    <t>Celkem</t>
  </si>
  <si>
    <t xml:space="preserve">v </t>
  </si>
  <si>
    <t xml:space="preserve">Hlavní </t>
  </si>
  <si>
    <t>Doplňková</t>
  </si>
  <si>
    <t>+/-</t>
  </si>
  <si>
    <t>%</t>
  </si>
  <si>
    <t>činnost</t>
  </si>
  <si>
    <t>v tis.Kč</t>
  </si>
  <si>
    <t>/v Kč/</t>
  </si>
  <si>
    <t>Další investice:</t>
  </si>
  <si>
    <t>Neinvest. výdaje ISPROFIN</t>
  </si>
  <si>
    <t>Investiční výdaje ISPROFIN</t>
  </si>
  <si>
    <t xml:space="preserve">   z toho stavby</t>
  </si>
  <si>
    <t>/v tis. Kč/</t>
  </si>
  <si>
    <t>Pořizovací cena majetku</t>
  </si>
  <si>
    <t>celkem</t>
  </si>
  <si>
    <t>z toho odpisová skupina: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</si>
  <si>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</si>
  <si>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</si>
  <si>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</si>
  <si>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</si>
  <si>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</si>
  <si>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</si>
  <si>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</si>
  <si>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</si>
  <si>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</si>
  <si>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</si>
  <si>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>Přepočtený počet zaměstnanců</t>
  </si>
  <si>
    <t>Počty lůžek</t>
  </si>
  <si>
    <t>Limit mzdových prostředků</t>
  </si>
  <si>
    <t>rok</t>
  </si>
  <si>
    <t>Plán</t>
  </si>
  <si>
    <t>Skutečnost</t>
  </si>
  <si>
    <t>kapacita</t>
  </si>
  <si>
    <t>Limit</t>
  </si>
  <si>
    <t>Ústav sociální péče Zboží</t>
  </si>
  <si>
    <t>- oprava a údržba ICT</t>
  </si>
  <si>
    <t>odvod do rozpočtu zřizovatele</t>
  </si>
  <si>
    <t>Ústav sociální péče Lidmaň</t>
  </si>
  <si>
    <t>Odvod do rozpočtu zřizovatele</t>
  </si>
  <si>
    <t>Ústav sociální péče Nové Syrovice</t>
  </si>
  <si>
    <t>Ústav sociální péče Křižanov</t>
  </si>
  <si>
    <t>malování</t>
  </si>
  <si>
    <t>Domov pro seniory Třebíč - Manž. Curieových</t>
  </si>
  <si>
    <t>Domov pro seniory Koutkova - Kubešova</t>
  </si>
  <si>
    <t>Opravy movitého majetku (prádelna, kuchyň)</t>
  </si>
  <si>
    <t>Domov pro seniory Náměšť nad Oslavou</t>
  </si>
  <si>
    <t>výtahy</t>
  </si>
  <si>
    <t>Psychocentrum - manželská a rodinná poradna Kraje Vysočina</t>
  </si>
  <si>
    <t>Domov pro seniory Mitrov</t>
  </si>
  <si>
    <t>Domov pro seniory Havlíčkův Brod</t>
  </si>
  <si>
    <t>Domov důchodců Humpolec</t>
  </si>
  <si>
    <t>Domov důchodců Proseč u Pošné</t>
  </si>
  <si>
    <t>Domov důchodců Onšov</t>
  </si>
  <si>
    <t>Domov důchodců Obořiště</t>
  </si>
  <si>
    <t>Domov důchodců Ždírec</t>
  </si>
  <si>
    <t>Domov pro seniory Velké Meziříčí</t>
  </si>
  <si>
    <t>konvektomat</t>
  </si>
  <si>
    <t>Plán nákladů a výnosů 2013</t>
  </si>
  <si>
    <t>Finanční plán 2013</t>
  </si>
  <si>
    <t>2011</t>
  </si>
  <si>
    <t>Návrh na rok 2013</t>
  </si>
  <si>
    <t>Rozdíl 2013 - 2012</t>
  </si>
  <si>
    <t xml:space="preserve">         z toho: - rezervní fond</t>
  </si>
  <si>
    <t xml:space="preserve">                     - investiční fond</t>
  </si>
  <si>
    <t xml:space="preserve">                     - fond odměn</t>
  </si>
  <si>
    <t xml:space="preserve">                     - zúčtování FKSP</t>
  </si>
  <si>
    <t>- Kraj Vysočina</t>
  </si>
  <si>
    <t xml:space="preserve">- jiné - transfer na akci ÚSP Zboží -staveb.úpravy </t>
  </si>
  <si>
    <t>- ostatní paliva a energie</t>
  </si>
  <si>
    <t>- jiný DDHM</t>
  </si>
  <si>
    <t>- pára a teplo</t>
  </si>
  <si>
    <t>- opravy a údržba movitého majetku kromě ICT</t>
  </si>
  <si>
    <t>- odpady včetně kontejnerů</t>
  </si>
  <si>
    <t>- jiný DDNM</t>
  </si>
  <si>
    <t xml:space="preserve">                             z toho: - mzdový limit</t>
  </si>
  <si>
    <t>- náklady z vyřazených pohledávek /557/</t>
  </si>
  <si>
    <t xml:space="preserve">     - DDHM</t>
  </si>
  <si>
    <t xml:space="preserve">     - DDNM</t>
  </si>
  <si>
    <t>- daň z příjmů /591/</t>
  </si>
  <si>
    <t>Výsledek hospodaření</t>
  </si>
  <si>
    <t>Plán čerpání investičního fondu 2013</t>
  </si>
  <si>
    <t>Plán oprav  dlouhodobého majetku  2013</t>
  </si>
  <si>
    <t>Finanční plán výnosů a nákladů na rok 2013</t>
  </si>
  <si>
    <t>Odpisový plán na rok 2013</t>
  </si>
  <si>
    <t>Účetní odpisy na rok 2013</t>
  </si>
  <si>
    <t>Zůstatková cena k 31.12.2013</t>
  </si>
  <si>
    <t>Stav peněžních fondů</t>
  </si>
  <si>
    <t>Plán 2013</t>
  </si>
  <si>
    <t>Stav k 1.1.2013</t>
  </si>
  <si>
    <t>Stav k 31.12.2013</t>
  </si>
  <si>
    <t>Zůstatek účtu k 31.12.2012</t>
  </si>
  <si>
    <t>Pracovníci, lůžka a limit prostředků na platy 2013</t>
  </si>
  <si>
    <t>Pračka průmyslová</t>
  </si>
  <si>
    <t>Konvektomat</t>
  </si>
  <si>
    <t xml:space="preserve">Práce zednické </t>
  </si>
  <si>
    <t>Práce malířské</t>
  </si>
  <si>
    <t>Práce elektrikářské</t>
  </si>
  <si>
    <t>Ostatní údržba nemovitostí</t>
  </si>
  <si>
    <t>Opravy a údržba movitého majetku</t>
  </si>
  <si>
    <t>Opravy a údržba ICT</t>
  </si>
  <si>
    <t xml:space="preserve">Oprava a údržba ICT </t>
  </si>
  <si>
    <t>Opravy a údržba movitého majektu kromě ICT</t>
  </si>
  <si>
    <t>opravy ITC</t>
  </si>
  <si>
    <t>Rozšíření systému centrálního klíče</t>
  </si>
  <si>
    <t>Zvedáky 2 ks</t>
  </si>
  <si>
    <t>Sprchové židle 2 ks</t>
  </si>
  <si>
    <t>Stojan na kola</t>
  </si>
  <si>
    <t>Elektroterapie</t>
  </si>
  <si>
    <t xml:space="preserve">Přestavba tělocvičny </t>
  </si>
  <si>
    <t>Myčka mís - 2 x</t>
  </si>
  <si>
    <t>Plynová pánev na smažení</t>
  </si>
  <si>
    <t>Opravy nemovitého majetku (výtahy Koutkova)</t>
  </si>
  <si>
    <t>Opravy IT techniky</t>
  </si>
  <si>
    <t>- jiné MF</t>
  </si>
  <si>
    <t xml:space="preserve">      z toho:  - platy zaměstnanců + odstupné</t>
  </si>
  <si>
    <t>pojistné</t>
  </si>
  <si>
    <t>auto</t>
  </si>
  <si>
    <t>zdravotní technika</t>
  </si>
  <si>
    <t>Olymp, okapy, kotelna, VZT</t>
  </si>
  <si>
    <t>kuchyňské ,chladírenské a prádelenské zařízení</t>
  </si>
  <si>
    <t>signalizace, EPS, kamery, zabezpečení</t>
  </si>
  <si>
    <t>PC, kopírka</t>
  </si>
  <si>
    <t>drobné opravy</t>
  </si>
  <si>
    <t xml:space="preserve">Odvod do rozpočtu zřizovatele </t>
  </si>
  <si>
    <t>Travní malotraktor</t>
  </si>
  <si>
    <t>Odtah par v kuchyni</t>
  </si>
  <si>
    <t>Vybavení rehabilitace</t>
  </si>
  <si>
    <t>Rozšíření ubytovacích prostor na Slunečnici I</t>
  </si>
  <si>
    <t>Oprava zděného oplocení vedle příjezdové silnice</t>
  </si>
  <si>
    <t>Vybudování nových WC a sprchy před nivou rehab.</t>
  </si>
  <si>
    <t>Oprva povrchu u prádelny pod sušáky ny prádlo</t>
  </si>
  <si>
    <t>Vybudování skladových prostor na  půdě zámku</t>
  </si>
  <si>
    <t>Rozšíření ubytovacích prostor na zámku odd.M</t>
  </si>
  <si>
    <t>Oprava WC - pavilon</t>
  </si>
  <si>
    <t>ostatní opravy na majetku</t>
  </si>
  <si>
    <t>- ostatní paliva a energie-pevná paliva</t>
  </si>
  <si>
    <t>Pračka (16 kg)</t>
  </si>
  <si>
    <t>Kuchyňská linka ( jídelna )</t>
  </si>
  <si>
    <t>Kráječ na chléb</t>
  </si>
  <si>
    <t xml:space="preserve">Opravy stavební </t>
  </si>
  <si>
    <t>Opravy kouřovodů</t>
  </si>
  <si>
    <t>Opravy techniky</t>
  </si>
  <si>
    <t>Opravy ITC</t>
  </si>
  <si>
    <t>Opravy movitého majetku</t>
  </si>
  <si>
    <t>Ostatní běžné opravy a udržování</t>
  </si>
  <si>
    <t>KRB</t>
  </si>
  <si>
    <t>Náklady bez odpisů</t>
  </si>
  <si>
    <t>Počet lůžek za rok 2013:</t>
  </si>
  <si>
    <t>Plán nákladů a výnosů 2013/ lůžka</t>
  </si>
  <si>
    <t>Oprava ICT</t>
  </si>
  <si>
    <t>Oprávky k 1.1.2013</t>
  </si>
  <si>
    <t>Elektrická pec třítroubová</t>
  </si>
  <si>
    <t>Automatická pračka</t>
  </si>
  <si>
    <t>Dálkové ovládání brány</t>
  </si>
  <si>
    <t>Osobní automobil</t>
  </si>
  <si>
    <t>Opravy propustku v zám.parku</t>
  </si>
  <si>
    <t xml:space="preserve">Malování </t>
  </si>
  <si>
    <t>Automobilů</t>
  </si>
  <si>
    <t>Technologie</t>
  </si>
  <si>
    <t>Budov a pozemků /malování pokojů 120 tis. Kč, běžné opravy</t>
  </si>
  <si>
    <t>50tis. Kč ,oprava propustku v zámeckém parku 240 tis.Kč</t>
  </si>
  <si>
    <t>Rekonstrukce výdejních okének v kuchyňkách</t>
  </si>
  <si>
    <t>Rekonstrukce nočních světel</t>
  </si>
  <si>
    <t>Rekonstrukce elektroinstalace  ve výtazích</t>
  </si>
  <si>
    <t>Pračka 10 kg</t>
  </si>
  <si>
    <t>Rekonstrukce vzduchotechniky</t>
  </si>
  <si>
    <t>Výměna roštů v prádelně</t>
  </si>
  <si>
    <t>Oprava lina</t>
  </si>
  <si>
    <t>Repase dveří a převodovky (výtahy)</t>
  </si>
  <si>
    <t>Oprava aut</t>
  </si>
  <si>
    <t>Oprava movitého majetku</t>
  </si>
  <si>
    <t>Průmyslová pračka</t>
  </si>
  <si>
    <t>Průmyslová kuchyňská myčka</t>
  </si>
  <si>
    <t>Opravy z IF - nemovitý majetek</t>
  </si>
  <si>
    <t>Opravy z IF - movitý majetek</t>
  </si>
  <si>
    <t>Opravy auta</t>
  </si>
  <si>
    <t>Oprava zařízení</t>
  </si>
  <si>
    <t>Oprava - údržba spojená s běžným užíváním</t>
  </si>
  <si>
    <t>Oprava -  movitého majetku</t>
  </si>
  <si>
    <t>Oprava - ICT</t>
  </si>
  <si>
    <t>Oprava - motorová vozidla</t>
  </si>
  <si>
    <t>Oprava - mechanizace, stroje a přístroje</t>
  </si>
  <si>
    <t>Desinfektor plen</t>
  </si>
  <si>
    <t>Žehlící lis</t>
  </si>
  <si>
    <t>Náhradní zdroj</t>
  </si>
  <si>
    <t>Plošina + dveře</t>
  </si>
  <si>
    <t>Běžné opravy</t>
  </si>
  <si>
    <t>Opravy motorová vozidla</t>
  </si>
  <si>
    <t>Opravy mechanizace, stroje</t>
  </si>
  <si>
    <t>Opravy nemovitého majetku</t>
  </si>
  <si>
    <t>Opravy kuchyně</t>
  </si>
  <si>
    <t>Opravy prádelna</t>
  </si>
  <si>
    <t>Malování</t>
  </si>
  <si>
    <t>Opravy - inv. fond</t>
  </si>
  <si>
    <t>Běžné provozní opravy</t>
  </si>
  <si>
    <t>Odvod do rozpočtu  zřizovatele</t>
  </si>
  <si>
    <t>Modernizace tel. rozvodů v obytné části DS</t>
  </si>
  <si>
    <t>Kolenní motodlaha - rehabilitace</t>
  </si>
  <si>
    <t>Oprava fasády 680tis.Kč, oprava oplocení,tarasů 290tis.Kč</t>
  </si>
  <si>
    <t>Výměna PVC na pokojích a podestách</t>
  </si>
  <si>
    <t>Oprava výdejních okének v jídelně</t>
  </si>
  <si>
    <t>Oprava signalizace - úsek A</t>
  </si>
  <si>
    <t>Nátěr výtah. dveří, chl.boxů a zárubní - pokoje uživatelů</t>
  </si>
  <si>
    <t>Malování-kuchyň, vzduchotechnika, schodiště</t>
  </si>
  <si>
    <t>Opravy mechanizace,strojů, přístrojů, mov.majetku, ICT</t>
  </si>
  <si>
    <t>Opravy žaluzíí, výměna parapetů</t>
  </si>
  <si>
    <t>Opravy a údržba nemovitostí</t>
  </si>
  <si>
    <t>Oprava a údržba ICT</t>
  </si>
  <si>
    <t>Odvod do rozpočtu ziřovatele</t>
  </si>
  <si>
    <t>Server</t>
  </si>
  <si>
    <t>Opravy</t>
  </si>
  <si>
    <t>Opravy nemovitostí</t>
  </si>
  <si>
    <t>Opravy movitého majetku mimo ICT</t>
  </si>
  <si>
    <t>Opravy ICT</t>
  </si>
  <si>
    <t>Zednické práce komín</t>
  </si>
  <si>
    <t>Zásobovací rampa</t>
  </si>
  <si>
    <t>Demontáž+montáž altánu</t>
  </si>
  <si>
    <t>Drobné opravy , kotelna..</t>
  </si>
  <si>
    <t>El.rozvodová skříň</t>
  </si>
  <si>
    <t>Údrřba nemovitého majetku-malování pokojů</t>
  </si>
  <si>
    <t>Oprava chodby</t>
  </si>
  <si>
    <t>Oprava podlahové krytiny na 2 pokojích</t>
  </si>
  <si>
    <t>Pec elektrická třítroubová</t>
  </si>
  <si>
    <t>Kotel elektrický velkokuchyňský</t>
  </si>
  <si>
    <t>Dálkové ovládání pro otvírání hl.vstupů-brány</t>
  </si>
  <si>
    <t>Motodlaha pro klienty</t>
  </si>
  <si>
    <t>Opěrná zeď (havarijní stav)</t>
  </si>
  <si>
    <t>Oprava a rekonstrukce</t>
  </si>
  <si>
    <t>Stavební</t>
  </si>
  <si>
    <t>Strojní</t>
  </si>
  <si>
    <t>Autopark</t>
  </si>
  <si>
    <t>Vestavba sociálního zařízení Máchova</t>
  </si>
  <si>
    <t>Přístavba koupelny III.patro Máchova</t>
  </si>
  <si>
    <t>Traktor na sečení trávy</t>
  </si>
  <si>
    <t>Obnova zařízení prádelny</t>
  </si>
  <si>
    <t>Oprava a udržování nemovitostí</t>
  </si>
  <si>
    <t>Oprava kuch.zařízení, prádelenské techniky</t>
  </si>
  <si>
    <t>Oprava výtahů</t>
  </si>
  <si>
    <t>Opravy nábytku</t>
  </si>
  <si>
    <t>Oprava vozidel</t>
  </si>
  <si>
    <t>Opravy energ.zařízení</t>
  </si>
  <si>
    <t>Opravy IT</t>
  </si>
  <si>
    <t>Opravy ost.techniky</t>
  </si>
  <si>
    <t>Drtička mís v případě havárie</t>
  </si>
  <si>
    <t>Zvedací vana U Panských v případě havárie</t>
  </si>
  <si>
    <t>Odvod zřizovateli</t>
  </si>
  <si>
    <t>Výměna plynových kotlů HB v případě havárie</t>
  </si>
  <si>
    <t>Obnova praček HB a vybavení A malými pračkami</t>
  </si>
  <si>
    <t>Zvedací vana v Břevnici v případě havárie</t>
  </si>
  <si>
    <t>Výměna nábytku U Panských</t>
  </si>
  <si>
    <t>Oprava terasy U Panských</t>
  </si>
  <si>
    <t>Úpravy sprchových koutů na pokojích U Panských</t>
  </si>
  <si>
    <t>Běžné drobné opravy a udržování</t>
  </si>
  <si>
    <t>Výměna podlahové krytiny na schodišti U Panských</t>
  </si>
  <si>
    <t>El. Rozvodová skříň</t>
  </si>
  <si>
    <t>/tis. Kč/</t>
  </si>
  <si>
    <t>Dotace z MPSV</t>
  </si>
  <si>
    <t>rok 2012</t>
  </si>
  <si>
    <t>rok 2013</t>
  </si>
  <si>
    <t>2013-2012</t>
  </si>
  <si>
    <t>Opravy majetku</t>
  </si>
  <si>
    <t>Snížená dotace za ÚSP</t>
  </si>
  <si>
    <t>Celkem za DD</t>
  </si>
  <si>
    <t xml:space="preserve">Celkem za ÚSP </t>
  </si>
  <si>
    <t>Snížená dotace celkem</t>
  </si>
  <si>
    <t>Domov ve Zboží</t>
  </si>
  <si>
    <t>Počet stran: 23</t>
  </si>
  <si>
    <t>RK-15-2013-63,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</si>
</sst>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\ &quot;Kč&quot;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indexed="55"/>
        <bgColor theme="0" tint="-0.24997000396251678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3" fillId="0" borderId="0" xfId="36" applyFont="1">
      <alignment/>
      <protection/>
    </xf>
    <xf numFmtId="0" fontId="4" fillId="0" borderId="0" xfId="36" applyFont="1" applyAlignment="1">
      <alignment horizontal="right"/>
      <protection/>
    </xf>
    <xf numFmtId="0" fontId="5" fillId="0" borderId="0" xfId="36" applyFont="1">
      <alignment/>
      <protection/>
    </xf>
    <xf numFmtId="0" fontId="3" fillId="0" borderId="0" xfId="36" applyFont="1" applyAlignment="1">
      <alignment horizontal="right"/>
      <protection/>
    </xf>
    <xf numFmtId="0" fontId="4" fillId="33" borderId="10" xfId="36" applyFont="1" applyFill="1" applyBorder="1" applyAlignment="1">
      <alignment horizontal="center" vertical="center" wrapText="1"/>
      <protection/>
    </xf>
    <xf numFmtId="0" fontId="3" fillId="33" borderId="11" xfId="36" applyFont="1" applyFill="1" applyBorder="1" applyAlignment="1">
      <alignment horizontal="center" textRotation="90" wrapText="1"/>
      <protection/>
    </xf>
    <xf numFmtId="0" fontId="3" fillId="33" borderId="12" xfId="36" applyFont="1" applyFill="1" applyBorder="1" applyAlignment="1">
      <alignment horizontal="center" textRotation="90" wrapText="1"/>
      <protection/>
    </xf>
    <xf numFmtId="0" fontId="3" fillId="33" borderId="13" xfId="36" applyFont="1" applyFill="1" applyBorder="1" applyAlignment="1">
      <alignment horizontal="center" textRotation="90" wrapText="1"/>
      <protection/>
    </xf>
    <xf numFmtId="0" fontId="3" fillId="33" borderId="14" xfId="36" applyFont="1" applyFill="1" applyBorder="1" applyAlignment="1">
      <alignment horizontal="center" textRotation="90" wrapText="1"/>
      <protection/>
    </xf>
    <xf numFmtId="0" fontId="3" fillId="33" borderId="15" xfId="36" applyFont="1" applyFill="1" applyBorder="1" applyAlignment="1">
      <alignment horizontal="center" textRotation="90" wrapText="1"/>
      <protection/>
    </xf>
    <xf numFmtId="0" fontId="3" fillId="0" borderId="0" xfId="36" applyFont="1" applyBorder="1">
      <alignment/>
      <protection/>
    </xf>
    <xf numFmtId="3" fontId="4" fillId="0" borderId="0" xfId="36" applyNumberFormat="1" applyFont="1" applyFill="1" applyBorder="1">
      <alignment/>
      <protection/>
    </xf>
    <xf numFmtId="3" fontId="3" fillId="0" borderId="0" xfId="36" applyNumberFormat="1" applyFont="1">
      <alignment/>
      <protection/>
    </xf>
    <xf numFmtId="0" fontId="4" fillId="33" borderId="16" xfId="36" applyFont="1" applyFill="1" applyBorder="1">
      <alignment/>
      <protection/>
    </xf>
    <xf numFmtId="1" fontId="3" fillId="0" borderId="17" xfId="36" applyNumberFormat="1" applyFont="1" applyBorder="1">
      <alignment/>
      <protection/>
    </xf>
    <xf numFmtId="1" fontId="3" fillId="0" borderId="11" xfId="36" applyNumberFormat="1" applyFont="1" applyBorder="1">
      <alignment/>
      <protection/>
    </xf>
    <xf numFmtId="1" fontId="3" fillId="0" borderId="12" xfId="36" applyNumberFormat="1" applyFont="1" applyBorder="1">
      <alignment/>
      <protection/>
    </xf>
    <xf numFmtId="1" fontId="4" fillId="34" borderId="13" xfId="36" applyNumberFormat="1" applyFont="1" applyFill="1" applyBorder="1">
      <alignment/>
      <protection/>
    </xf>
    <xf numFmtId="3" fontId="3" fillId="0" borderId="17" xfId="36" applyNumberFormat="1" applyFont="1" applyBorder="1">
      <alignment/>
      <protection/>
    </xf>
    <xf numFmtId="3" fontId="3" fillId="0" borderId="11" xfId="36" applyNumberFormat="1" applyFont="1" applyBorder="1">
      <alignment/>
      <protection/>
    </xf>
    <xf numFmtId="0" fontId="3" fillId="0" borderId="12" xfId="36" applyFont="1" applyBorder="1">
      <alignment/>
      <protection/>
    </xf>
    <xf numFmtId="3" fontId="4" fillId="34" borderId="18" xfId="36" applyNumberFormat="1" applyFont="1" applyFill="1" applyBorder="1">
      <alignment/>
      <protection/>
    </xf>
    <xf numFmtId="3" fontId="4" fillId="35" borderId="19" xfId="36" applyNumberFormat="1" applyFont="1" applyFill="1" applyBorder="1">
      <alignment/>
      <protection/>
    </xf>
    <xf numFmtId="0" fontId="3" fillId="33" borderId="10" xfId="36" applyFont="1" applyFill="1" applyBorder="1" applyAlignment="1">
      <alignment horizontal="left" vertical="center" wrapText="1"/>
      <protection/>
    </xf>
    <xf numFmtId="0" fontId="3" fillId="0" borderId="0" xfId="36" applyFont="1" applyFill="1" applyAlignment="1">
      <alignment horizontal="center" vertical="center" textRotation="90"/>
      <protection/>
    </xf>
    <xf numFmtId="164" fontId="3" fillId="0" borderId="20" xfId="36" applyNumberFormat="1" applyFont="1" applyFill="1" applyBorder="1" applyAlignment="1">
      <alignment/>
      <protection/>
    </xf>
    <xf numFmtId="164" fontId="3" fillId="0" borderId="21" xfId="36" applyNumberFormat="1" applyFont="1" applyFill="1" applyBorder="1" applyAlignment="1">
      <alignment/>
      <protection/>
    </xf>
    <xf numFmtId="164" fontId="3" fillId="34" borderId="21" xfId="36" applyNumberFormat="1" applyFont="1" applyFill="1" applyBorder="1">
      <alignment/>
      <protection/>
    </xf>
    <xf numFmtId="164" fontId="3" fillId="34" borderId="22" xfId="36" applyNumberFormat="1" applyFont="1" applyFill="1" applyBorder="1">
      <alignment/>
      <protection/>
    </xf>
    <xf numFmtId="0" fontId="3" fillId="36" borderId="23" xfId="36" applyFont="1" applyFill="1" applyBorder="1">
      <alignment/>
      <protection/>
    </xf>
    <xf numFmtId="0" fontId="3" fillId="36" borderId="0" xfId="36" applyFont="1" applyFill="1" applyBorder="1">
      <alignment/>
      <protection/>
    </xf>
    <xf numFmtId="164" fontId="3" fillId="0" borderId="0" xfId="36" applyNumberFormat="1" applyFont="1">
      <alignment/>
      <protection/>
    </xf>
    <xf numFmtId="3" fontId="3" fillId="0" borderId="0" xfId="36" applyNumberFormat="1" applyFont="1" applyAlignment="1">
      <alignment horizontal="right"/>
      <protection/>
    </xf>
    <xf numFmtId="0" fontId="3" fillId="0" borderId="0" xfId="36" applyFont="1" applyFill="1" applyBorder="1" applyAlignment="1">
      <alignment/>
      <protection/>
    </xf>
    <xf numFmtId="3" fontId="4" fillId="0" borderId="0" xfId="36" applyNumberFormat="1" applyFont="1" applyFill="1" applyBorder="1" applyAlignment="1">
      <alignment horizontal="left"/>
      <protection/>
    </xf>
    <xf numFmtId="0" fontId="3" fillId="0" borderId="0" xfId="36" applyFont="1" applyFill="1" applyBorder="1" applyAlignment="1">
      <alignment horizontal="left"/>
      <protection/>
    </xf>
    <xf numFmtId="3" fontId="3" fillId="0" borderId="0" xfId="36" applyNumberFormat="1" applyFont="1" applyFill="1" applyBorder="1" applyAlignment="1">
      <alignment horizontal="right"/>
      <protection/>
    </xf>
    <xf numFmtId="0" fontId="3" fillId="0" borderId="0" xfId="36" applyFont="1" applyFill="1" applyBorder="1" applyAlignment="1">
      <alignment horizontal="right"/>
      <protection/>
    </xf>
    <xf numFmtId="3" fontId="4" fillId="0" borderId="0" xfId="36" applyNumberFormat="1" applyFont="1" applyFill="1" applyBorder="1" applyAlignment="1">
      <alignment horizontal="right"/>
      <protection/>
    </xf>
    <xf numFmtId="3" fontId="4" fillId="0" borderId="0" xfId="36" applyNumberFormat="1" applyFont="1" applyFill="1" applyBorder="1" applyAlignment="1">
      <alignment/>
      <protection/>
    </xf>
    <xf numFmtId="0" fontId="4" fillId="0" borderId="0" xfId="36" applyFont="1" applyFill="1" applyBorder="1" applyAlignment="1">
      <alignment/>
      <protection/>
    </xf>
    <xf numFmtId="3" fontId="4" fillId="0" borderId="0" xfId="36" applyNumberFormat="1" applyFont="1" applyFill="1" applyBorder="1" applyAlignment="1">
      <alignment horizontal="left" vertical="center"/>
      <protection/>
    </xf>
    <xf numFmtId="0" fontId="3" fillId="0" borderId="0" xfId="36" applyFont="1" applyAlignment="1">
      <alignment/>
      <protection/>
    </xf>
    <xf numFmtId="0" fontId="3" fillId="33" borderId="20" xfId="36" applyFont="1" applyFill="1" applyBorder="1" applyAlignment="1">
      <alignment vertical="center"/>
      <protection/>
    </xf>
    <xf numFmtId="0" fontId="3" fillId="33" borderId="21" xfId="36" applyFont="1" applyFill="1" applyBorder="1" applyAlignment="1">
      <alignment horizontal="center" vertical="center"/>
      <protection/>
    </xf>
    <xf numFmtId="0" fontId="3" fillId="33" borderId="22" xfId="36" applyFont="1" applyFill="1" applyBorder="1" applyAlignment="1">
      <alignment horizontal="center" vertical="center"/>
      <protection/>
    </xf>
    <xf numFmtId="0" fontId="3" fillId="0" borderId="24" xfId="36" applyFont="1" applyBorder="1" applyAlignment="1">
      <alignment/>
      <protection/>
    </xf>
    <xf numFmtId="0" fontId="3" fillId="0" borderId="25" xfId="36" applyFont="1" applyBorder="1" applyAlignment="1">
      <alignment vertical="center"/>
      <protection/>
    </xf>
    <xf numFmtId="0" fontId="3" fillId="0" borderId="26" xfId="36" applyFont="1" applyBorder="1" applyAlignment="1">
      <alignment vertical="center"/>
      <protection/>
    </xf>
    <xf numFmtId="0" fontId="3" fillId="0" borderId="25" xfId="36" applyFont="1" applyBorder="1" applyAlignment="1">
      <alignment/>
      <protection/>
    </xf>
    <xf numFmtId="3" fontId="3" fillId="0" borderId="25" xfId="36" applyNumberFormat="1" applyFont="1" applyBorder="1" applyAlignment="1">
      <alignment/>
      <protection/>
    </xf>
    <xf numFmtId="3" fontId="3" fillId="0" borderId="26" xfId="36" applyNumberFormat="1" applyFont="1" applyBorder="1" applyAlignment="1">
      <alignment/>
      <protection/>
    </xf>
    <xf numFmtId="0" fontId="3" fillId="0" borderId="27" xfId="36" applyFont="1" applyBorder="1" applyAlignment="1">
      <alignment/>
      <protection/>
    </xf>
    <xf numFmtId="0" fontId="3" fillId="0" borderId="28" xfId="36" applyFont="1" applyBorder="1" applyAlignment="1">
      <alignment/>
      <protection/>
    </xf>
    <xf numFmtId="3" fontId="3" fillId="0" borderId="28" xfId="36" applyNumberFormat="1" applyFont="1" applyBorder="1" applyAlignment="1">
      <alignment/>
      <protection/>
    </xf>
    <xf numFmtId="3" fontId="3" fillId="0" borderId="29" xfId="36" applyNumberFormat="1" applyFont="1" applyBorder="1" applyAlignment="1">
      <alignment/>
      <protection/>
    </xf>
    <xf numFmtId="0" fontId="3" fillId="0" borderId="29" xfId="36" applyFont="1" applyBorder="1">
      <alignment/>
      <protection/>
    </xf>
    <xf numFmtId="3" fontId="4" fillId="33" borderId="30" xfId="36" applyNumberFormat="1" applyFont="1" applyFill="1" applyBorder="1" applyAlignment="1">
      <alignment vertical="center"/>
      <protection/>
    </xf>
    <xf numFmtId="0" fontId="4" fillId="0" borderId="0" xfId="36" applyFont="1" applyFill="1" applyBorder="1" applyAlignment="1">
      <alignment vertical="center"/>
      <protection/>
    </xf>
    <xf numFmtId="3" fontId="4" fillId="33" borderId="31" xfId="36" applyNumberFormat="1" applyFont="1" applyFill="1" applyBorder="1" applyAlignment="1">
      <alignment vertical="center"/>
      <protection/>
    </xf>
    <xf numFmtId="0" fontId="3" fillId="0" borderId="0" xfId="36" applyFont="1" applyAlignment="1">
      <alignment vertical="center"/>
      <protection/>
    </xf>
    <xf numFmtId="10" fontId="4" fillId="0" borderId="0" xfId="36" applyNumberFormat="1" applyFont="1" applyFill="1" applyBorder="1" applyAlignment="1">
      <alignment vertical="center"/>
      <protection/>
    </xf>
    <xf numFmtId="3" fontId="5" fillId="0" borderId="0" xfId="36" applyNumberFormat="1" applyFont="1" applyFill="1" applyBorder="1" applyAlignment="1">
      <alignment horizontal="left"/>
      <protection/>
    </xf>
    <xf numFmtId="3" fontId="4" fillId="0" borderId="28" xfId="50" applyNumberFormat="1" applyFont="1" applyBorder="1" applyAlignment="1">
      <alignment horizontal="right" vertical="center"/>
      <protection/>
    </xf>
    <xf numFmtId="3" fontId="4" fillId="0" borderId="32" xfId="50" applyNumberFormat="1" applyFont="1" applyBorder="1" applyAlignment="1">
      <alignment horizontal="right" vertical="center"/>
      <protection/>
    </xf>
    <xf numFmtId="0" fontId="4" fillId="33" borderId="33" xfId="36" applyFont="1" applyFill="1" applyBorder="1" applyAlignment="1">
      <alignment horizontal="center" vertical="center" wrapText="1"/>
      <protection/>
    </xf>
    <xf numFmtId="0" fontId="4" fillId="33" borderId="34" xfId="36" applyFont="1" applyFill="1" applyBorder="1" applyAlignment="1">
      <alignment horizontal="center" vertical="center" wrapText="1"/>
      <protection/>
    </xf>
    <xf numFmtId="3" fontId="3" fillId="0" borderId="20" xfId="36" applyNumberFormat="1" applyFont="1" applyBorder="1" applyAlignment="1">
      <alignment horizontal="center"/>
      <protection/>
    </xf>
    <xf numFmtId="3" fontId="3" fillId="0" borderId="21" xfId="36" applyNumberFormat="1" applyFont="1" applyBorder="1" applyAlignment="1">
      <alignment horizontal="center"/>
      <protection/>
    </xf>
    <xf numFmtId="3" fontId="4" fillId="0" borderId="35" xfId="36" applyNumberFormat="1" applyFont="1" applyBorder="1">
      <alignment/>
      <protection/>
    </xf>
    <xf numFmtId="3" fontId="3" fillId="0" borderId="0" xfId="36" applyNumberFormat="1" applyFont="1" applyFill="1" applyBorder="1" applyAlignment="1">
      <alignment/>
      <protection/>
    </xf>
    <xf numFmtId="3" fontId="3" fillId="0" borderId="24" xfId="36" applyNumberFormat="1" applyFont="1" applyFill="1" applyBorder="1" applyAlignment="1">
      <alignment horizontal="right"/>
      <protection/>
    </xf>
    <xf numFmtId="3" fontId="3" fillId="0" borderId="25" xfId="36" applyNumberFormat="1" applyFont="1" applyFill="1" applyBorder="1" applyAlignment="1">
      <alignment horizontal="right"/>
      <protection/>
    </xf>
    <xf numFmtId="3" fontId="3" fillId="0" borderId="36" xfId="36" applyNumberFormat="1" applyFont="1" applyBorder="1" applyAlignment="1">
      <alignment horizontal="center"/>
      <protection/>
    </xf>
    <xf numFmtId="3" fontId="3" fillId="0" borderId="25" xfId="36" applyNumberFormat="1" applyFont="1" applyBorder="1" applyAlignment="1">
      <alignment horizontal="center"/>
      <protection/>
    </xf>
    <xf numFmtId="3" fontId="3" fillId="0" borderId="37" xfId="36" applyNumberFormat="1" applyFont="1" applyBorder="1" applyAlignment="1">
      <alignment horizontal="center"/>
      <protection/>
    </xf>
    <xf numFmtId="3" fontId="4" fillId="0" borderId="38" xfId="36" applyNumberFormat="1" applyFont="1" applyBorder="1">
      <alignment/>
      <protection/>
    </xf>
    <xf numFmtId="3" fontId="4" fillId="0" borderId="0" xfId="36" applyNumberFormat="1" applyFont="1" applyFill="1" applyBorder="1" applyAlignment="1">
      <alignment horizontal="right" vertical="center"/>
      <protection/>
    </xf>
    <xf numFmtId="0" fontId="3" fillId="33" borderId="27" xfId="36" applyFont="1" applyFill="1" applyBorder="1" applyAlignment="1">
      <alignment horizontal="center" vertical="center"/>
      <protection/>
    </xf>
    <xf numFmtId="0" fontId="4" fillId="33" borderId="28" xfId="36" applyFont="1" applyFill="1" applyBorder="1" applyAlignment="1">
      <alignment horizontal="center" vertical="center"/>
      <protection/>
    </xf>
    <xf numFmtId="0" fontId="4" fillId="33" borderId="29" xfId="36" applyFont="1" applyFill="1" applyBorder="1" applyAlignment="1">
      <alignment horizontal="center" vertical="center"/>
      <protection/>
    </xf>
    <xf numFmtId="0" fontId="3" fillId="33" borderId="27" xfId="36" applyFont="1" applyFill="1" applyBorder="1" applyAlignment="1">
      <alignment horizontal="right" vertical="center"/>
      <protection/>
    </xf>
    <xf numFmtId="1" fontId="4" fillId="0" borderId="39" xfId="36" applyNumberFormat="1" applyFont="1" applyBorder="1" applyAlignment="1">
      <alignment horizontal="center"/>
      <protection/>
    </xf>
    <xf numFmtId="3" fontId="3" fillId="0" borderId="40" xfId="36" applyNumberFormat="1" applyFont="1" applyBorder="1" applyAlignment="1">
      <alignment/>
      <protection/>
    </xf>
    <xf numFmtId="3" fontId="3" fillId="0" borderId="22" xfId="36" applyNumberFormat="1" applyFont="1" applyBorder="1" applyAlignment="1">
      <alignment/>
      <protection/>
    </xf>
    <xf numFmtId="1" fontId="4" fillId="0" borderId="27" xfId="36" applyNumberFormat="1" applyFont="1" applyBorder="1" applyAlignment="1">
      <alignment horizontal="center"/>
      <protection/>
    </xf>
    <xf numFmtId="3" fontId="3" fillId="0" borderId="32" xfId="36" applyNumberFormat="1" applyFont="1" applyBorder="1" applyAlignment="1">
      <alignment/>
      <protection/>
    </xf>
    <xf numFmtId="3" fontId="3" fillId="33" borderId="29" xfId="36" applyNumberFormat="1" applyFont="1" applyFill="1" applyBorder="1" applyAlignment="1">
      <alignment horizontal="right"/>
      <protection/>
    </xf>
    <xf numFmtId="3" fontId="4" fillId="0" borderId="41" xfId="36" applyNumberFormat="1" applyFont="1" applyBorder="1">
      <alignment/>
      <protection/>
    </xf>
    <xf numFmtId="3" fontId="3" fillId="0" borderId="0" xfId="36" applyNumberFormat="1" applyFont="1" applyFill="1" applyAlignment="1">
      <alignment horizontal="right"/>
      <protection/>
    </xf>
    <xf numFmtId="0" fontId="3" fillId="0" borderId="26" xfId="36" applyFont="1" applyBorder="1">
      <alignment/>
      <protection/>
    </xf>
    <xf numFmtId="3" fontId="3" fillId="0" borderId="0" xfId="36" applyNumberFormat="1" applyFont="1" applyFill="1" applyBorder="1" applyAlignment="1">
      <alignment horizontal="left"/>
      <protection/>
    </xf>
    <xf numFmtId="3" fontId="3" fillId="0" borderId="26" xfId="36" applyNumberFormat="1" applyFont="1" applyBorder="1" applyAlignment="1">
      <alignment horizontal="right"/>
      <protection/>
    </xf>
    <xf numFmtId="3" fontId="3" fillId="0" borderId="42" xfId="36" applyNumberFormat="1" applyFont="1" applyBorder="1" applyAlignment="1">
      <alignment horizontal="right"/>
      <protection/>
    </xf>
    <xf numFmtId="3" fontId="3" fillId="0" borderId="43" xfId="36" applyNumberFormat="1" applyFont="1" applyBorder="1" applyAlignment="1">
      <alignment horizontal="right"/>
      <protection/>
    </xf>
    <xf numFmtId="0" fontId="3" fillId="0" borderId="44" xfId="36" applyFont="1" applyBorder="1">
      <alignment/>
      <protection/>
    </xf>
    <xf numFmtId="3" fontId="3" fillId="0" borderId="45" xfId="36" applyNumberFormat="1" applyFont="1" applyBorder="1" applyAlignment="1">
      <alignment horizontal="right"/>
      <protection/>
    </xf>
    <xf numFmtId="3" fontId="4" fillId="0" borderId="44" xfId="36" applyNumberFormat="1" applyFont="1" applyBorder="1" applyAlignment="1">
      <alignment horizontal="right"/>
      <protection/>
    </xf>
    <xf numFmtId="3" fontId="3" fillId="0" borderId="44" xfId="36" applyNumberFormat="1" applyFont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45" xfId="36" applyFont="1" applyBorder="1">
      <alignment/>
      <protection/>
    </xf>
    <xf numFmtId="3" fontId="3" fillId="0" borderId="46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3" fontId="3" fillId="37" borderId="25" xfId="36" applyNumberFormat="1" applyFont="1" applyFill="1" applyBorder="1" applyAlignment="1">
      <alignment/>
      <protection/>
    </xf>
    <xf numFmtId="3" fontId="3" fillId="37" borderId="45" xfId="36" applyNumberFormat="1" applyFont="1" applyFill="1" applyBorder="1" applyAlignment="1">
      <alignment horizontal="right"/>
      <protection/>
    </xf>
    <xf numFmtId="0" fontId="3" fillId="0" borderId="0" xfId="36" applyFont="1" applyFill="1" applyBorder="1" applyAlignment="1">
      <alignment vertical="center"/>
      <protection/>
    </xf>
    <xf numFmtId="3" fontId="3" fillId="0" borderId="47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right"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38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3" fontId="4" fillId="38" borderId="61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3" fontId="3" fillId="0" borderId="64" xfId="0" applyNumberFormat="1" applyFont="1" applyBorder="1" applyAlignment="1">
      <alignment/>
    </xf>
    <xf numFmtId="3" fontId="4" fillId="0" borderId="56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39" borderId="51" xfId="0" applyNumberFormat="1" applyFont="1" applyFill="1" applyBorder="1" applyAlignment="1">
      <alignment/>
    </xf>
    <xf numFmtId="10" fontId="4" fillId="39" borderId="55" xfId="0" applyNumberFormat="1" applyFont="1" applyFill="1" applyBorder="1" applyAlignment="1">
      <alignment/>
    </xf>
    <xf numFmtId="3" fontId="4" fillId="39" borderId="59" xfId="0" applyNumberFormat="1" applyFont="1" applyFill="1" applyBorder="1" applyAlignment="1">
      <alignment/>
    </xf>
    <xf numFmtId="10" fontId="4" fillId="39" borderId="65" xfId="0" applyNumberFormat="1" applyFont="1" applyFill="1" applyBorder="1" applyAlignment="1">
      <alignment/>
    </xf>
    <xf numFmtId="3" fontId="4" fillId="39" borderId="64" xfId="0" applyNumberFormat="1" applyFont="1" applyFill="1" applyBorder="1" applyAlignment="1">
      <alignment/>
    </xf>
    <xf numFmtId="10" fontId="4" fillId="39" borderId="61" xfId="0" applyNumberFormat="1" applyFont="1" applyFill="1" applyBorder="1" applyAlignment="1">
      <alignment/>
    </xf>
    <xf numFmtId="10" fontId="4" fillId="39" borderId="45" xfId="0" applyNumberFormat="1" applyFont="1" applyFill="1" applyBorder="1" applyAlignment="1">
      <alignment/>
    </xf>
    <xf numFmtId="10" fontId="4" fillId="39" borderId="66" xfId="0" applyNumberFormat="1" applyFont="1" applyFill="1" applyBorder="1" applyAlignment="1">
      <alignment/>
    </xf>
    <xf numFmtId="10" fontId="4" fillId="39" borderId="67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 horizontal="right"/>
    </xf>
    <xf numFmtId="3" fontId="4" fillId="39" borderId="69" xfId="0" applyNumberFormat="1" applyFont="1" applyFill="1" applyBorder="1" applyAlignment="1">
      <alignment/>
    </xf>
    <xf numFmtId="3" fontId="4" fillId="39" borderId="70" xfId="0" applyNumberFormat="1" applyFont="1" applyFill="1" applyBorder="1" applyAlignment="1">
      <alignment/>
    </xf>
    <xf numFmtId="3" fontId="4" fillId="38" borderId="45" xfId="0" applyNumberFormat="1" applyFont="1" applyFill="1" applyBorder="1" applyAlignment="1">
      <alignment/>
    </xf>
    <xf numFmtId="3" fontId="4" fillId="38" borderId="66" xfId="0" applyNumberFormat="1" applyFont="1" applyFill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4" fillId="38" borderId="44" xfId="0" applyNumberFormat="1" applyFont="1" applyFill="1" applyBorder="1" applyAlignment="1">
      <alignment/>
    </xf>
    <xf numFmtId="3" fontId="4" fillId="39" borderId="71" xfId="0" applyNumberFormat="1" applyFont="1" applyFill="1" applyBorder="1" applyAlignment="1">
      <alignment/>
    </xf>
    <xf numFmtId="10" fontId="4" fillId="39" borderId="44" xfId="0" applyNumberFormat="1" applyFont="1" applyFill="1" applyBorder="1" applyAlignment="1">
      <alignment/>
    </xf>
    <xf numFmtId="3" fontId="4" fillId="0" borderId="73" xfId="50" applyNumberFormat="1" applyFont="1" applyBorder="1" applyAlignment="1">
      <alignment horizontal="right" vertical="center"/>
      <protection/>
    </xf>
    <xf numFmtId="0" fontId="4" fillId="33" borderId="52" xfId="50" applyFont="1" applyFill="1" applyBorder="1" applyAlignment="1">
      <alignment horizontal="center" vertical="center"/>
      <protection/>
    </xf>
    <xf numFmtId="0" fontId="4" fillId="33" borderId="45" xfId="50" applyFont="1" applyFill="1" applyBorder="1" applyAlignment="1">
      <alignment horizontal="center" vertical="center"/>
      <protection/>
    </xf>
    <xf numFmtId="3" fontId="4" fillId="0" borderId="71" xfId="50" applyNumberFormat="1" applyFont="1" applyBorder="1" applyAlignment="1">
      <alignment horizontal="right" vertical="center"/>
      <protection/>
    </xf>
    <xf numFmtId="3" fontId="3" fillId="0" borderId="72" xfId="50" applyNumberFormat="1" applyFont="1" applyBorder="1" applyAlignment="1">
      <alignment horizontal="right" vertical="center"/>
      <protection/>
    </xf>
    <xf numFmtId="1" fontId="3" fillId="0" borderId="72" xfId="36" applyNumberFormat="1" applyFont="1" applyBorder="1">
      <alignment/>
      <protection/>
    </xf>
    <xf numFmtId="0" fontId="3" fillId="0" borderId="44" xfId="36" applyFont="1" applyFill="1" applyBorder="1" applyAlignment="1">
      <alignment/>
      <protection/>
    </xf>
    <xf numFmtId="3" fontId="3" fillId="40" borderId="74" xfId="0" applyNumberFormat="1" applyFont="1" applyFill="1" applyBorder="1" applyAlignment="1">
      <alignment/>
    </xf>
    <xf numFmtId="3" fontId="3" fillId="41" borderId="75" xfId="0" applyNumberFormat="1" applyFont="1" applyFill="1" applyBorder="1" applyAlignment="1">
      <alignment horizontal="right"/>
    </xf>
    <xf numFmtId="3" fontId="3" fillId="41" borderId="76" xfId="0" applyNumberFormat="1" applyFont="1" applyFill="1" applyBorder="1" applyAlignment="1">
      <alignment/>
    </xf>
    <xf numFmtId="3" fontId="4" fillId="40" borderId="76" xfId="0" applyNumberFormat="1" applyFont="1" applyFill="1" applyBorder="1" applyAlignment="1">
      <alignment/>
    </xf>
    <xf numFmtId="2" fontId="4" fillId="40" borderId="77" xfId="0" applyNumberFormat="1" applyFont="1" applyFill="1" applyBorder="1" applyAlignment="1">
      <alignment/>
    </xf>
    <xf numFmtId="3" fontId="4" fillId="41" borderId="77" xfId="0" applyNumberFormat="1" applyFont="1" applyFill="1" applyBorder="1" applyAlignment="1">
      <alignment/>
    </xf>
    <xf numFmtId="165" fontId="4" fillId="40" borderId="78" xfId="0" applyNumberFormat="1" applyFont="1" applyFill="1" applyBorder="1" applyAlignment="1">
      <alignment/>
    </xf>
    <xf numFmtId="3" fontId="3" fillId="41" borderId="79" xfId="0" applyNumberFormat="1" applyFont="1" applyFill="1" applyBorder="1" applyAlignment="1">
      <alignment horizontal="right"/>
    </xf>
    <xf numFmtId="0" fontId="3" fillId="41" borderId="80" xfId="0" applyFont="1" applyFill="1" applyBorder="1" applyAlignment="1">
      <alignment horizontal="right"/>
    </xf>
    <xf numFmtId="0" fontId="3" fillId="41" borderId="80" xfId="0" applyFont="1" applyFill="1" applyBorder="1" applyAlignment="1">
      <alignment horizontal="left"/>
    </xf>
    <xf numFmtId="3" fontId="4" fillId="41" borderId="80" xfId="0" applyNumberFormat="1" applyFont="1" applyFill="1" applyBorder="1" applyAlignment="1">
      <alignment horizontal="right"/>
    </xf>
    <xf numFmtId="3" fontId="4" fillId="41" borderId="81" xfId="0" applyNumberFormat="1" applyFont="1" applyFill="1" applyBorder="1" applyAlignment="1">
      <alignment/>
    </xf>
    <xf numFmtId="3" fontId="4" fillId="40" borderId="79" xfId="0" applyNumberFormat="1" applyFont="1" applyFill="1" applyBorder="1" applyAlignment="1">
      <alignment/>
    </xf>
    <xf numFmtId="0" fontId="3" fillId="41" borderId="82" xfId="0" applyFont="1" applyFill="1" applyBorder="1" applyAlignment="1">
      <alignment horizontal="left"/>
    </xf>
    <xf numFmtId="3" fontId="3" fillId="41" borderId="74" xfId="0" applyNumberFormat="1" applyFont="1" applyFill="1" applyBorder="1" applyAlignment="1">
      <alignment horizontal="right"/>
    </xf>
    <xf numFmtId="0" fontId="3" fillId="41" borderId="83" xfId="0" applyFont="1" applyFill="1" applyBorder="1" applyAlignment="1">
      <alignment horizontal="left"/>
    </xf>
    <xf numFmtId="3" fontId="4" fillId="41" borderId="74" xfId="0" applyNumberFormat="1" applyFont="1" applyFill="1" applyBorder="1" applyAlignment="1">
      <alignment horizontal="right"/>
    </xf>
    <xf numFmtId="0" fontId="3" fillId="41" borderId="84" xfId="0" applyFont="1" applyFill="1" applyBorder="1" applyAlignment="1">
      <alignment horizontal="left"/>
    </xf>
    <xf numFmtId="0" fontId="4" fillId="33" borderId="85" xfId="36" applyFont="1" applyFill="1" applyBorder="1" applyAlignment="1">
      <alignment horizontal="center" vertical="center"/>
      <protection/>
    </xf>
    <xf numFmtId="0" fontId="4" fillId="33" borderId="86" xfId="36" applyFont="1" applyFill="1" applyBorder="1" applyAlignment="1">
      <alignment horizontal="center" vertical="center"/>
      <protection/>
    </xf>
    <xf numFmtId="0" fontId="4" fillId="33" borderId="87" xfId="36" applyFont="1" applyFill="1" applyBorder="1" applyAlignment="1">
      <alignment horizontal="center" vertical="center"/>
      <protection/>
    </xf>
    <xf numFmtId="0" fontId="4" fillId="33" borderId="88" xfId="36" applyFont="1" applyFill="1" applyBorder="1" applyAlignment="1">
      <alignment horizontal="center" vertical="center" wrapText="1"/>
      <protection/>
    </xf>
    <xf numFmtId="0" fontId="3" fillId="0" borderId="89" xfId="36" applyFont="1" applyBorder="1">
      <alignment/>
      <protection/>
    </xf>
    <xf numFmtId="3" fontId="3" fillId="0" borderId="90" xfId="36" applyNumberFormat="1" applyFont="1" applyBorder="1" applyAlignment="1">
      <alignment horizontal="center"/>
      <protection/>
    </xf>
    <xf numFmtId="0" fontId="3" fillId="0" borderId="91" xfId="36" applyFont="1" applyBorder="1">
      <alignment/>
      <protection/>
    </xf>
    <xf numFmtId="3" fontId="3" fillId="0" borderId="92" xfId="36" applyNumberFormat="1" applyFont="1" applyBorder="1" applyAlignment="1">
      <alignment horizontal="center"/>
      <protection/>
    </xf>
    <xf numFmtId="0" fontId="3" fillId="0" borderId="93" xfId="36" applyFont="1" applyBorder="1">
      <alignment/>
      <protection/>
    </xf>
    <xf numFmtId="3" fontId="3" fillId="0" borderId="24" xfId="36" applyNumberFormat="1" applyFont="1" applyBorder="1" applyAlignment="1">
      <alignment/>
      <protection/>
    </xf>
    <xf numFmtId="3" fontId="3" fillId="0" borderId="92" xfId="36" applyNumberFormat="1" applyFont="1" applyBorder="1" applyAlignment="1">
      <alignment/>
      <protection/>
    </xf>
    <xf numFmtId="3" fontId="3" fillId="0" borderId="94" xfId="36" applyNumberFormat="1" applyFont="1" applyBorder="1" applyAlignment="1">
      <alignment/>
      <protection/>
    </xf>
    <xf numFmtId="3" fontId="3" fillId="0" borderId="95" xfId="36" applyNumberFormat="1" applyFont="1" applyBorder="1" applyAlignment="1">
      <alignment/>
      <protection/>
    </xf>
    <xf numFmtId="3" fontId="3" fillId="0" borderId="96" xfId="36" applyNumberFormat="1" applyFont="1" applyBorder="1" applyAlignment="1">
      <alignment/>
      <protection/>
    </xf>
    <xf numFmtId="3" fontId="4" fillId="33" borderId="78" xfId="36" applyNumberFormat="1" applyFont="1" applyFill="1" applyBorder="1" applyAlignment="1">
      <alignment vertical="center"/>
      <protection/>
    </xf>
    <xf numFmtId="3" fontId="4" fillId="33" borderId="97" xfId="36" applyNumberFormat="1" applyFont="1" applyFill="1" applyBorder="1" applyAlignment="1">
      <alignment vertical="center"/>
      <protection/>
    </xf>
    <xf numFmtId="3" fontId="3" fillId="37" borderId="46" xfId="0" applyNumberFormat="1" applyFont="1" applyFill="1" applyBorder="1" applyAlignment="1">
      <alignment horizontal="right"/>
    </xf>
    <xf numFmtId="3" fontId="3" fillId="37" borderId="45" xfId="0" applyNumberFormat="1" applyFont="1" applyFill="1" applyBorder="1" applyAlignment="1">
      <alignment horizontal="right"/>
    </xf>
    <xf numFmtId="3" fontId="3" fillId="37" borderId="25" xfId="36" applyNumberFormat="1" applyFont="1" applyFill="1" applyBorder="1" applyAlignment="1">
      <alignment horizontal="right"/>
      <protection/>
    </xf>
    <xf numFmtId="3" fontId="3" fillId="37" borderId="95" xfId="36" applyNumberFormat="1" applyFont="1" applyFill="1" applyBorder="1" applyAlignment="1">
      <alignment/>
      <protection/>
    </xf>
    <xf numFmtId="3" fontId="3" fillId="0" borderId="42" xfId="0" applyNumberFormat="1" applyFont="1" applyBorder="1" applyAlignment="1">
      <alignment horizontal="right"/>
    </xf>
    <xf numFmtId="3" fontId="3" fillId="0" borderId="45" xfId="36" applyNumberFormat="1" applyFont="1" applyFill="1" applyBorder="1" applyAlignment="1">
      <alignment horizontal="right" vertical="center"/>
      <protection/>
    </xf>
    <xf numFmtId="3" fontId="4" fillId="33" borderId="44" xfId="36" applyNumberFormat="1" applyFont="1" applyFill="1" applyBorder="1" applyAlignment="1">
      <alignment vertical="center"/>
      <protection/>
    </xf>
    <xf numFmtId="3" fontId="3" fillId="0" borderId="45" xfId="49" applyNumberFormat="1" applyFont="1" applyBorder="1" applyAlignment="1">
      <alignment horizontal="right"/>
      <protection/>
    </xf>
    <xf numFmtId="3" fontId="3" fillId="0" borderId="36" xfId="36" applyNumberFormat="1" applyFont="1" applyFill="1" applyBorder="1" applyAlignment="1">
      <alignment horizontal="left" vertical="center"/>
      <protection/>
    </xf>
    <xf numFmtId="3" fontId="3" fillId="0" borderId="98" xfId="36" applyNumberFormat="1" applyFont="1" applyFill="1" applyBorder="1" applyAlignment="1">
      <alignment horizontal="left" vertical="center"/>
      <protection/>
    </xf>
    <xf numFmtId="3" fontId="3" fillId="0" borderId="36" xfId="36" applyNumberFormat="1" applyFont="1" applyBorder="1" applyAlignment="1">
      <alignment horizontal="left"/>
      <protection/>
    </xf>
    <xf numFmtId="3" fontId="3" fillId="0" borderId="37" xfId="36" applyNumberFormat="1" applyFont="1" applyBorder="1" applyAlignment="1">
      <alignment horizontal="left"/>
      <protection/>
    </xf>
    <xf numFmtId="3" fontId="3" fillId="0" borderId="98" xfId="36" applyNumberFormat="1" applyFont="1" applyBorder="1" applyAlignment="1">
      <alignment horizontal="left"/>
      <protection/>
    </xf>
    <xf numFmtId="0" fontId="3" fillId="0" borderId="52" xfId="36" applyFont="1" applyBorder="1">
      <alignment/>
      <protection/>
    </xf>
    <xf numFmtId="3" fontId="4" fillId="37" borderId="41" xfId="36" applyNumberFormat="1" applyFont="1" applyFill="1" applyBorder="1">
      <alignment/>
      <protection/>
    </xf>
    <xf numFmtId="3" fontId="4" fillId="37" borderId="35" xfId="36" applyNumberFormat="1" applyFont="1" applyFill="1" applyBorder="1">
      <alignment/>
      <protection/>
    </xf>
    <xf numFmtId="3" fontId="4" fillId="37" borderId="38" xfId="36" applyNumberFormat="1" applyFont="1" applyFill="1" applyBorder="1">
      <alignment/>
      <protection/>
    </xf>
    <xf numFmtId="3" fontId="3" fillId="0" borderId="99" xfId="0" applyNumberFormat="1" applyFont="1" applyBorder="1" applyAlignment="1">
      <alignment horizontal="right"/>
    </xf>
    <xf numFmtId="3" fontId="3" fillId="0" borderId="92" xfId="0" applyNumberFormat="1" applyFont="1" applyBorder="1" applyAlignment="1">
      <alignment horizontal="right"/>
    </xf>
    <xf numFmtId="3" fontId="3" fillId="0" borderId="100" xfId="0" applyNumberFormat="1" applyFont="1" applyBorder="1" applyAlignment="1">
      <alignment horizontal="right"/>
    </xf>
    <xf numFmtId="3" fontId="3" fillId="0" borderId="97" xfId="0" applyNumberFormat="1" applyFont="1" applyBorder="1" applyAlignment="1">
      <alignment horizontal="right"/>
    </xf>
    <xf numFmtId="3" fontId="3" fillId="0" borderId="44" xfId="36" applyNumberFormat="1" applyFont="1" applyFill="1" applyBorder="1" applyAlignment="1">
      <alignment/>
      <protection/>
    </xf>
    <xf numFmtId="3" fontId="4" fillId="37" borderId="28" xfId="50" applyNumberFormat="1" applyFont="1" applyFill="1" applyBorder="1" applyAlignment="1">
      <alignment horizontal="right" vertical="center"/>
      <protection/>
    </xf>
    <xf numFmtId="3" fontId="4" fillId="37" borderId="32" xfId="50" applyNumberFormat="1" applyFont="1" applyFill="1" applyBorder="1" applyAlignment="1">
      <alignment horizontal="right" vertical="center"/>
      <protection/>
    </xf>
    <xf numFmtId="3" fontId="3" fillId="37" borderId="72" xfId="50" applyNumberFormat="1" applyFont="1" applyFill="1" applyBorder="1" applyAlignment="1">
      <alignment horizontal="right" vertical="center"/>
      <protection/>
    </xf>
    <xf numFmtId="1" fontId="3" fillId="37" borderId="72" xfId="36" applyNumberFormat="1" applyFont="1" applyFill="1" applyBorder="1">
      <alignment/>
      <protection/>
    </xf>
    <xf numFmtId="0" fontId="3" fillId="37" borderId="44" xfId="36" applyFont="1" applyFill="1" applyBorder="1" applyAlignment="1">
      <alignment/>
      <protection/>
    </xf>
    <xf numFmtId="3" fontId="4" fillId="37" borderId="73" xfId="50" applyNumberFormat="1" applyFont="1" applyFill="1" applyBorder="1" applyAlignment="1">
      <alignment horizontal="right" vertical="center"/>
      <protection/>
    </xf>
    <xf numFmtId="0" fontId="3" fillId="37" borderId="0" xfId="36" applyFont="1" applyFill="1" applyBorder="1" applyAlignment="1">
      <alignment/>
      <protection/>
    </xf>
    <xf numFmtId="49" fontId="4" fillId="37" borderId="0" xfId="48" applyNumberFormat="1" applyFont="1" applyFill="1" applyBorder="1" applyAlignment="1">
      <alignment horizontal="left"/>
      <protection/>
    </xf>
    <xf numFmtId="3" fontId="3" fillId="37" borderId="0" xfId="0" applyNumberFormat="1" applyFont="1" applyFill="1" applyBorder="1" applyAlignment="1">
      <alignment horizontal="right"/>
    </xf>
    <xf numFmtId="0" fontId="3" fillId="37" borderId="0" xfId="0" applyFont="1" applyFill="1" applyBorder="1" applyAlignment="1">
      <alignment horizontal="left"/>
    </xf>
    <xf numFmtId="3" fontId="4" fillId="37" borderId="0" xfId="0" applyNumberFormat="1" applyFont="1" applyFill="1" applyBorder="1" applyAlignment="1">
      <alignment horizontal="right"/>
    </xf>
    <xf numFmtId="0" fontId="3" fillId="37" borderId="0" xfId="0" applyFont="1" applyFill="1" applyBorder="1" applyAlignment="1">
      <alignment/>
    </xf>
    <xf numFmtId="3" fontId="3" fillId="42" borderId="0" xfId="0" applyNumberFormat="1" applyFont="1" applyFill="1" applyBorder="1" applyAlignment="1">
      <alignment/>
    </xf>
    <xf numFmtId="3" fontId="4" fillId="0" borderId="101" xfId="0" applyNumberFormat="1" applyFont="1" applyFill="1" applyBorder="1" applyAlignment="1">
      <alignment horizontal="right"/>
    </xf>
    <xf numFmtId="3" fontId="3" fillId="0" borderId="102" xfId="0" applyNumberFormat="1" applyFont="1" applyFill="1" applyBorder="1" applyAlignment="1">
      <alignment horizontal="right"/>
    </xf>
    <xf numFmtId="3" fontId="4" fillId="0" borderId="102" xfId="0" applyNumberFormat="1" applyFont="1" applyFill="1" applyBorder="1" applyAlignment="1">
      <alignment horizontal="right"/>
    </xf>
    <xf numFmtId="3" fontId="3" fillId="0" borderId="103" xfId="0" applyNumberFormat="1" applyFont="1" applyFill="1" applyBorder="1" applyAlignment="1">
      <alignment horizontal="right"/>
    </xf>
    <xf numFmtId="3" fontId="3" fillId="0" borderId="104" xfId="0" applyNumberFormat="1" applyFont="1" applyFill="1" applyBorder="1" applyAlignment="1">
      <alignment horizontal="right"/>
    </xf>
    <xf numFmtId="3" fontId="3" fillId="41" borderId="105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6" fillId="37" borderId="0" xfId="0" applyNumberFormat="1" applyFont="1" applyFill="1" applyBorder="1" applyAlignment="1">
      <alignment horizontal="right"/>
    </xf>
    <xf numFmtId="0" fontId="6" fillId="37" borderId="0" xfId="0" applyFont="1" applyFill="1" applyBorder="1" applyAlignment="1">
      <alignment horizontal="right"/>
    </xf>
    <xf numFmtId="0" fontId="6" fillId="37" borderId="0" xfId="0" applyFont="1" applyFill="1" applyBorder="1" applyAlignment="1">
      <alignment horizontal="left"/>
    </xf>
    <xf numFmtId="3" fontId="7" fillId="37" borderId="0" xfId="0" applyNumberFormat="1" applyFont="1" applyFill="1" applyBorder="1" applyAlignment="1">
      <alignment horizontal="right"/>
    </xf>
    <xf numFmtId="3" fontId="7" fillId="37" borderId="0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3" fontId="7" fillId="37" borderId="0" xfId="0" applyNumberFormat="1" applyFont="1" applyFill="1" applyBorder="1" applyAlignment="1">
      <alignment horizontal="left"/>
    </xf>
    <xf numFmtId="0" fontId="6" fillId="37" borderId="0" xfId="0" applyFont="1" applyFill="1" applyBorder="1" applyAlignment="1">
      <alignment/>
    </xf>
    <xf numFmtId="3" fontId="3" fillId="0" borderId="44" xfId="0" applyNumberFormat="1" applyFont="1" applyBorder="1" applyAlignment="1">
      <alignment horizontal="right"/>
    </xf>
    <xf numFmtId="3" fontId="3" fillId="0" borderId="106" xfId="36" applyNumberFormat="1" applyFont="1" applyBorder="1" applyAlignment="1">
      <alignment horizontal="right"/>
      <protection/>
    </xf>
    <xf numFmtId="3" fontId="3" fillId="0" borderId="107" xfId="36" applyNumberFormat="1" applyFont="1" applyBorder="1" applyAlignment="1">
      <alignment horizontal="right"/>
      <protection/>
    </xf>
    <xf numFmtId="3" fontId="3" fillId="0" borderId="108" xfId="0" applyNumberFormat="1" applyFont="1" applyBorder="1" applyAlignment="1">
      <alignment horizontal="right"/>
    </xf>
    <xf numFmtId="3" fontId="3" fillId="0" borderId="106" xfId="0" applyNumberFormat="1" applyFont="1" applyBorder="1" applyAlignment="1">
      <alignment horizontal="right"/>
    </xf>
    <xf numFmtId="3" fontId="3" fillId="0" borderId="109" xfId="0" applyNumberFormat="1" applyFont="1" applyBorder="1" applyAlignment="1">
      <alignment horizontal="right"/>
    </xf>
    <xf numFmtId="49" fontId="4" fillId="43" borderId="110" xfId="48" applyNumberFormat="1" applyFont="1" applyFill="1" applyBorder="1" applyAlignment="1">
      <alignment horizontal="left"/>
      <protection/>
    </xf>
    <xf numFmtId="49" fontId="3" fillId="0" borderId="111" xfId="48" applyNumberFormat="1" applyFont="1" applyFill="1" applyBorder="1" applyAlignment="1">
      <alignment horizontal="left"/>
      <protection/>
    </xf>
    <xf numFmtId="49" fontId="4" fillId="0" borderId="111" xfId="48" applyNumberFormat="1" applyFont="1" applyFill="1" applyBorder="1" applyAlignment="1">
      <alignment horizontal="left"/>
      <protection/>
    </xf>
    <xf numFmtId="49" fontId="3" fillId="44" borderId="111" xfId="48" applyNumberFormat="1" applyFont="1" applyFill="1" applyBorder="1" applyAlignment="1">
      <alignment horizontal="left"/>
      <protection/>
    </xf>
    <xf numFmtId="49" fontId="3" fillId="0" borderId="111" xfId="48" applyNumberFormat="1" applyFont="1" applyFill="1" applyBorder="1" applyAlignment="1">
      <alignment/>
      <protection/>
    </xf>
    <xf numFmtId="49" fontId="4" fillId="43" borderId="111" xfId="48" applyNumberFormat="1" applyFont="1" applyFill="1" applyBorder="1" applyAlignment="1">
      <alignment horizontal="left"/>
      <protection/>
    </xf>
    <xf numFmtId="49" fontId="3" fillId="44" borderId="111" xfId="48" applyNumberFormat="1" applyFont="1" applyFill="1" applyBorder="1" applyAlignment="1">
      <alignment/>
      <protection/>
    </xf>
    <xf numFmtId="49" fontId="4" fillId="0" borderId="111" xfId="48" applyNumberFormat="1" applyFont="1" applyFill="1" applyBorder="1" applyAlignment="1">
      <alignment/>
      <protection/>
    </xf>
    <xf numFmtId="49" fontId="4" fillId="0" borderId="112" xfId="48" applyNumberFormat="1" applyFont="1" applyFill="1" applyBorder="1" applyAlignment="1">
      <alignment/>
      <protection/>
    </xf>
    <xf numFmtId="3" fontId="3" fillId="37" borderId="21" xfId="36" applyNumberFormat="1" applyFont="1" applyFill="1" applyBorder="1" applyAlignment="1">
      <alignment horizontal="center"/>
      <protection/>
    </xf>
    <xf numFmtId="3" fontId="3" fillId="37" borderId="90" xfId="36" applyNumberFormat="1" applyFont="1" applyFill="1" applyBorder="1" applyAlignment="1">
      <alignment horizontal="center"/>
      <protection/>
    </xf>
    <xf numFmtId="3" fontId="3" fillId="37" borderId="92" xfId="36" applyNumberFormat="1" applyFont="1" applyFill="1" applyBorder="1" applyAlignment="1">
      <alignment/>
      <protection/>
    </xf>
    <xf numFmtId="3" fontId="3" fillId="37" borderId="0" xfId="36" applyNumberFormat="1" applyFont="1" applyFill="1" applyBorder="1" applyAlignment="1">
      <alignment/>
      <protection/>
    </xf>
    <xf numFmtId="3" fontId="3" fillId="37" borderId="37" xfId="36" applyNumberFormat="1" applyFont="1" applyFill="1" applyBorder="1" applyAlignment="1">
      <alignment horizontal="center"/>
      <protection/>
    </xf>
    <xf numFmtId="3" fontId="3" fillId="37" borderId="92" xfId="36" applyNumberFormat="1" applyFont="1" applyFill="1" applyBorder="1" applyAlignment="1">
      <alignment horizontal="center"/>
      <protection/>
    </xf>
    <xf numFmtId="3" fontId="3" fillId="37" borderId="96" xfId="36" applyNumberFormat="1" applyFont="1" applyFill="1" applyBorder="1" applyAlignment="1">
      <alignment/>
      <protection/>
    </xf>
    <xf numFmtId="0" fontId="3" fillId="37" borderId="0" xfId="36" applyFont="1" applyFill="1" applyBorder="1" applyAlignment="1">
      <alignment horizontal="right"/>
      <protection/>
    </xf>
    <xf numFmtId="0" fontId="3" fillId="37" borderId="0" xfId="36" applyFont="1" applyFill="1" applyBorder="1" applyAlignment="1">
      <alignment horizontal="left"/>
      <protection/>
    </xf>
    <xf numFmtId="3" fontId="4" fillId="37" borderId="0" xfId="36" applyNumberFormat="1" applyFont="1" applyFill="1" applyBorder="1" applyAlignment="1">
      <alignment horizontal="right"/>
      <protection/>
    </xf>
    <xf numFmtId="3" fontId="4" fillId="37" borderId="0" xfId="36" applyNumberFormat="1" applyFont="1" applyFill="1" applyBorder="1" applyAlignment="1">
      <alignment/>
      <protection/>
    </xf>
    <xf numFmtId="0" fontId="4" fillId="37" borderId="0" xfId="36" applyFont="1" applyFill="1" applyBorder="1" applyAlignment="1">
      <alignment/>
      <protection/>
    </xf>
    <xf numFmtId="3" fontId="4" fillId="37" borderId="0" xfId="36" applyNumberFormat="1" applyFont="1" applyFill="1" applyBorder="1" applyAlignment="1">
      <alignment horizontal="left"/>
      <protection/>
    </xf>
    <xf numFmtId="0" fontId="3" fillId="37" borderId="0" xfId="36" applyFont="1" applyFill="1" applyAlignment="1">
      <alignment horizontal="right"/>
      <protection/>
    </xf>
    <xf numFmtId="0" fontId="3" fillId="37" borderId="0" xfId="36" applyFont="1" applyFill="1">
      <alignment/>
      <protection/>
    </xf>
    <xf numFmtId="1" fontId="4" fillId="37" borderId="39" xfId="36" applyNumberFormat="1" applyFont="1" applyFill="1" applyBorder="1" applyAlignment="1">
      <alignment horizontal="center"/>
      <protection/>
    </xf>
    <xf numFmtId="3" fontId="3" fillId="37" borderId="40" xfId="36" applyNumberFormat="1" applyFont="1" applyFill="1" applyBorder="1" applyAlignment="1">
      <alignment/>
      <protection/>
    </xf>
    <xf numFmtId="3" fontId="3" fillId="37" borderId="22" xfId="36" applyNumberFormat="1" applyFont="1" applyFill="1" applyBorder="1" applyAlignment="1">
      <alignment/>
      <protection/>
    </xf>
    <xf numFmtId="0" fontId="4" fillId="45" borderId="86" xfId="36" applyFont="1" applyFill="1" applyBorder="1" applyAlignment="1">
      <alignment horizontal="center" vertical="center"/>
      <protection/>
    </xf>
    <xf numFmtId="0" fontId="4" fillId="45" borderId="87" xfId="36" applyFont="1" applyFill="1" applyBorder="1" applyAlignment="1">
      <alignment horizontal="center" vertical="center"/>
      <protection/>
    </xf>
    <xf numFmtId="0" fontId="4" fillId="45" borderId="34" xfId="36" applyFont="1" applyFill="1" applyBorder="1" applyAlignment="1">
      <alignment horizontal="center" vertical="center" wrapText="1"/>
      <protection/>
    </xf>
    <xf numFmtId="0" fontId="4" fillId="45" borderId="88" xfId="36" applyFont="1" applyFill="1" applyBorder="1" applyAlignment="1">
      <alignment horizontal="center" vertical="center" wrapText="1"/>
      <protection/>
    </xf>
    <xf numFmtId="0" fontId="3" fillId="45" borderId="27" xfId="36" applyFont="1" applyFill="1" applyBorder="1" applyAlignment="1">
      <alignment horizontal="right" vertical="center"/>
      <protection/>
    </xf>
    <xf numFmtId="0" fontId="3" fillId="45" borderId="27" xfId="36" applyFont="1" applyFill="1" applyBorder="1" applyAlignment="1">
      <alignment horizontal="center" vertical="center"/>
      <protection/>
    </xf>
    <xf numFmtId="0" fontId="4" fillId="45" borderId="28" xfId="36" applyFont="1" applyFill="1" applyBorder="1" applyAlignment="1">
      <alignment horizontal="center" vertical="center"/>
      <protection/>
    </xf>
    <xf numFmtId="0" fontId="4" fillId="45" borderId="29" xfId="36" applyFont="1" applyFill="1" applyBorder="1" applyAlignment="1">
      <alignment horizontal="center" vertical="center"/>
      <protection/>
    </xf>
    <xf numFmtId="3" fontId="3" fillId="37" borderId="26" xfId="36" applyNumberFormat="1" applyFont="1" applyFill="1" applyBorder="1" applyAlignment="1">
      <alignment horizontal="right"/>
      <protection/>
    </xf>
    <xf numFmtId="3" fontId="3" fillId="0" borderId="52" xfId="36" applyNumberFormat="1" applyFont="1" applyFill="1" applyBorder="1">
      <alignment/>
      <protection/>
    </xf>
    <xf numFmtId="3" fontId="4" fillId="34" borderId="52" xfId="36" applyNumberFormat="1" applyFont="1" applyFill="1" applyBorder="1">
      <alignment/>
      <protection/>
    </xf>
    <xf numFmtId="3" fontId="3" fillId="0" borderId="52" xfId="36" applyNumberFormat="1" applyFont="1" applyFill="1" applyBorder="1" applyAlignment="1">
      <alignment/>
      <protection/>
    </xf>
    <xf numFmtId="3" fontId="3" fillId="0" borderId="52" xfId="36" applyNumberFormat="1" applyFont="1" applyBorder="1" applyAlignment="1">
      <alignment vertical="center" wrapText="1"/>
      <protection/>
    </xf>
    <xf numFmtId="3" fontId="3" fillId="0" borderId="113" xfId="36" applyNumberFormat="1" applyFont="1" applyFill="1" applyBorder="1">
      <alignment/>
      <protection/>
    </xf>
    <xf numFmtId="3" fontId="3" fillId="0" borderId="114" xfId="36" applyNumberFormat="1" applyFont="1" applyFill="1" applyBorder="1">
      <alignment/>
      <protection/>
    </xf>
    <xf numFmtId="3" fontId="4" fillId="34" borderId="114" xfId="36" applyNumberFormat="1" applyFont="1" applyFill="1" applyBorder="1">
      <alignment/>
      <protection/>
    </xf>
    <xf numFmtId="3" fontId="3" fillId="0" borderId="114" xfId="36" applyNumberFormat="1" applyFont="1" applyFill="1" applyBorder="1" applyAlignment="1">
      <alignment/>
      <protection/>
    </xf>
    <xf numFmtId="3" fontId="3" fillId="0" borderId="114" xfId="36" applyNumberFormat="1" applyFont="1" applyBorder="1" applyAlignment="1">
      <alignment vertical="center" wrapText="1"/>
      <protection/>
    </xf>
    <xf numFmtId="3" fontId="4" fillId="35" borderId="46" xfId="36" applyNumberFormat="1" applyFont="1" applyFill="1" applyBorder="1">
      <alignment/>
      <protection/>
    </xf>
    <xf numFmtId="3" fontId="3" fillId="0" borderId="51" xfId="36" applyNumberFormat="1" applyFont="1" applyFill="1" applyBorder="1">
      <alignment/>
      <protection/>
    </xf>
    <xf numFmtId="3" fontId="4" fillId="35" borderId="45" xfId="36" applyNumberFormat="1" applyFont="1" applyFill="1" applyBorder="1">
      <alignment/>
      <protection/>
    </xf>
    <xf numFmtId="3" fontId="3" fillId="41" borderId="51" xfId="36" applyNumberFormat="1" applyFont="1" applyFill="1" applyBorder="1">
      <alignment/>
      <protection/>
    </xf>
    <xf numFmtId="3" fontId="3" fillId="41" borderId="52" xfId="36" applyNumberFormat="1" applyFont="1" applyFill="1" applyBorder="1">
      <alignment/>
      <protection/>
    </xf>
    <xf numFmtId="3" fontId="4" fillId="46" borderId="52" xfId="36" applyNumberFormat="1" applyFont="1" applyFill="1" applyBorder="1">
      <alignment/>
      <protection/>
    </xf>
    <xf numFmtId="3" fontId="3" fillId="41" borderId="52" xfId="36" applyNumberFormat="1" applyFont="1" applyFill="1" applyBorder="1" applyAlignment="1">
      <alignment/>
      <protection/>
    </xf>
    <xf numFmtId="3" fontId="3" fillId="41" borderId="52" xfId="36" applyNumberFormat="1" applyFont="1" applyFill="1" applyBorder="1" applyAlignment="1">
      <alignment vertical="center" wrapText="1"/>
      <protection/>
    </xf>
    <xf numFmtId="3" fontId="4" fillId="47" borderId="45" xfId="36" applyNumberFormat="1" applyFont="1" applyFill="1" applyBorder="1">
      <alignment/>
      <protection/>
    </xf>
    <xf numFmtId="3" fontId="3" fillId="41" borderId="59" xfId="36" applyNumberFormat="1" applyFont="1" applyFill="1" applyBorder="1">
      <alignment/>
      <protection/>
    </xf>
    <xf numFmtId="3" fontId="3" fillId="41" borderId="60" xfId="36" applyNumberFormat="1" applyFont="1" applyFill="1" applyBorder="1">
      <alignment/>
      <protection/>
    </xf>
    <xf numFmtId="3" fontId="4" fillId="46" borderId="60" xfId="36" applyNumberFormat="1" applyFont="1" applyFill="1" applyBorder="1">
      <alignment/>
      <protection/>
    </xf>
    <xf numFmtId="3" fontId="3" fillId="41" borderId="60" xfId="36" applyNumberFormat="1" applyFont="1" applyFill="1" applyBorder="1" applyAlignment="1">
      <alignment/>
      <protection/>
    </xf>
    <xf numFmtId="3" fontId="3" fillId="41" borderId="60" xfId="36" applyNumberFormat="1" applyFont="1" applyFill="1" applyBorder="1" applyAlignment="1">
      <alignment vertical="center" wrapText="1"/>
      <protection/>
    </xf>
    <xf numFmtId="3" fontId="4" fillId="47" borderId="66" xfId="36" applyNumberFormat="1" applyFont="1" applyFill="1" applyBorder="1">
      <alignment/>
      <protection/>
    </xf>
    <xf numFmtId="3" fontId="4" fillId="46" borderId="83" xfId="36" applyNumberFormat="1" applyFont="1" applyFill="1" applyBorder="1">
      <alignment/>
      <protection/>
    </xf>
    <xf numFmtId="3" fontId="4" fillId="47" borderId="84" xfId="36" applyNumberFormat="1" applyFont="1" applyFill="1" applyBorder="1">
      <alignment/>
      <protection/>
    </xf>
    <xf numFmtId="3" fontId="4" fillId="41" borderId="74" xfId="36" applyNumberFormat="1" applyFont="1" applyFill="1" applyBorder="1">
      <alignment/>
      <protection/>
    </xf>
    <xf numFmtId="3" fontId="4" fillId="41" borderId="83" xfId="36" applyNumberFormat="1" applyFont="1" applyFill="1" applyBorder="1">
      <alignment/>
      <protection/>
    </xf>
    <xf numFmtId="3" fontId="4" fillId="41" borderId="83" xfId="36" applyNumberFormat="1" applyFont="1" applyFill="1" applyBorder="1" applyAlignment="1">
      <alignment/>
      <protection/>
    </xf>
    <xf numFmtId="3" fontId="4" fillId="41" borderId="83" xfId="36" applyNumberFormat="1" applyFont="1" applyFill="1" applyBorder="1" applyAlignment="1">
      <alignment vertical="center" wrapText="1"/>
      <protection/>
    </xf>
    <xf numFmtId="164" fontId="3" fillId="41" borderId="20" xfId="36" applyNumberFormat="1" applyFont="1" applyFill="1" applyBorder="1" applyAlignment="1">
      <alignment/>
      <protection/>
    </xf>
    <xf numFmtId="164" fontId="3" fillId="41" borderId="21" xfId="36" applyNumberFormat="1" applyFont="1" applyFill="1" applyBorder="1" applyAlignment="1">
      <alignment/>
      <protection/>
    </xf>
    <xf numFmtId="164" fontId="3" fillId="46" borderId="21" xfId="36" applyNumberFormat="1" applyFont="1" applyFill="1" applyBorder="1">
      <alignment/>
      <protection/>
    </xf>
    <xf numFmtId="164" fontId="3" fillId="46" borderId="22" xfId="36" applyNumberFormat="1" applyFont="1" applyFill="1" applyBorder="1">
      <alignment/>
      <protection/>
    </xf>
    <xf numFmtId="49" fontId="4" fillId="41" borderId="110" xfId="48" applyNumberFormat="1" applyFont="1" applyFill="1" applyBorder="1" applyAlignment="1">
      <alignment horizontal="left"/>
      <protection/>
    </xf>
    <xf numFmtId="164" fontId="4" fillId="41" borderId="20" xfId="36" applyNumberFormat="1" applyFont="1" applyFill="1" applyBorder="1" applyAlignment="1">
      <alignment/>
      <protection/>
    </xf>
    <xf numFmtId="164" fontId="4" fillId="41" borderId="21" xfId="36" applyNumberFormat="1" applyFont="1" applyFill="1" applyBorder="1" applyAlignment="1">
      <alignment/>
      <protection/>
    </xf>
    <xf numFmtId="164" fontId="4" fillId="46" borderId="21" xfId="36" applyNumberFormat="1" applyFont="1" applyFill="1" applyBorder="1">
      <alignment/>
      <protection/>
    </xf>
    <xf numFmtId="164" fontId="4" fillId="46" borderId="22" xfId="36" applyNumberFormat="1" applyFont="1" applyFill="1" applyBorder="1">
      <alignment/>
      <protection/>
    </xf>
    <xf numFmtId="0" fontId="8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/>
    </xf>
    <xf numFmtId="0" fontId="9" fillId="37" borderId="0" xfId="0" applyFont="1" applyFill="1" applyBorder="1" applyAlignment="1">
      <alignment horizontal="center"/>
    </xf>
    <xf numFmtId="4" fontId="0" fillId="37" borderId="0" xfId="0" applyNumberFormat="1" applyFill="1" applyBorder="1" applyAlignment="1">
      <alignment/>
    </xf>
    <xf numFmtId="4" fontId="8" fillId="37" borderId="0" xfId="0" applyNumberFormat="1" applyFont="1" applyFill="1" applyBorder="1" applyAlignment="1">
      <alignment horizontal="center" vertical="center"/>
    </xf>
    <xf numFmtId="4" fontId="9" fillId="37" borderId="0" xfId="0" applyNumberFormat="1" applyFont="1" applyFill="1" applyBorder="1" applyAlignment="1">
      <alignment horizontal="center"/>
    </xf>
    <xf numFmtId="1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right"/>
    </xf>
    <xf numFmtId="0" fontId="7" fillId="37" borderId="0" xfId="0" applyFont="1" applyFill="1" applyBorder="1" applyAlignment="1">
      <alignment horizontal="left"/>
    </xf>
    <xf numFmtId="3" fontId="3" fillId="0" borderId="92" xfId="36" applyNumberFormat="1" applyFont="1" applyFill="1" applyBorder="1" applyAlignment="1">
      <alignment/>
      <protection/>
    </xf>
    <xf numFmtId="3" fontId="3" fillId="0" borderId="99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/>
    </xf>
    <xf numFmtId="0" fontId="10" fillId="41" borderId="113" xfId="0" applyFont="1" applyFill="1" applyBorder="1" applyAlignment="1">
      <alignment/>
    </xf>
    <xf numFmtId="0" fontId="3" fillId="33" borderId="80" xfId="36" applyFont="1" applyFill="1" applyBorder="1" applyAlignment="1">
      <alignment horizontal="center" textRotation="90" wrapText="1"/>
      <protection/>
    </xf>
    <xf numFmtId="0" fontId="3" fillId="33" borderId="82" xfId="36" applyFont="1" applyFill="1" applyBorder="1" applyAlignment="1">
      <alignment horizontal="center" textRotation="90" wrapText="1"/>
      <protection/>
    </xf>
    <xf numFmtId="0" fontId="10" fillId="41" borderId="79" xfId="0" applyFont="1" applyFill="1" applyBorder="1" applyAlignment="1">
      <alignment/>
    </xf>
    <xf numFmtId="3" fontId="0" fillId="0" borderId="114" xfId="0" applyNumberFormat="1" applyBorder="1" applyAlignment="1">
      <alignment/>
    </xf>
    <xf numFmtId="0" fontId="10" fillId="41" borderId="59" xfId="0" applyFont="1" applyFill="1" applyBorder="1" applyAlignment="1">
      <alignment/>
    </xf>
    <xf numFmtId="3" fontId="0" fillId="0" borderId="60" xfId="0" applyNumberFormat="1" applyBorder="1" applyAlignment="1">
      <alignment/>
    </xf>
    <xf numFmtId="3" fontId="0" fillId="41" borderId="83" xfId="0" applyNumberFormat="1" applyFill="1" applyBorder="1" applyAlignment="1">
      <alignment/>
    </xf>
    <xf numFmtId="0" fontId="10" fillId="41" borderId="74" xfId="0" applyFont="1" applyFill="1" applyBorder="1" applyAlignment="1">
      <alignment/>
    </xf>
    <xf numFmtId="3" fontId="10" fillId="41" borderId="114" xfId="0" applyNumberFormat="1" applyFont="1" applyFill="1" applyBorder="1" applyAlignment="1">
      <alignment/>
    </xf>
    <xf numFmtId="3" fontId="10" fillId="41" borderId="46" xfId="0" applyNumberFormat="1" applyFont="1" applyFill="1" applyBorder="1" applyAlignment="1">
      <alignment/>
    </xf>
    <xf numFmtId="3" fontId="10" fillId="41" borderId="60" xfId="0" applyNumberFormat="1" applyFont="1" applyFill="1" applyBorder="1" applyAlignment="1">
      <alignment/>
    </xf>
    <xf numFmtId="3" fontId="10" fillId="41" borderId="66" xfId="0" applyNumberFormat="1" applyFont="1" applyFill="1" applyBorder="1" applyAlignment="1">
      <alignment/>
    </xf>
    <xf numFmtId="3" fontId="10" fillId="41" borderId="83" xfId="0" applyNumberFormat="1" applyFont="1" applyFill="1" applyBorder="1" applyAlignment="1">
      <alignment/>
    </xf>
    <xf numFmtId="3" fontId="3" fillId="37" borderId="59" xfId="0" applyNumberFormat="1" applyFont="1" applyFill="1" applyBorder="1" applyAlignment="1">
      <alignment/>
    </xf>
    <xf numFmtId="3" fontId="4" fillId="37" borderId="71" xfId="50" applyNumberFormat="1" applyFont="1" applyFill="1" applyBorder="1" applyAlignment="1">
      <alignment horizontal="right" vertical="center"/>
      <protection/>
    </xf>
    <xf numFmtId="3" fontId="3" fillId="37" borderId="25" xfId="36" applyNumberFormat="1" applyFont="1" applyFill="1" applyBorder="1" applyAlignment="1">
      <alignment horizontal="center"/>
      <protection/>
    </xf>
    <xf numFmtId="3" fontId="3" fillId="37" borderId="51" xfId="0" applyNumberFormat="1" applyFont="1" applyFill="1" applyBorder="1" applyAlignment="1">
      <alignment/>
    </xf>
    <xf numFmtId="3" fontId="4" fillId="37" borderId="51" xfId="0" applyNumberFormat="1" applyFont="1" applyFill="1" applyBorder="1" applyAlignment="1">
      <alignment/>
    </xf>
    <xf numFmtId="3" fontId="3" fillId="37" borderId="45" xfId="36" applyNumberFormat="1" applyFont="1" applyFill="1" applyBorder="1" applyAlignment="1">
      <alignment horizontal="right" vertical="center"/>
      <protection/>
    </xf>
    <xf numFmtId="3" fontId="3" fillId="37" borderId="47" xfId="0" applyNumberFormat="1" applyFont="1" applyFill="1" applyBorder="1" applyAlignment="1">
      <alignment horizontal="right"/>
    </xf>
    <xf numFmtId="3" fontId="4" fillId="45" borderId="78" xfId="36" applyNumberFormat="1" applyFont="1" applyFill="1" applyBorder="1" applyAlignment="1">
      <alignment vertical="center"/>
      <protection/>
    </xf>
    <xf numFmtId="0" fontId="3" fillId="37" borderId="0" xfId="0" applyFont="1" applyFill="1" applyAlignment="1">
      <alignment/>
    </xf>
    <xf numFmtId="3" fontId="3" fillId="37" borderId="52" xfId="0" applyNumberFormat="1" applyFont="1" applyFill="1" applyBorder="1" applyAlignment="1">
      <alignment/>
    </xf>
    <xf numFmtId="3" fontId="4" fillId="45" borderId="30" xfId="36" applyNumberFormat="1" applyFont="1" applyFill="1" applyBorder="1" applyAlignment="1">
      <alignment vertical="center"/>
      <protection/>
    </xf>
    <xf numFmtId="10" fontId="4" fillId="37" borderId="0" xfId="36" applyNumberFormat="1" applyFont="1" applyFill="1" applyBorder="1" applyAlignment="1">
      <alignment vertical="center"/>
      <protection/>
    </xf>
    <xf numFmtId="0" fontId="3" fillId="37" borderId="0" xfId="0" applyFont="1" applyFill="1" applyBorder="1" applyAlignment="1">
      <alignment horizontal="center"/>
    </xf>
    <xf numFmtId="3" fontId="3" fillId="37" borderId="36" xfId="36" applyNumberFormat="1" applyFont="1" applyFill="1" applyBorder="1" applyAlignment="1">
      <alignment horizontal="left" vertical="center"/>
      <protection/>
    </xf>
    <xf numFmtId="3" fontId="3" fillId="37" borderId="98" xfId="36" applyNumberFormat="1" applyFont="1" applyFill="1" applyBorder="1" applyAlignment="1">
      <alignment horizontal="left" vertical="center"/>
      <protection/>
    </xf>
    <xf numFmtId="3" fontId="0" fillId="41" borderId="80" xfId="0" applyNumberFormat="1" applyFill="1" applyBorder="1" applyAlignment="1">
      <alignment/>
    </xf>
    <xf numFmtId="3" fontId="10" fillId="41" borderId="80" xfId="0" applyNumberFormat="1" applyFont="1" applyFill="1" applyBorder="1" applyAlignment="1">
      <alignment/>
    </xf>
    <xf numFmtId="3" fontId="10" fillId="41" borderId="82" xfId="0" applyNumberFormat="1" applyFont="1" applyFill="1" applyBorder="1" applyAlignment="1">
      <alignment/>
    </xf>
    <xf numFmtId="3" fontId="10" fillId="41" borderId="113" xfId="0" applyNumberFormat="1" applyFont="1" applyFill="1" applyBorder="1" applyAlignment="1">
      <alignment/>
    </xf>
    <xf numFmtId="3" fontId="10" fillId="41" borderId="71" xfId="0" applyNumberFormat="1" applyFont="1" applyFill="1" applyBorder="1" applyAlignment="1">
      <alignment/>
    </xf>
    <xf numFmtId="0" fontId="3" fillId="0" borderId="16" xfId="36" applyFont="1" applyBorder="1" applyAlignment="1">
      <alignment horizontal="center"/>
      <protection/>
    </xf>
    <xf numFmtId="0" fontId="0" fillId="41" borderId="114" xfId="0" applyFill="1" applyBorder="1" applyAlignment="1">
      <alignment/>
    </xf>
    <xf numFmtId="0" fontId="0" fillId="41" borderId="46" xfId="0" applyFill="1" applyBorder="1" applyAlignment="1">
      <alignment/>
    </xf>
    <xf numFmtId="0" fontId="0" fillId="41" borderId="72" xfId="0" applyFill="1" applyBorder="1" applyAlignment="1">
      <alignment/>
    </xf>
    <xf numFmtId="0" fontId="0" fillId="41" borderId="44" xfId="0" applyFill="1" applyBorder="1" applyAlignment="1">
      <alignment/>
    </xf>
    <xf numFmtId="3" fontId="3" fillId="0" borderId="32" xfId="36" applyNumberFormat="1" applyFont="1" applyBorder="1" applyAlignment="1">
      <alignment/>
      <protection/>
    </xf>
    <xf numFmtId="3" fontId="3" fillId="0" borderId="73" xfId="36" applyNumberFormat="1" applyFont="1" applyBorder="1" applyAlignment="1">
      <alignment/>
      <protection/>
    </xf>
    <xf numFmtId="0" fontId="5" fillId="0" borderId="0" xfId="36" applyFont="1" applyBorder="1" applyAlignment="1">
      <alignment horizontal="center"/>
      <protection/>
    </xf>
    <xf numFmtId="0" fontId="4" fillId="33" borderId="13" xfId="0" applyFont="1" applyFill="1" applyBorder="1" applyAlignment="1">
      <alignment horizontal="center" vertical="center"/>
    </xf>
    <xf numFmtId="49" fontId="4" fillId="33" borderId="115" xfId="0" applyNumberFormat="1" applyFont="1" applyFill="1" applyBorder="1" applyAlignment="1">
      <alignment horizontal="right" vertical="center"/>
    </xf>
    <xf numFmtId="0" fontId="4" fillId="33" borderId="115" xfId="0" applyFont="1" applyFill="1" applyBorder="1" applyAlignment="1">
      <alignment horizontal="right" vertical="center"/>
    </xf>
    <xf numFmtId="0" fontId="4" fillId="33" borderId="116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/>
    </xf>
    <xf numFmtId="0" fontId="4" fillId="33" borderId="114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49" fontId="4" fillId="0" borderId="113" xfId="48" applyNumberFormat="1" applyFont="1" applyFill="1" applyBorder="1" applyAlignment="1">
      <alignment/>
      <protection/>
    </xf>
    <xf numFmtId="49" fontId="4" fillId="0" borderId="114" xfId="48" applyNumberFormat="1" applyFont="1" applyFill="1" applyBorder="1" applyAlignment="1">
      <alignment/>
      <protection/>
    </xf>
    <xf numFmtId="49" fontId="3" fillId="0" borderId="51" xfId="48" applyNumberFormat="1" applyFont="1" applyFill="1" applyBorder="1" applyAlignment="1">
      <alignment/>
      <protection/>
    </xf>
    <xf numFmtId="49" fontId="3" fillId="0" borderId="52" xfId="48" applyNumberFormat="1" applyFont="1" applyFill="1" applyBorder="1" applyAlignment="1">
      <alignment/>
      <protection/>
    </xf>
    <xf numFmtId="49" fontId="3" fillId="0" borderId="51" xfId="48" applyNumberFormat="1" applyFont="1" applyFill="1" applyBorder="1" applyAlignment="1">
      <alignment horizontal="left"/>
      <protection/>
    </xf>
    <xf numFmtId="49" fontId="3" fillId="0" borderId="52" xfId="48" applyNumberFormat="1" applyFont="1" applyFill="1" applyBorder="1" applyAlignment="1">
      <alignment horizontal="left"/>
      <protection/>
    </xf>
    <xf numFmtId="49" fontId="4" fillId="0" borderId="51" xfId="48" applyNumberFormat="1" applyFont="1" applyFill="1" applyBorder="1" applyAlignment="1">
      <alignment/>
      <protection/>
    </xf>
    <xf numFmtId="49" fontId="4" fillId="0" borderId="52" xfId="48" applyNumberFormat="1" applyFont="1" applyFill="1" applyBorder="1" applyAlignment="1">
      <alignment/>
      <protection/>
    </xf>
    <xf numFmtId="49" fontId="3" fillId="44" borderId="51" xfId="48" applyNumberFormat="1" applyFont="1" applyFill="1" applyBorder="1" applyAlignment="1">
      <alignment/>
      <protection/>
    </xf>
    <xf numFmtId="49" fontId="3" fillId="44" borderId="52" xfId="48" applyNumberFormat="1" applyFont="1" applyFill="1" applyBorder="1" applyAlignment="1">
      <alignment/>
      <protection/>
    </xf>
    <xf numFmtId="0" fontId="3" fillId="44" borderId="52" xfId="48" applyFont="1" applyFill="1" applyBorder="1" applyAlignment="1">
      <alignment/>
      <protection/>
    </xf>
    <xf numFmtId="49" fontId="4" fillId="43" borderId="51" xfId="48" applyNumberFormat="1" applyFont="1" applyFill="1" applyBorder="1" applyAlignment="1">
      <alignment horizontal="left"/>
      <protection/>
    </xf>
    <xf numFmtId="49" fontId="4" fillId="43" borderId="52" xfId="48" applyNumberFormat="1" applyFont="1" applyFill="1" applyBorder="1" applyAlignment="1">
      <alignment horizontal="left"/>
      <protection/>
    </xf>
    <xf numFmtId="49" fontId="4" fillId="0" borderId="51" xfId="48" applyNumberFormat="1" applyFont="1" applyFill="1" applyBorder="1" applyAlignment="1">
      <alignment horizontal="left"/>
      <protection/>
    </xf>
    <xf numFmtId="49" fontId="4" fillId="0" borderId="52" xfId="48" applyNumberFormat="1" applyFont="1" applyFill="1" applyBorder="1" applyAlignment="1">
      <alignment horizontal="left"/>
      <protection/>
    </xf>
    <xf numFmtId="49" fontId="3" fillId="44" borderId="51" xfId="48" applyNumberFormat="1" applyFont="1" applyFill="1" applyBorder="1" applyAlignment="1">
      <alignment horizontal="left"/>
      <protection/>
    </xf>
    <xf numFmtId="49" fontId="3" fillId="44" borderId="52" xfId="48" applyNumberFormat="1" applyFont="1" applyFill="1" applyBorder="1" applyAlignment="1">
      <alignment horizontal="left"/>
      <protection/>
    </xf>
    <xf numFmtId="3" fontId="4" fillId="33" borderId="113" xfId="36" applyNumberFormat="1" applyFont="1" applyFill="1" applyBorder="1" applyAlignment="1">
      <alignment horizontal="left" vertical="center"/>
      <protection/>
    </xf>
    <xf numFmtId="3" fontId="4" fillId="33" borderId="114" xfId="36" applyNumberFormat="1" applyFont="1" applyFill="1" applyBorder="1" applyAlignment="1">
      <alignment horizontal="left" vertical="center"/>
      <protection/>
    </xf>
    <xf numFmtId="3" fontId="4" fillId="33" borderId="59" xfId="36" applyNumberFormat="1" applyFont="1" applyFill="1" applyBorder="1" applyAlignment="1">
      <alignment horizontal="left" vertical="center"/>
      <protection/>
    </xf>
    <xf numFmtId="3" fontId="4" fillId="33" borderId="60" xfId="36" applyNumberFormat="1" applyFont="1" applyFill="1" applyBorder="1" applyAlignment="1">
      <alignment horizontal="left" vertical="center"/>
      <protection/>
    </xf>
    <xf numFmtId="3" fontId="4" fillId="33" borderId="46" xfId="36" applyNumberFormat="1" applyFont="1" applyFill="1" applyBorder="1" applyAlignment="1">
      <alignment horizontal="center" vertical="center"/>
      <protection/>
    </xf>
    <xf numFmtId="3" fontId="4" fillId="33" borderId="66" xfId="36" applyNumberFormat="1" applyFont="1" applyFill="1" applyBorder="1" applyAlignment="1">
      <alignment horizontal="center" vertical="center"/>
      <protection/>
    </xf>
    <xf numFmtId="49" fontId="4" fillId="43" borderId="71" xfId="48" applyNumberFormat="1" applyFont="1" applyFill="1" applyBorder="1" applyAlignment="1">
      <alignment horizontal="left"/>
      <protection/>
    </xf>
    <xf numFmtId="49" fontId="4" fillId="43" borderId="72" xfId="48" applyNumberFormat="1" applyFont="1" applyFill="1" applyBorder="1" applyAlignment="1">
      <alignment horizontal="left"/>
      <protection/>
    </xf>
    <xf numFmtId="49" fontId="4" fillId="43" borderId="117" xfId="48" applyNumberFormat="1" applyFont="1" applyFill="1" applyBorder="1" applyAlignment="1">
      <alignment horizontal="left"/>
      <protection/>
    </xf>
    <xf numFmtId="3" fontId="4" fillId="33" borderId="118" xfId="36" applyNumberFormat="1" applyFont="1" applyFill="1" applyBorder="1" applyAlignment="1">
      <alignment horizontal="left" vertical="center"/>
      <protection/>
    </xf>
    <xf numFmtId="3" fontId="4" fillId="33" borderId="119" xfId="36" applyNumberFormat="1" applyFont="1" applyFill="1" applyBorder="1" applyAlignment="1">
      <alignment horizontal="left" vertical="center"/>
      <protection/>
    </xf>
    <xf numFmtId="3" fontId="4" fillId="33" borderId="120" xfId="36" applyNumberFormat="1" applyFont="1" applyFill="1" applyBorder="1" applyAlignment="1">
      <alignment horizontal="left" vertical="center"/>
      <protection/>
    </xf>
    <xf numFmtId="3" fontId="4" fillId="33" borderId="14" xfId="36" applyNumberFormat="1" applyFont="1" applyFill="1" applyBorder="1" applyAlignment="1">
      <alignment horizontal="left" vertical="center"/>
      <protection/>
    </xf>
    <xf numFmtId="3" fontId="4" fillId="33" borderId="121" xfId="36" applyNumberFormat="1" applyFont="1" applyFill="1" applyBorder="1" applyAlignment="1">
      <alignment horizontal="center" vertical="center"/>
      <protection/>
    </xf>
    <xf numFmtId="3" fontId="4" fillId="33" borderId="122" xfId="36" applyNumberFormat="1" applyFont="1" applyFill="1" applyBorder="1" applyAlignment="1">
      <alignment horizontal="center" vertical="center"/>
      <protection/>
    </xf>
    <xf numFmtId="3" fontId="3" fillId="0" borderId="113" xfId="36" applyNumberFormat="1" applyFont="1" applyFill="1" applyBorder="1" applyAlignment="1">
      <alignment horizontal="left" vertical="center"/>
      <protection/>
    </xf>
    <xf numFmtId="3" fontId="3" fillId="0" borderId="114" xfId="36" applyNumberFormat="1" applyFont="1" applyFill="1" applyBorder="1" applyAlignment="1">
      <alignment horizontal="left" vertical="center"/>
      <protection/>
    </xf>
    <xf numFmtId="3" fontId="3" fillId="0" borderId="113" xfId="36" applyNumberFormat="1" applyFont="1" applyBorder="1" applyAlignment="1">
      <alignment horizontal="left"/>
      <protection/>
    </xf>
    <xf numFmtId="3" fontId="3" fillId="0" borderId="114" xfId="36" applyNumberFormat="1" applyFont="1" applyBorder="1" applyAlignment="1">
      <alignment horizontal="left"/>
      <protection/>
    </xf>
    <xf numFmtId="3" fontId="3" fillId="0" borderId="51" xfId="36" applyNumberFormat="1" applyFont="1" applyFill="1" applyBorder="1" applyAlignment="1">
      <alignment horizontal="left" vertical="center"/>
      <protection/>
    </xf>
    <xf numFmtId="3" fontId="3" fillId="0" borderId="52" xfId="36" applyNumberFormat="1" applyFont="1" applyFill="1" applyBorder="1" applyAlignment="1">
      <alignment horizontal="left" vertical="center"/>
      <protection/>
    </xf>
    <xf numFmtId="3" fontId="3" fillId="0" borderId="51" xfId="36" applyNumberFormat="1" applyFont="1" applyBorder="1" applyAlignment="1">
      <alignment horizontal="left"/>
      <protection/>
    </xf>
    <xf numFmtId="3" fontId="3" fillId="0" borderId="52" xfId="36" applyNumberFormat="1" applyFont="1" applyBorder="1" applyAlignment="1">
      <alignment horizontal="left"/>
      <protection/>
    </xf>
    <xf numFmtId="3" fontId="3" fillId="37" borderId="51" xfId="36" applyNumberFormat="1" applyFont="1" applyFill="1" applyBorder="1" applyAlignment="1">
      <alignment horizontal="left"/>
      <protection/>
    </xf>
    <xf numFmtId="3" fontId="3" fillId="37" borderId="52" xfId="36" applyNumberFormat="1" applyFont="1" applyFill="1" applyBorder="1" applyAlignment="1">
      <alignment horizontal="left"/>
      <protection/>
    </xf>
    <xf numFmtId="3" fontId="3" fillId="0" borderId="71" xfId="36" applyNumberFormat="1" applyFont="1" applyFill="1" applyBorder="1" applyAlignment="1">
      <alignment horizontal="left" vertical="center"/>
      <protection/>
    </xf>
    <xf numFmtId="3" fontId="3" fillId="0" borderId="72" xfId="36" applyNumberFormat="1" applyFont="1" applyFill="1" applyBorder="1" applyAlignment="1">
      <alignment horizontal="left" vertical="center"/>
      <protection/>
    </xf>
    <xf numFmtId="3" fontId="3" fillId="0" borderId="71" xfId="36" applyNumberFormat="1" applyFont="1" applyBorder="1" applyAlignment="1">
      <alignment horizontal="left"/>
      <protection/>
    </xf>
    <xf numFmtId="3" fontId="3" fillId="0" borderId="72" xfId="36" applyNumberFormat="1" applyFont="1" applyBorder="1" applyAlignment="1">
      <alignment horizontal="left"/>
      <protection/>
    </xf>
    <xf numFmtId="3" fontId="4" fillId="33" borderId="76" xfId="36" applyNumberFormat="1" applyFont="1" applyFill="1" applyBorder="1" applyAlignment="1">
      <alignment horizontal="left" vertical="center"/>
      <protection/>
    </xf>
    <xf numFmtId="3" fontId="4" fillId="33" borderId="123" xfId="36" applyNumberFormat="1" applyFont="1" applyFill="1" applyBorder="1" applyAlignment="1">
      <alignment horizontal="left" vertical="center"/>
      <protection/>
    </xf>
    <xf numFmtId="0" fontId="4" fillId="33" borderId="124" xfId="36" applyFont="1" applyFill="1" applyBorder="1" applyAlignment="1">
      <alignment vertical="center"/>
      <protection/>
    </xf>
    <xf numFmtId="0" fontId="4" fillId="33" borderId="125" xfId="36" applyFont="1" applyFill="1" applyBorder="1" applyAlignment="1">
      <alignment vertical="center"/>
      <protection/>
    </xf>
    <xf numFmtId="0" fontId="4" fillId="33" borderId="14" xfId="50" applyFont="1" applyFill="1" applyBorder="1" applyAlignment="1">
      <alignment horizontal="center" vertical="center"/>
      <protection/>
    </xf>
    <xf numFmtId="0" fontId="4" fillId="33" borderId="126" xfId="50" applyFont="1" applyFill="1" applyBorder="1" applyAlignment="1">
      <alignment horizontal="center" vertical="center"/>
      <protection/>
    </xf>
    <xf numFmtId="0" fontId="4" fillId="33" borderId="127" xfId="50" applyFont="1" applyFill="1" applyBorder="1" applyAlignment="1">
      <alignment horizontal="center" vertical="center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4" fillId="33" borderId="23" xfId="50" applyFont="1" applyFill="1" applyBorder="1" applyAlignment="1">
      <alignment horizontal="center" vertical="center" wrapText="1"/>
      <protection/>
    </xf>
    <xf numFmtId="0" fontId="4" fillId="33" borderId="128" xfId="50" applyFont="1" applyFill="1" applyBorder="1" applyAlignment="1">
      <alignment horizontal="center" vertical="center" wrapText="1"/>
      <protection/>
    </xf>
    <xf numFmtId="0" fontId="4" fillId="33" borderId="19" xfId="50" applyFont="1" applyFill="1" applyBorder="1" applyAlignment="1">
      <alignment horizontal="center" vertical="center" wrapText="1"/>
      <protection/>
    </xf>
    <xf numFmtId="0" fontId="4" fillId="33" borderId="107" xfId="50" applyFont="1" applyFill="1" applyBorder="1" applyAlignment="1">
      <alignment horizontal="center" vertical="center" wrapText="1"/>
      <protection/>
    </xf>
    <xf numFmtId="0" fontId="4" fillId="33" borderId="129" xfId="50" applyFont="1" applyFill="1" applyBorder="1" applyAlignment="1">
      <alignment horizontal="center" vertical="center" wrapText="1"/>
      <protection/>
    </xf>
    <xf numFmtId="0" fontId="4" fillId="33" borderId="51" xfId="50" applyFont="1" applyFill="1" applyBorder="1" applyAlignment="1">
      <alignment horizontal="center" vertical="center"/>
      <protection/>
    </xf>
    <xf numFmtId="0" fontId="4" fillId="33" borderId="113" xfId="50" applyFont="1" applyFill="1" applyBorder="1" applyAlignment="1">
      <alignment horizontal="center" vertical="center"/>
      <protection/>
    </xf>
    <xf numFmtId="0" fontId="4" fillId="33" borderId="114" xfId="50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4" fillId="33" borderId="52" xfId="50" applyFont="1" applyFill="1" applyBorder="1" applyAlignment="1">
      <alignment horizontal="center" vertical="center"/>
      <protection/>
    </xf>
    <xf numFmtId="0" fontId="0" fillId="0" borderId="45" xfId="0" applyBorder="1" applyAlignment="1">
      <alignment/>
    </xf>
    <xf numFmtId="3" fontId="4" fillId="33" borderId="130" xfId="36" applyNumberFormat="1" applyFont="1" applyFill="1" applyBorder="1" applyAlignment="1">
      <alignment horizontal="center" vertical="center"/>
      <protection/>
    </xf>
    <xf numFmtId="3" fontId="4" fillId="33" borderId="131" xfId="36" applyNumberFormat="1" applyFont="1" applyFill="1" applyBorder="1" applyAlignment="1">
      <alignment horizontal="center" vertical="center"/>
      <protection/>
    </xf>
    <xf numFmtId="3" fontId="4" fillId="33" borderId="132" xfId="36" applyNumberFormat="1" applyFont="1" applyFill="1" applyBorder="1" applyAlignment="1">
      <alignment horizontal="center" vertical="center"/>
      <protection/>
    </xf>
    <xf numFmtId="0" fontId="4" fillId="33" borderId="133" xfId="36" applyFont="1" applyFill="1" applyBorder="1" applyAlignment="1">
      <alignment vertical="center"/>
      <protection/>
    </xf>
    <xf numFmtId="0" fontId="4" fillId="33" borderId="134" xfId="36" applyFont="1" applyFill="1" applyBorder="1" applyAlignment="1">
      <alignment vertical="center"/>
      <protection/>
    </xf>
    <xf numFmtId="0" fontId="4" fillId="33" borderId="16" xfId="36" applyFont="1" applyFill="1" applyBorder="1" applyAlignment="1">
      <alignment horizontal="center" vertical="center" wrapText="1"/>
      <protection/>
    </xf>
    <xf numFmtId="0" fontId="4" fillId="33" borderId="32" xfId="36" applyFont="1" applyFill="1" applyBorder="1" applyAlignment="1">
      <alignment horizontal="center" vertical="center"/>
      <protection/>
    </xf>
    <xf numFmtId="0" fontId="4" fillId="33" borderId="73" xfId="36" applyFont="1" applyFill="1" applyBorder="1" applyAlignment="1">
      <alignment horizontal="center" vertical="center"/>
      <protection/>
    </xf>
    <xf numFmtId="3" fontId="3" fillId="0" borderId="135" xfId="36" applyNumberFormat="1" applyFont="1" applyBorder="1" applyAlignment="1">
      <alignment/>
      <protection/>
    </xf>
    <xf numFmtId="3" fontId="3" fillId="0" borderId="132" xfId="36" applyNumberFormat="1" applyFont="1" applyBorder="1" applyAlignment="1">
      <alignment/>
      <protection/>
    </xf>
    <xf numFmtId="0" fontId="4" fillId="33" borderId="85" xfId="36" applyFont="1" applyFill="1" applyBorder="1" applyAlignment="1">
      <alignment horizontal="center" vertical="center"/>
      <protection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" fontId="4" fillId="33" borderId="51" xfId="36" applyNumberFormat="1" applyFont="1" applyFill="1" applyBorder="1" applyAlignment="1">
      <alignment horizontal="left" vertical="center"/>
      <protection/>
    </xf>
    <xf numFmtId="3" fontId="4" fillId="33" borderId="52" xfId="36" applyNumberFormat="1" applyFont="1" applyFill="1" applyBorder="1" applyAlignment="1">
      <alignment horizontal="left" vertical="center"/>
      <protection/>
    </xf>
    <xf numFmtId="3" fontId="4" fillId="33" borderId="45" xfId="36" applyNumberFormat="1" applyFont="1" applyFill="1" applyBorder="1" applyAlignment="1">
      <alignment horizontal="center" vertical="center"/>
      <protection/>
    </xf>
    <xf numFmtId="3" fontId="4" fillId="33" borderId="71" xfId="36" applyNumberFormat="1" applyFont="1" applyFill="1" applyBorder="1" applyAlignment="1">
      <alignment horizontal="left" vertical="center"/>
      <protection/>
    </xf>
    <xf numFmtId="3" fontId="4" fillId="33" borderId="72" xfId="36" applyNumberFormat="1" applyFont="1" applyFill="1" applyBorder="1" applyAlignment="1">
      <alignment horizontal="left" vertical="center"/>
      <protection/>
    </xf>
    <xf numFmtId="0" fontId="4" fillId="33" borderId="71" xfId="36" applyFont="1" applyFill="1" applyBorder="1" applyAlignment="1">
      <alignment vertical="center"/>
      <protection/>
    </xf>
    <xf numFmtId="0" fontId="4" fillId="33" borderId="72" xfId="36" applyFont="1" applyFill="1" applyBorder="1" applyAlignment="1">
      <alignment vertical="center"/>
      <protection/>
    </xf>
    <xf numFmtId="3" fontId="3" fillId="37" borderId="51" xfId="36" applyNumberFormat="1" applyFont="1" applyFill="1" applyBorder="1" applyAlignment="1">
      <alignment horizontal="left" vertical="center"/>
      <protection/>
    </xf>
    <xf numFmtId="3" fontId="3" fillId="37" borderId="52" xfId="36" applyNumberFormat="1" applyFont="1" applyFill="1" applyBorder="1" applyAlignment="1">
      <alignment horizontal="left" vertical="center"/>
      <protection/>
    </xf>
    <xf numFmtId="49" fontId="3" fillId="0" borderId="51" xfId="36" applyNumberFormat="1" applyFont="1" applyBorder="1" applyAlignment="1">
      <alignment horizontal="left"/>
      <protection/>
    </xf>
    <xf numFmtId="49" fontId="3" fillId="0" borderId="52" xfId="36" applyNumberFormat="1" applyFont="1" applyBorder="1" applyAlignment="1">
      <alignment horizontal="left"/>
      <protection/>
    </xf>
    <xf numFmtId="0" fontId="4" fillId="33" borderId="115" xfId="0" applyFont="1" applyFill="1" applyBorder="1" applyAlignment="1">
      <alignment horizontal="center" vertical="center"/>
    </xf>
    <xf numFmtId="0" fontId="4" fillId="33" borderId="13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138" xfId="0" applyFont="1" applyFill="1" applyBorder="1" applyAlignment="1">
      <alignment horizontal="center" vertical="center"/>
    </xf>
    <xf numFmtId="0" fontId="4" fillId="33" borderId="139" xfId="0" applyFont="1" applyFill="1" applyBorder="1" applyAlignment="1">
      <alignment horizontal="center" vertical="center"/>
    </xf>
    <xf numFmtId="0" fontId="4" fillId="33" borderId="140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right" vertical="center"/>
    </xf>
    <xf numFmtId="49" fontId="4" fillId="33" borderId="141" xfId="0" applyNumberFormat="1" applyFont="1" applyFill="1" applyBorder="1" applyAlignment="1">
      <alignment horizontal="right" vertical="center"/>
    </xf>
    <xf numFmtId="49" fontId="4" fillId="33" borderId="142" xfId="0" applyNumberFormat="1" applyFont="1" applyFill="1" applyBorder="1" applyAlignment="1">
      <alignment horizontal="right" vertical="center"/>
    </xf>
    <xf numFmtId="0" fontId="4" fillId="33" borderId="143" xfId="0" applyFont="1" applyFill="1" applyBorder="1" applyAlignment="1">
      <alignment horizontal="right" vertical="center"/>
    </xf>
    <xf numFmtId="0" fontId="4" fillId="33" borderId="144" xfId="0" applyFont="1" applyFill="1" applyBorder="1" applyAlignment="1">
      <alignment horizontal="right" vertical="center"/>
    </xf>
    <xf numFmtId="0" fontId="4" fillId="33" borderId="145" xfId="0" applyFont="1" applyFill="1" applyBorder="1" applyAlignment="1">
      <alignment horizontal="right" vertical="center"/>
    </xf>
    <xf numFmtId="0" fontId="4" fillId="33" borderId="14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112" xfId="0" applyFont="1" applyFill="1" applyBorder="1" applyAlignment="1">
      <alignment horizontal="center" vertical="center"/>
    </xf>
    <xf numFmtId="0" fontId="4" fillId="33" borderId="147" xfId="0" applyFont="1" applyFill="1" applyBorder="1" applyAlignment="1">
      <alignment horizontal="center" vertical="center"/>
    </xf>
    <xf numFmtId="0" fontId="4" fillId="33" borderId="101" xfId="0" applyFont="1" applyFill="1" applyBorder="1" applyAlignment="1">
      <alignment horizontal="center" vertical="center"/>
    </xf>
    <xf numFmtId="49" fontId="4" fillId="0" borderId="112" xfId="48" applyNumberFormat="1" applyFont="1" applyFill="1" applyBorder="1" applyAlignment="1">
      <alignment/>
      <protection/>
    </xf>
    <xf numFmtId="49" fontId="4" fillId="0" borderId="147" xfId="48" applyNumberFormat="1" applyFont="1" applyFill="1" applyBorder="1" applyAlignment="1">
      <alignment/>
      <protection/>
    </xf>
    <xf numFmtId="49" fontId="4" fillId="0" borderId="101" xfId="48" applyNumberFormat="1" applyFont="1" applyFill="1" applyBorder="1" applyAlignment="1">
      <alignment/>
      <protection/>
    </xf>
    <xf numFmtId="49" fontId="3" fillId="0" borderId="111" xfId="48" applyNumberFormat="1" applyFont="1" applyFill="1" applyBorder="1" applyAlignment="1">
      <alignment/>
      <protection/>
    </xf>
    <xf numFmtId="49" fontId="3" fillId="0" borderId="57" xfId="48" applyNumberFormat="1" applyFont="1" applyFill="1" applyBorder="1" applyAlignment="1">
      <alignment/>
      <protection/>
    </xf>
    <xf numFmtId="49" fontId="3" fillId="0" borderId="102" xfId="48" applyNumberFormat="1" applyFont="1" applyFill="1" applyBorder="1" applyAlignment="1">
      <alignment/>
      <protection/>
    </xf>
    <xf numFmtId="49" fontId="3" fillId="0" borderId="111" xfId="48" applyNumberFormat="1" applyFont="1" applyFill="1" applyBorder="1" applyAlignment="1">
      <alignment horizontal="left"/>
      <protection/>
    </xf>
    <xf numFmtId="49" fontId="3" fillId="0" borderId="57" xfId="48" applyNumberFormat="1" applyFont="1" applyFill="1" applyBorder="1" applyAlignment="1">
      <alignment horizontal="left"/>
      <protection/>
    </xf>
    <xf numFmtId="49" fontId="3" fillId="0" borderId="102" xfId="48" applyNumberFormat="1" applyFont="1" applyFill="1" applyBorder="1" applyAlignment="1">
      <alignment horizontal="left"/>
      <protection/>
    </xf>
    <xf numFmtId="49" fontId="4" fillId="0" borderId="111" xfId="48" applyNumberFormat="1" applyFont="1" applyFill="1" applyBorder="1" applyAlignment="1">
      <alignment/>
      <protection/>
    </xf>
    <xf numFmtId="49" fontId="4" fillId="0" borderId="57" xfId="48" applyNumberFormat="1" applyFont="1" applyFill="1" applyBorder="1" applyAlignment="1">
      <alignment/>
      <protection/>
    </xf>
    <xf numFmtId="49" fontId="4" fillId="0" borderId="102" xfId="48" applyNumberFormat="1" applyFont="1" applyFill="1" applyBorder="1" applyAlignment="1">
      <alignment/>
      <protection/>
    </xf>
    <xf numFmtId="49" fontId="3" fillId="44" borderId="111" xfId="48" applyNumberFormat="1" applyFont="1" applyFill="1" applyBorder="1" applyAlignment="1">
      <alignment/>
      <protection/>
    </xf>
    <xf numFmtId="49" fontId="3" fillId="44" borderId="57" xfId="48" applyNumberFormat="1" applyFont="1" applyFill="1" applyBorder="1" applyAlignment="1">
      <alignment/>
      <protection/>
    </xf>
    <xf numFmtId="49" fontId="3" fillId="44" borderId="102" xfId="48" applyNumberFormat="1" applyFont="1" applyFill="1" applyBorder="1" applyAlignment="1">
      <alignment/>
      <protection/>
    </xf>
    <xf numFmtId="49" fontId="4" fillId="43" borderId="111" xfId="48" applyNumberFormat="1" applyFont="1" applyFill="1" applyBorder="1" applyAlignment="1">
      <alignment horizontal="left"/>
      <protection/>
    </xf>
    <xf numFmtId="49" fontId="4" fillId="43" borderId="57" xfId="48" applyNumberFormat="1" applyFont="1" applyFill="1" applyBorder="1" applyAlignment="1">
      <alignment horizontal="left"/>
      <protection/>
    </xf>
    <xf numFmtId="49" fontId="4" fillId="43" borderId="102" xfId="48" applyNumberFormat="1" applyFont="1" applyFill="1" applyBorder="1" applyAlignment="1">
      <alignment horizontal="left"/>
      <protection/>
    </xf>
    <xf numFmtId="49" fontId="4" fillId="0" borderId="111" xfId="48" applyNumberFormat="1" applyFont="1" applyFill="1" applyBorder="1" applyAlignment="1">
      <alignment horizontal="left"/>
      <protection/>
    </xf>
    <xf numFmtId="49" fontId="4" fillId="0" borderId="57" xfId="48" applyNumberFormat="1" applyFont="1" applyFill="1" applyBorder="1" applyAlignment="1">
      <alignment horizontal="left"/>
      <protection/>
    </xf>
    <xf numFmtId="49" fontId="4" fillId="0" borderId="102" xfId="48" applyNumberFormat="1" applyFont="1" applyFill="1" applyBorder="1" applyAlignment="1">
      <alignment horizontal="left"/>
      <protection/>
    </xf>
    <xf numFmtId="49" fontId="3" fillId="44" borderId="111" xfId="48" applyNumberFormat="1" applyFont="1" applyFill="1" applyBorder="1" applyAlignment="1">
      <alignment horizontal="left"/>
      <protection/>
    </xf>
    <xf numFmtId="49" fontId="3" fillId="44" borderId="57" xfId="48" applyNumberFormat="1" applyFont="1" applyFill="1" applyBorder="1" applyAlignment="1">
      <alignment horizontal="left"/>
      <protection/>
    </xf>
    <xf numFmtId="49" fontId="3" fillId="44" borderId="102" xfId="48" applyNumberFormat="1" applyFont="1" applyFill="1" applyBorder="1" applyAlignment="1">
      <alignment horizontal="left"/>
      <protection/>
    </xf>
    <xf numFmtId="49" fontId="3" fillId="0" borderId="69" xfId="48" applyNumberFormat="1" applyFont="1" applyFill="1" applyBorder="1" applyAlignment="1">
      <alignment horizontal="left"/>
      <protection/>
    </xf>
    <xf numFmtId="49" fontId="4" fillId="43" borderId="110" xfId="48" applyNumberFormat="1" applyFont="1" applyFill="1" applyBorder="1" applyAlignment="1">
      <alignment horizontal="left"/>
      <protection/>
    </xf>
    <xf numFmtId="49" fontId="4" fillId="43" borderId="148" xfId="48" applyNumberFormat="1" applyFont="1" applyFill="1" applyBorder="1" applyAlignment="1">
      <alignment horizontal="left"/>
      <protection/>
    </xf>
    <xf numFmtId="49" fontId="4" fillId="43" borderId="104" xfId="48" applyNumberFormat="1" applyFont="1" applyFill="1" applyBorder="1" applyAlignment="1">
      <alignment horizontal="left"/>
      <protection/>
    </xf>
    <xf numFmtId="49" fontId="4" fillId="43" borderId="149" xfId="48" applyNumberFormat="1" applyFont="1" applyFill="1" applyBorder="1" applyAlignment="1">
      <alignment horizontal="left"/>
      <protection/>
    </xf>
    <xf numFmtId="49" fontId="4" fillId="43" borderId="150" xfId="48" applyNumberFormat="1" applyFont="1" applyFill="1" applyBorder="1" applyAlignment="1">
      <alignment horizontal="left"/>
      <protection/>
    </xf>
    <xf numFmtId="49" fontId="4" fillId="43" borderId="151" xfId="48" applyNumberFormat="1" applyFont="1" applyFill="1" applyBorder="1" applyAlignment="1">
      <alignment horizontal="left"/>
      <protection/>
    </xf>
    <xf numFmtId="3" fontId="3" fillId="0" borderId="55" xfId="36" applyNumberFormat="1" applyFont="1" applyFill="1" applyBorder="1" applyAlignment="1">
      <alignment horizontal="left" vertical="center"/>
      <protection/>
    </xf>
    <xf numFmtId="0" fontId="0" fillId="0" borderId="152" xfId="0" applyBorder="1" applyAlignment="1">
      <alignment horizontal="left" vertical="center"/>
    </xf>
    <xf numFmtId="3" fontId="3" fillId="0" borderId="89" xfId="0" applyNumberFormat="1" applyFont="1" applyBorder="1" applyAlignment="1">
      <alignment horizontal="left"/>
    </xf>
    <xf numFmtId="0" fontId="3" fillId="0" borderId="153" xfId="0" applyFont="1" applyBorder="1" applyAlignment="1">
      <alignment horizontal="left"/>
    </xf>
    <xf numFmtId="0" fontId="3" fillId="0" borderId="154" xfId="0" applyFont="1" applyBorder="1" applyAlignment="1">
      <alignment horizontal="left"/>
    </xf>
    <xf numFmtId="3" fontId="3" fillId="0" borderId="146" xfId="0" applyNumberFormat="1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0" borderId="155" xfId="0" applyFont="1" applyBorder="1" applyAlignment="1">
      <alignment horizontal="left"/>
    </xf>
    <xf numFmtId="3" fontId="3" fillId="0" borderId="156" xfId="0" applyNumberFormat="1" applyFont="1" applyBorder="1" applyAlignment="1">
      <alignment horizontal="left"/>
    </xf>
    <xf numFmtId="0" fontId="3" fillId="0" borderId="139" xfId="0" applyFont="1" applyBorder="1" applyAlignment="1">
      <alignment horizontal="left"/>
    </xf>
    <xf numFmtId="0" fontId="3" fillId="0" borderId="157" xfId="0" applyFont="1" applyBorder="1" applyAlignment="1">
      <alignment horizontal="left"/>
    </xf>
    <xf numFmtId="3" fontId="3" fillId="0" borderId="112" xfId="36" applyNumberFormat="1" applyFont="1" applyFill="1" applyBorder="1" applyAlignment="1">
      <alignment horizontal="left" vertical="center"/>
      <protection/>
    </xf>
    <xf numFmtId="0" fontId="0" fillId="0" borderId="158" xfId="0" applyFill="1" applyBorder="1" applyAlignment="1">
      <alignment horizontal="left" vertical="center"/>
    </xf>
    <xf numFmtId="3" fontId="3" fillId="0" borderId="111" xfId="36" applyNumberFormat="1" applyFont="1" applyFill="1" applyBorder="1" applyAlignment="1">
      <alignment horizontal="left" vertical="center"/>
      <protection/>
    </xf>
    <xf numFmtId="3" fontId="3" fillId="0" borderId="110" xfId="36" applyNumberFormat="1" applyFont="1" applyFill="1" applyBorder="1" applyAlignment="1">
      <alignment horizontal="left" vertical="center"/>
      <protection/>
    </xf>
    <xf numFmtId="0" fontId="0" fillId="0" borderId="159" xfId="0" applyBorder="1" applyAlignment="1">
      <alignment horizontal="left" vertical="center"/>
    </xf>
    <xf numFmtId="49" fontId="4" fillId="33" borderId="160" xfId="0" applyNumberFormat="1" applyFont="1" applyFill="1" applyBorder="1" applyAlignment="1">
      <alignment horizontal="right" vertical="center"/>
    </xf>
    <xf numFmtId="49" fontId="4" fillId="33" borderId="161" xfId="0" applyNumberFormat="1" applyFont="1" applyFill="1" applyBorder="1" applyAlignment="1">
      <alignment horizontal="right" vertical="center"/>
    </xf>
    <xf numFmtId="49" fontId="4" fillId="33" borderId="75" xfId="0" applyNumberFormat="1" applyFont="1" applyFill="1" applyBorder="1" applyAlignment="1">
      <alignment horizontal="right" vertical="center"/>
    </xf>
    <xf numFmtId="0" fontId="4" fillId="33" borderId="162" xfId="0" applyFont="1" applyFill="1" applyBorder="1" applyAlignment="1">
      <alignment horizontal="right" vertical="center"/>
    </xf>
    <xf numFmtId="0" fontId="4" fillId="33" borderId="163" xfId="0" applyFont="1" applyFill="1" applyBorder="1" applyAlignment="1">
      <alignment horizontal="right" vertical="center"/>
    </xf>
    <xf numFmtId="0" fontId="4" fillId="33" borderId="164" xfId="0" applyFont="1" applyFill="1" applyBorder="1" applyAlignment="1">
      <alignment horizontal="right" vertical="center"/>
    </xf>
    <xf numFmtId="3" fontId="4" fillId="33" borderId="115" xfId="36" applyNumberFormat="1" applyFont="1" applyFill="1" applyBorder="1" applyAlignment="1">
      <alignment horizontal="left" vertical="center"/>
      <protection/>
    </xf>
    <xf numFmtId="3" fontId="4" fillId="33" borderId="17" xfId="36" applyNumberFormat="1" applyFont="1" applyFill="1" applyBorder="1" applyAlignment="1">
      <alignment horizontal="left" vertical="center"/>
      <protection/>
    </xf>
    <xf numFmtId="3" fontId="4" fillId="33" borderId="165" xfId="36" applyNumberFormat="1" applyFont="1" applyFill="1" applyBorder="1" applyAlignment="1">
      <alignment horizontal="left" vertical="center"/>
      <protection/>
    </xf>
    <xf numFmtId="3" fontId="4" fillId="33" borderId="154" xfId="36" applyNumberFormat="1" applyFont="1" applyFill="1" applyBorder="1" applyAlignment="1">
      <alignment horizontal="left" vertical="center"/>
      <protection/>
    </xf>
    <xf numFmtId="3" fontId="4" fillId="33" borderId="15" xfId="36" applyNumberFormat="1" applyFont="1" applyFill="1" applyBorder="1" applyAlignment="1">
      <alignment horizontal="center" vertical="center"/>
      <protection/>
    </xf>
    <xf numFmtId="3" fontId="4" fillId="33" borderId="43" xfId="36" applyNumberFormat="1" applyFont="1" applyFill="1" applyBorder="1" applyAlignment="1">
      <alignment horizontal="center" vertical="center"/>
      <protection/>
    </xf>
    <xf numFmtId="3" fontId="4" fillId="33" borderId="136" xfId="36" applyNumberFormat="1" applyFont="1" applyFill="1" applyBorder="1" applyAlignment="1">
      <alignment horizontal="left" vertical="center"/>
      <protection/>
    </xf>
    <xf numFmtId="3" fontId="4" fillId="33" borderId="166" xfId="36" applyNumberFormat="1" applyFont="1" applyFill="1" applyBorder="1" applyAlignment="1">
      <alignment horizontal="left" vertical="center"/>
      <protection/>
    </xf>
    <xf numFmtId="3" fontId="4" fillId="33" borderId="167" xfId="36" applyNumberFormat="1" applyFont="1" applyFill="1" applyBorder="1" applyAlignment="1">
      <alignment horizontal="left" vertical="center"/>
      <protection/>
    </xf>
    <xf numFmtId="3" fontId="4" fillId="33" borderId="168" xfId="36" applyNumberFormat="1" applyFont="1" applyFill="1" applyBorder="1" applyAlignment="1">
      <alignment horizontal="left" vertical="center"/>
      <protection/>
    </xf>
    <xf numFmtId="3" fontId="4" fillId="33" borderId="30" xfId="36" applyNumberFormat="1" applyFont="1" applyFill="1" applyBorder="1" applyAlignment="1">
      <alignment horizontal="center" vertical="center"/>
      <protection/>
    </xf>
    <xf numFmtId="3" fontId="3" fillId="0" borderId="36" xfId="36" applyNumberFormat="1" applyFont="1" applyBorder="1" applyAlignment="1">
      <alignment horizontal="left"/>
      <protection/>
    </xf>
    <xf numFmtId="3" fontId="3" fillId="0" borderId="98" xfId="36" applyNumberFormat="1" applyFont="1" applyBorder="1" applyAlignment="1">
      <alignment horizontal="left"/>
      <protection/>
    </xf>
    <xf numFmtId="3" fontId="3" fillId="0" borderId="130" xfId="36" applyNumberFormat="1" applyFont="1" applyBorder="1" applyAlignment="1">
      <alignment horizontal="left"/>
      <protection/>
    </xf>
    <xf numFmtId="3" fontId="3" fillId="0" borderId="131" xfId="36" applyNumberFormat="1" applyFont="1" applyBorder="1" applyAlignment="1">
      <alignment horizontal="left"/>
      <protection/>
    </xf>
    <xf numFmtId="3" fontId="3" fillId="0" borderId="169" xfId="36" applyNumberFormat="1" applyFont="1" applyBorder="1" applyAlignment="1">
      <alignment horizontal="left"/>
      <protection/>
    </xf>
    <xf numFmtId="3" fontId="3" fillId="0" borderId="37" xfId="36" applyNumberFormat="1" applyFont="1" applyBorder="1" applyAlignment="1">
      <alignment horizontal="left"/>
      <protection/>
    </xf>
    <xf numFmtId="3" fontId="3" fillId="0" borderId="36" xfId="36" applyNumberFormat="1" applyFont="1" applyFill="1" applyBorder="1" applyAlignment="1">
      <alignment horizontal="left" vertical="center"/>
      <protection/>
    </xf>
    <xf numFmtId="3" fontId="3" fillId="0" borderId="98" xfId="36" applyNumberFormat="1" applyFont="1" applyFill="1" applyBorder="1" applyAlignment="1">
      <alignment horizontal="left" vertical="center"/>
      <protection/>
    </xf>
    <xf numFmtId="3" fontId="3" fillId="0" borderId="170" xfId="36" applyNumberFormat="1" applyFont="1" applyFill="1" applyBorder="1" applyAlignment="1">
      <alignment horizontal="left" vertical="center"/>
      <protection/>
    </xf>
    <xf numFmtId="3" fontId="3" fillId="0" borderId="171" xfId="36" applyNumberFormat="1" applyFont="1" applyFill="1" applyBorder="1" applyAlignment="1">
      <alignment horizontal="left" vertical="center"/>
      <protection/>
    </xf>
    <xf numFmtId="3" fontId="3" fillId="0" borderId="170" xfId="36" applyNumberFormat="1" applyFont="1" applyBorder="1" applyAlignment="1">
      <alignment horizontal="left"/>
      <protection/>
    </xf>
    <xf numFmtId="3" fontId="3" fillId="0" borderId="172" xfId="36" applyNumberFormat="1" applyFont="1" applyBorder="1" applyAlignment="1">
      <alignment horizontal="left"/>
      <protection/>
    </xf>
    <xf numFmtId="3" fontId="3" fillId="0" borderId="171" xfId="36" applyNumberFormat="1" applyFont="1" applyBorder="1" applyAlignment="1">
      <alignment horizontal="left"/>
      <protection/>
    </xf>
    <xf numFmtId="3" fontId="4" fillId="33" borderId="10" xfId="36" applyNumberFormat="1" applyFont="1" applyFill="1" applyBorder="1" applyAlignment="1">
      <alignment horizontal="left" vertical="center"/>
      <protection/>
    </xf>
    <xf numFmtId="3" fontId="4" fillId="33" borderId="173" xfId="36" applyNumberFormat="1" applyFont="1" applyFill="1" applyBorder="1" applyAlignment="1">
      <alignment horizontal="left" vertical="center"/>
      <protection/>
    </xf>
    <xf numFmtId="0" fontId="4" fillId="33" borderId="10" xfId="36" applyFont="1" applyFill="1" applyBorder="1" applyAlignment="1">
      <alignment vertical="center"/>
      <protection/>
    </xf>
    <xf numFmtId="0" fontId="4" fillId="33" borderId="174" xfId="36" applyFont="1" applyFill="1" applyBorder="1" applyAlignment="1">
      <alignment vertical="center"/>
      <protection/>
    </xf>
    <xf numFmtId="0" fontId="4" fillId="33" borderId="173" xfId="36" applyFont="1" applyFill="1" applyBorder="1" applyAlignment="1">
      <alignment vertical="center"/>
      <protection/>
    </xf>
    <xf numFmtId="0" fontId="0" fillId="0" borderId="98" xfId="0" applyBorder="1" applyAlignment="1">
      <alignment horizontal="left"/>
    </xf>
    <xf numFmtId="0" fontId="4" fillId="33" borderId="166" xfId="36" applyFont="1" applyFill="1" applyBorder="1" applyAlignment="1">
      <alignment vertical="center"/>
      <protection/>
    </xf>
    <xf numFmtId="0" fontId="4" fillId="33" borderId="167" xfId="36" applyFont="1" applyFill="1" applyBorder="1" applyAlignment="1">
      <alignment vertical="center"/>
      <protection/>
    </xf>
    <xf numFmtId="0" fontId="4" fillId="33" borderId="168" xfId="36" applyFont="1" applyFill="1" applyBorder="1" applyAlignment="1">
      <alignment vertical="center"/>
      <protection/>
    </xf>
    <xf numFmtId="3" fontId="4" fillId="33" borderId="137" xfId="36" applyNumberFormat="1" applyFont="1" applyFill="1" applyBorder="1" applyAlignment="1">
      <alignment horizontal="left" vertical="center"/>
      <protection/>
    </xf>
    <xf numFmtId="3" fontId="4" fillId="33" borderId="0" xfId="36" applyNumberFormat="1" applyFont="1" applyFill="1" applyBorder="1" applyAlignment="1">
      <alignment horizontal="left" vertical="center"/>
      <protection/>
    </xf>
    <xf numFmtId="3" fontId="4" fillId="33" borderId="33" xfId="36" applyNumberFormat="1" applyFont="1" applyFill="1" applyBorder="1" applyAlignment="1">
      <alignment horizontal="left" vertical="center"/>
      <protection/>
    </xf>
    <xf numFmtId="3" fontId="3" fillId="0" borderId="111" xfId="0" applyNumberFormat="1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69" xfId="0" applyBorder="1" applyAlignment="1">
      <alignment horizontal="left"/>
    </xf>
    <xf numFmtId="3" fontId="4" fillId="33" borderId="175" xfId="36" applyNumberFormat="1" applyFont="1" applyFill="1" applyBorder="1" applyAlignment="1">
      <alignment horizontal="left" vertical="center"/>
      <protection/>
    </xf>
    <xf numFmtId="3" fontId="4" fillId="33" borderId="31" xfId="36" applyNumberFormat="1" applyFont="1" applyFill="1" applyBorder="1" applyAlignment="1">
      <alignment horizontal="center" vertical="center"/>
      <protection/>
    </xf>
    <xf numFmtId="3" fontId="3" fillId="0" borderId="39" xfId="36" applyNumberFormat="1" applyFont="1" applyBorder="1" applyAlignment="1">
      <alignment horizontal="left"/>
      <protection/>
    </xf>
    <xf numFmtId="3" fontId="3" fillId="0" borderId="24" xfId="36" applyNumberFormat="1" applyFont="1" applyBorder="1" applyAlignment="1">
      <alignment horizontal="left"/>
      <protection/>
    </xf>
    <xf numFmtId="3" fontId="3" fillId="0" borderId="51" xfId="0" applyNumberFormat="1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3" fontId="3" fillId="0" borderId="126" xfId="36" applyNumberFormat="1" applyFont="1" applyBorder="1" applyAlignment="1">
      <alignment horizontal="left"/>
      <protection/>
    </xf>
    <xf numFmtId="3" fontId="4" fillId="33" borderId="127" xfId="36" applyNumberFormat="1" applyFont="1" applyFill="1" applyBorder="1" applyAlignment="1">
      <alignment horizontal="left" vertical="center"/>
      <protection/>
    </xf>
    <xf numFmtId="0" fontId="4" fillId="33" borderId="175" xfId="36" applyFont="1" applyFill="1" applyBorder="1" applyAlignment="1">
      <alignment vertical="center"/>
      <protection/>
    </xf>
    <xf numFmtId="3" fontId="4" fillId="0" borderId="71" xfId="36" applyNumberFormat="1" applyFont="1" applyBorder="1" applyAlignment="1">
      <alignment horizontal="left"/>
      <protection/>
    </xf>
    <xf numFmtId="3" fontId="4" fillId="0" borderId="72" xfId="36" applyNumberFormat="1" applyFont="1" applyBorder="1" applyAlignment="1">
      <alignment horizontal="left"/>
      <protection/>
    </xf>
    <xf numFmtId="0" fontId="4" fillId="33" borderId="127" xfId="36" applyFont="1" applyFill="1" applyBorder="1" applyAlignment="1">
      <alignment vertical="center"/>
      <protection/>
    </xf>
    <xf numFmtId="3" fontId="3" fillId="0" borderId="46" xfId="36" applyNumberFormat="1" applyFont="1" applyBorder="1" applyAlignment="1">
      <alignment horizontal="left"/>
      <protection/>
    </xf>
    <xf numFmtId="3" fontId="3" fillId="0" borderId="45" xfId="36" applyNumberFormat="1" applyFont="1" applyBorder="1" applyAlignment="1">
      <alignment horizontal="left"/>
      <protection/>
    </xf>
    <xf numFmtId="3" fontId="3" fillId="0" borderId="24" xfId="36" applyNumberFormat="1" applyFont="1" applyFill="1" applyBorder="1" applyAlignment="1">
      <alignment horizontal="left" vertical="center"/>
      <protection/>
    </xf>
    <xf numFmtId="3" fontId="3" fillId="0" borderId="27" xfId="36" applyNumberFormat="1" applyFont="1" applyFill="1" applyBorder="1" applyAlignment="1">
      <alignment horizontal="left" vertical="center"/>
      <protection/>
    </xf>
    <xf numFmtId="3" fontId="3" fillId="0" borderId="44" xfId="36" applyNumberFormat="1" applyFont="1" applyBorder="1" applyAlignment="1">
      <alignment horizontal="left"/>
      <protection/>
    </xf>
    <xf numFmtId="3" fontId="3" fillId="37" borderId="24" xfId="36" applyNumberFormat="1" applyFont="1" applyFill="1" applyBorder="1" applyAlignment="1">
      <alignment horizontal="left" vertical="center"/>
      <protection/>
    </xf>
    <xf numFmtId="3" fontId="3" fillId="37" borderId="24" xfId="36" applyNumberFormat="1" applyFont="1" applyFill="1" applyBorder="1" applyAlignment="1">
      <alignment horizontal="left"/>
      <protection/>
    </xf>
    <xf numFmtId="3" fontId="4" fillId="45" borderId="130" xfId="36" applyNumberFormat="1" applyFont="1" applyFill="1" applyBorder="1" applyAlignment="1">
      <alignment horizontal="center" vertical="center"/>
      <protection/>
    </xf>
    <xf numFmtId="3" fontId="4" fillId="45" borderId="131" xfId="36" applyNumberFormat="1" applyFont="1" applyFill="1" applyBorder="1" applyAlignment="1">
      <alignment horizontal="center" vertical="center"/>
      <protection/>
    </xf>
    <xf numFmtId="3" fontId="4" fillId="45" borderId="132" xfId="36" applyNumberFormat="1" applyFont="1" applyFill="1" applyBorder="1" applyAlignment="1">
      <alignment horizontal="center" vertical="center"/>
      <protection/>
    </xf>
    <xf numFmtId="0" fontId="4" fillId="45" borderId="32" xfId="36" applyFont="1" applyFill="1" applyBorder="1" applyAlignment="1">
      <alignment horizontal="center" vertical="center"/>
      <protection/>
    </xf>
    <xf numFmtId="0" fontId="4" fillId="45" borderId="73" xfId="36" applyFont="1" applyFill="1" applyBorder="1" applyAlignment="1">
      <alignment horizontal="center" vertical="center"/>
      <protection/>
    </xf>
    <xf numFmtId="3" fontId="3" fillId="37" borderId="135" xfId="36" applyNumberFormat="1" applyFont="1" applyFill="1" applyBorder="1" applyAlignment="1">
      <alignment/>
      <protection/>
    </xf>
    <xf numFmtId="3" fontId="3" fillId="37" borderId="132" xfId="36" applyNumberFormat="1" applyFont="1" applyFill="1" applyBorder="1" applyAlignmen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normální_RK Odpisový plán na rok 2002" xfId="50"/>
    <cellStyle name="Poznámka" xfId="51"/>
    <cellStyle name="Percent" xfId="52"/>
    <cellStyle name="Procenta 2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1F1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view="pageBreakPreview" zoomScale="75" zoomScaleNormal="70" zoomScaleSheetLayoutView="75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" sqref="N8"/>
    </sheetView>
  </sheetViews>
  <sheetFormatPr defaultColWidth="9.140625" defaultRowHeight="12.75"/>
  <cols>
    <col min="1" max="1" width="50.28125" style="1" customWidth="1"/>
    <col min="2" max="2" width="13.7109375" style="1" customWidth="1"/>
    <col min="3" max="3" width="11.28125" style="1" customWidth="1"/>
    <col min="4" max="4" width="9.7109375" style="1" customWidth="1"/>
    <col min="5" max="6" width="10.140625" style="1" customWidth="1"/>
    <col min="7" max="7" width="9.8515625" style="1" customWidth="1"/>
    <col min="8" max="8" width="10.28125" style="1" customWidth="1"/>
    <col min="9" max="9" width="12.28125" style="1" customWidth="1"/>
    <col min="10" max="10" width="11.28125" style="1" customWidth="1"/>
    <col min="11" max="11" width="10.140625" style="1" customWidth="1"/>
    <col min="12" max="12" width="12.28125" style="1" customWidth="1"/>
    <col min="13" max="13" width="12.7109375" style="1" customWidth="1"/>
    <col min="14" max="14" width="14.8515625" style="1" customWidth="1"/>
    <col min="15" max="15" width="14.00390625" style="1" customWidth="1"/>
    <col min="16" max="20" width="9.7109375" style="1" customWidth="1"/>
    <col min="21" max="21" width="10.28125" style="1" customWidth="1"/>
    <col min="22" max="22" width="13.28125" style="1" customWidth="1"/>
    <col min="23" max="23" width="11.8515625" style="1" customWidth="1"/>
    <col min="24" max="24" width="13.140625" style="1" customWidth="1"/>
    <col min="25" max="16384" width="9.140625" style="1" customWidth="1"/>
  </cols>
  <sheetData>
    <row r="1" ht="13.5">
      <c r="X1" s="2" t="s">
        <v>365</v>
      </c>
    </row>
    <row r="2" ht="13.5">
      <c r="X2" s="2" t="s">
        <v>364</v>
      </c>
    </row>
    <row r="3" spans="1:24" ht="14.25" thickBot="1">
      <c r="A3" s="3" t="s">
        <v>155</v>
      </c>
      <c r="L3" s="4"/>
      <c r="X3" s="4" t="s">
        <v>0</v>
      </c>
    </row>
    <row r="4" spans="1:24" ht="101.25" customHeight="1" thickBot="1">
      <c r="A4" s="5" t="s">
        <v>156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7" t="s">
        <v>11</v>
      </c>
      <c r="M4" s="8" t="s">
        <v>12</v>
      </c>
      <c r="N4" s="9" t="s">
        <v>13</v>
      </c>
      <c r="O4" s="6" t="s">
        <v>363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10" t="s">
        <v>20</v>
      </c>
      <c r="V4" s="8" t="s">
        <v>21</v>
      </c>
      <c r="W4" s="8" t="s">
        <v>22</v>
      </c>
      <c r="X4" s="8" t="s">
        <v>23</v>
      </c>
    </row>
    <row r="5" spans="1:24" ht="20.25" customHeight="1">
      <c r="A5" s="269" t="s">
        <v>24</v>
      </c>
      <c r="B5" s="301">
        <f>'DS Havlíčkův Brod'!J7</f>
        <v>18081</v>
      </c>
      <c r="C5" s="302">
        <f>'DD Ždírec'!J7</f>
        <v>20405.8</v>
      </c>
      <c r="D5" s="302">
        <f>'DD Onšov'!J7</f>
        <v>7820</v>
      </c>
      <c r="E5" s="302">
        <f>'DD Proseč Obořiště'!J7</f>
        <v>12115</v>
      </c>
      <c r="F5" s="302">
        <f>'DD Proseč u Pošné'!J7</f>
        <v>16356</v>
      </c>
      <c r="G5" s="302">
        <f>'DD Humpolec'!J7</f>
        <v>33470</v>
      </c>
      <c r="H5" s="302">
        <f>'DS Třebíč Koutkova'!J7</f>
        <v>31136</v>
      </c>
      <c r="I5" s="302">
        <f>'DS M.Curierových'!J7</f>
        <v>35882</v>
      </c>
      <c r="J5" s="302">
        <f>'DS Náměšť nad Os'!J7</f>
        <v>19390</v>
      </c>
      <c r="K5" s="302">
        <f>'DS Mitrov'!J7</f>
        <v>27587</v>
      </c>
      <c r="L5" s="302">
        <f>'DS Velké Meziříčí'!J7</f>
        <v>23035</v>
      </c>
      <c r="M5" s="303">
        <f>SUM(B5:L5)</f>
        <v>245277.8</v>
      </c>
      <c r="N5" s="304">
        <f>'ÚSP Lidmaň'!J7</f>
        <v>16527</v>
      </c>
      <c r="O5" s="304">
        <f>'Domov ve Zboží'!J7</f>
        <v>11339</v>
      </c>
      <c r="P5" s="302">
        <f>'Domov bez zámku'!J7</f>
        <v>11107</v>
      </c>
      <c r="Q5" s="302">
        <f>'Domov ve Věži'!J7</f>
        <v>13420</v>
      </c>
      <c r="R5" s="305">
        <f>'ÚSP Křižanov'!J7</f>
        <v>29255</v>
      </c>
      <c r="S5" s="302">
        <f>'Domov Jeřabina'!J7</f>
        <v>13109</v>
      </c>
      <c r="T5" s="302">
        <f>'ÚSP Nové Syrovice'!J7</f>
        <v>13956</v>
      </c>
      <c r="U5" s="302">
        <f>'Domov Háj'!J7</f>
        <v>12974</v>
      </c>
      <c r="V5" s="302">
        <f>'Psych.Jihl.'!J7</f>
        <v>0</v>
      </c>
      <c r="W5" s="303">
        <f aca="true" t="shared" si="0" ref="W5:W36">SUM(N5:U5)</f>
        <v>121687</v>
      </c>
      <c r="X5" s="306">
        <f aca="true" t="shared" si="1" ref="X5:X36">M5+V5+W5</f>
        <v>366964.8</v>
      </c>
    </row>
    <row r="6" spans="1:24" ht="20.25" customHeight="1">
      <c r="A6" s="265" t="s">
        <v>25</v>
      </c>
      <c r="B6" s="307">
        <f>'DS Havlíčkův Brod'!J8</f>
        <v>0</v>
      </c>
      <c r="C6" s="297">
        <f>'DD Ždírec'!J8</f>
        <v>0</v>
      </c>
      <c r="D6" s="297">
        <f>'DD Onšov'!J8</f>
        <v>0</v>
      </c>
      <c r="E6" s="297">
        <f>'DD Proseč Obořiště'!J8</f>
        <v>0</v>
      </c>
      <c r="F6" s="297">
        <f>'DD Proseč u Pošné'!J8</f>
        <v>0</v>
      </c>
      <c r="G6" s="297">
        <f>'DD Humpolec'!J8</f>
        <v>0</v>
      </c>
      <c r="H6" s="297">
        <f>'DS Třebíč Koutkova'!J8</f>
        <v>0</v>
      </c>
      <c r="I6" s="297">
        <f>'DS M.Curierových'!J8</f>
        <v>0</v>
      </c>
      <c r="J6" s="297">
        <f>'DS Náměšť nad Os'!J8</f>
        <v>0</v>
      </c>
      <c r="K6" s="297">
        <f>'DS Mitrov'!J8</f>
        <v>0</v>
      </c>
      <c r="L6" s="297">
        <f>'DS Velké Meziříčí'!J8</f>
        <v>0</v>
      </c>
      <c r="M6" s="298">
        <f aca="true" t="shared" si="2" ref="M6:M69">SUM(B6:L6)</f>
        <v>0</v>
      </c>
      <c r="N6" s="299">
        <f>'ÚSP Lidmaň'!J8</f>
        <v>0</v>
      </c>
      <c r="O6" s="299">
        <f>'Domov ve Zboží'!J8</f>
        <v>25</v>
      </c>
      <c r="P6" s="297">
        <f>'Domov bez zámku'!J8</f>
        <v>0</v>
      </c>
      <c r="Q6" s="297">
        <f>'Domov ve Věži'!J8</f>
        <v>0</v>
      </c>
      <c r="R6" s="300">
        <f>'ÚSP Křižanov'!J8</f>
        <v>0</v>
      </c>
      <c r="S6" s="297">
        <f>'Domov Jeřabina'!J8</f>
        <v>50</v>
      </c>
      <c r="T6" s="297">
        <f>'ÚSP Nové Syrovice'!J8</f>
        <v>0</v>
      </c>
      <c r="U6" s="297">
        <f>'Domov Háj'!J8</f>
        <v>15</v>
      </c>
      <c r="V6" s="297">
        <f>'Psych.Jihl.'!J8</f>
        <v>0</v>
      </c>
      <c r="W6" s="298">
        <f t="shared" si="0"/>
        <v>90</v>
      </c>
      <c r="X6" s="308">
        <f t="shared" si="1"/>
        <v>90</v>
      </c>
    </row>
    <row r="7" spans="1:24" ht="20.25" customHeight="1">
      <c r="A7" s="265" t="s">
        <v>26</v>
      </c>
      <c r="B7" s="307">
        <f>'DS Havlíčkův Brod'!J9</f>
        <v>0</v>
      </c>
      <c r="C7" s="297">
        <f>'DD Ždírec'!J9</f>
        <v>20405.8</v>
      </c>
      <c r="D7" s="297">
        <f>'DD Onšov'!J9</f>
        <v>7820</v>
      </c>
      <c r="E7" s="297">
        <f>'DD Proseč Obořiště'!J9</f>
        <v>12115</v>
      </c>
      <c r="F7" s="297">
        <f>'DD Proseč u Pošné'!J9</f>
        <v>16357</v>
      </c>
      <c r="G7" s="297">
        <f>'DD Humpolec'!J9</f>
        <v>33205</v>
      </c>
      <c r="H7" s="297">
        <f>'DS Třebíč Koutkova'!J9</f>
        <v>31125</v>
      </c>
      <c r="I7" s="297">
        <f>'DS M.Curierových'!J9</f>
        <v>35873</v>
      </c>
      <c r="J7" s="297">
        <f>'DS Náměšť nad Os'!J9</f>
        <v>19240</v>
      </c>
      <c r="K7" s="297">
        <f>'DS Mitrov'!J9</f>
        <v>27582</v>
      </c>
      <c r="L7" s="297">
        <f>'DS Velké Meziříčí'!J9</f>
        <v>23020</v>
      </c>
      <c r="M7" s="298">
        <f t="shared" si="2"/>
        <v>226742.8</v>
      </c>
      <c r="N7" s="299">
        <f>'ÚSP Lidmaň'!J9</f>
        <v>16527</v>
      </c>
      <c r="O7" s="299">
        <f>'Domov ve Zboží'!J9</f>
        <v>11314</v>
      </c>
      <c r="P7" s="297">
        <f>'Domov bez zámku'!J9</f>
        <v>11107</v>
      </c>
      <c r="Q7" s="297">
        <f>'Domov ve Věži'!J9</f>
        <v>13420</v>
      </c>
      <c r="R7" s="300">
        <f>'ÚSP Křižanov'!J9</f>
        <v>29255</v>
      </c>
      <c r="S7" s="297">
        <f>'Domov Jeřabina'!J9</f>
        <v>13059</v>
      </c>
      <c r="T7" s="297">
        <f>'ÚSP Nové Syrovice'!J9</f>
        <v>13890</v>
      </c>
      <c r="U7" s="297">
        <f>'Domov Háj'!J9</f>
        <v>12959</v>
      </c>
      <c r="V7" s="297">
        <f>'Psych.Jihl.'!J9</f>
        <v>0</v>
      </c>
      <c r="W7" s="298">
        <f t="shared" si="0"/>
        <v>121531</v>
      </c>
      <c r="X7" s="308">
        <f t="shared" si="1"/>
        <v>348273.8</v>
      </c>
    </row>
    <row r="8" spans="1:24" ht="20.25" customHeight="1">
      <c r="A8" s="262" t="s">
        <v>27</v>
      </c>
      <c r="B8" s="307">
        <f>'DS Havlíčkův Brod'!J10</f>
        <v>8045</v>
      </c>
      <c r="C8" s="297">
        <f>'DD Ždírec'!J10</f>
        <v>11376</v>
      </c>
      <c r="D8" s="297">
        <f>'DD Onšov'!J10</f>
        <v>4750</v>
      </c>
      <c r="E8" s="297">
        <f>'DD Proseč Obořiště'!J10</f>
        <v>6585</v>
      </c>
      <c r="F8" s="297">
        <f>'DD Proseč u Pošné'!J10</f>
        <v>6550</v>
      </c>
      <c r="G8" s="297">
        <f>'DD Humpolec'!J10</f>
        <v>18300</v>
      </c>
      <c r="H8" s="297">
        <f>'DS Třebíč Koutkova'!J10</f>
        <v>17920</v>
      </c>
      <c r="I8" s="297">
        <f>'DS M.Curierových'!J10</f>
        <v>19491</v>
      </c>
      <c r="J8" s="297">
        <f>'DS Náměšť nad Os'!J10</f>
        <v>10500</v>
      </c>
      <c r="K8" s="297">
        <f>'DS Mitrov'!J10</f>
        <v>12700</v>
      </c>
      <c r="L8" s="297">
        <f>'DS Velké Meziříčí'!J10</f>
        <v>9920</v>
      </c>
      <c r="M8" s="298">
        <f t="shared" si="2"/>
        <v>126137</v>
      </c>
      <c r="N8" s="299">
        <f>'ÚSP Lidmaň'!J10</f>
        <v>9532</v>
      </c>
      <c r="O8" s="299">
        <f>'Domov ve Zboží'!J10</f>
        <v>5535</v>
      </c>
      <c r="P8" s="297">
        <f>'Domov bez zámku'!J10</f>
        <v>5109</v>
      </c>
      <c r="Q8" s="297">
        <f>'Domov ve Věži'!J10</f>
        <v>6800</v>
      </c>
      <c r="R8" s="300">
        <f>'ÚSP Křižanov'!J10</f>
        <v>11300</v>
      </c>
      <c r="S8" s="297">
        <f>'Domov Jeřabina'!J10</f>
        <v>6430</v>
      </c>
      <c r="T8" s="297">
        <f>'ÚSP Nové Syrovice'!J10</f>
        <v>8250</v>
      </c>
      <c r="U8" s="297">
        <f>'Domov Háj'!J10</f>
        <v>7209</v>
      </c>
      <c r="V8" s="297">
        <f>'Psych.Jihl.'!J10</f>
        <v>0</v>
      </c>
      <c r="W8" s="298">
        <f t="shared" si="0"/>
        <v>60165</v>
      </c>
      <c r="X8" s="308">
        <f t="shared" si="1"/>
        <v>186302</v>
      </c>
    </row>
    <row r="9" spans="1:24" ht="20.25" customHeight="1">
      <c r="A9" s="262" t="s">
        <v>28</v>
      </c>
      <c r="B9" s="307">
        <f>'DS Havlíčkův Brod'!J11</f>
        <v>7234</v>
      </c>
      <c r="C9" s="297">
        <f>'DD Ždírec'!J11</f>
        <v>7804.8</v>
      </c>
      <c r="D9" s="297">
        <f>'DD Onšov'!J11</f>
        <v>2900</v>
      </c>
      <c r="E9" s="297">
        <f>'DD Proseč Obořiště'!J11</f>
        <v>4536</v>
      </c>
      <c r="F9" s="297">
        <f>'DD Proseč u Pošné'!J11</f>
        <v>6650</v>
      </c>
      <c r="G9" s="297">
        <f>'DD Humpolec'!J11</f>
        <v>13100</v>
      </c>
      <c r="H9" s="297">
        <f>'DS Třebíč Koutkova'!J11</f>
        <v>11350</v>
      </c>
      <c r="I9" s="297">
        <f>'DS M.Curierových'!J11</f>
        <v>13611</v>
      </c>
      <c r="J9" s="297">
        <f>'DS Náměšť nad Os'!J11</f>
        <v>7630</v>
      </c>
      <c r="K9" s="297">
        <f>'DS Mitrov'!J11</f>
        <v>12600</v>
      </c>
      <c r="L9" s="297">
        <f>'DS Velké Meziříčí'!J11</f>
        <v>10000</v>
      </c>
      <c r="M9" s="298">
        <f t="shared" si="2"/>
        <v>97415.8</v>
      </c>
      <c r="N9" s="299">
        <f>'ÚSP Lidmaň'!J11</f>
        <v>6226</v>
      </c>
      <c r="O9" s="299">
        <f>'Domov ve Zboží'!J11</f>
        <v>5142</v>
      </c>
      <c r="P9" s="297">
        <f>'Domov bez zámku'!J11</f>
        <v>5452</v>
      </c>
      <c r="Q9" s="297">
        <f>'Domov ve Věži'!J11</f>
        <v>5100</v>
      </c>
      <c r="R9" s="300">
        <f>'ÚSP Křižanov'!J11</f>
        <v>14080</v>
      </c>
      <c r="S9" s="297">
        <f>'Domov Jeřabina'!J11</f>
        <v>4864</v>
      </c>
      <c r="T9" s="297">
        <f>'ÚSP Nové Syrovice'!J11</f>
        <v>4730</v>
      </c>
      <c r="U9" s="297">
        <f>'Domov Háj'!J11</f>
        <v>4982</v>
      </c>
      <c r="V9" s="297">
        <f>'Psych.Jihl.'!J11</f>
        <v>0</v>
      </c>
      <c r="W9" s="298">
        <f t="shared" si="0"/>
        <v>50576</v>
      </c>
      <c r="X9" s="308">
        <f t="shared" si="1"/>
        <v>147991.8</v>
      </c>
    </row>
    <row r="10" spans="1:24" ht="20.25" customHeight="1">
      <c r="A10" s="262" t="s">
        <v>29</v>
      </c>
      <c r="B10" s="307">
        <f>'DS Havlíčkův Brod'!J12</f>
        <v>2</v>
      </c>
      <c r="C10" s="297">
        <f>'DD Ždírec'!J12</f>
        <v>15</v>
      </c>
      <c r="D10" s="297">
        <f>'DD Onšov'!J12</f>
        <v>40</v>
      </c>
      <c r="E10" s="297">
        <f>'DD Proseč Obořiště'!J12</f>
        <v>72</v>
      </c>
      <c r="F10" s="297">
        <f>'DD Proseč u Pošné'!J12</f>
        <v>34</v>
      </c>
      <c r="G10" s="297">
        <f>'DD Humpolec'!J12</f>
        <v>5</v>
      </c>
      <c r="H10" s="297">
        <f>'DS Třebíč Koutkova'!J12</f>
        <v>12</v>
      </c>
      <c r="I10" s="297">
        <f>'DS M.Curierových'!J12</f>
        <v>9</v>
      </c>
      <c r="J10" s="297">
        <f>'DS Náměšť nad Os'!J12</f>
        <v>0</v>
      </c>
      <c r="K10" s="297">
        <f>'DS Mitrov'!J12</f>
        <v>2</v>
      </c>
      <c r="L10" s="297">
        <f>'DS Velké Meziříčí'!J12</f>
        <v>90</v>
      </c>
      <c r="M10" s="298">
        <f t="shared" si="2"/>
        <v>281</v>
      </c>
      <c r="N10" s="299">
        <f>'ÚSP Lidmaň'!J12</f>
        <v>455</v>
      </c>
      <c r="O10" s="299">
        <f>'Domov ve Zboží'!J12</f>
        <v>57</v>
      </c>
      <c r="P10" s="297">
        <f>'Domov bez zámku'!J12</f>
        <v>16</v>
      </c>
      <c r="Q10" s="297">
        <f>'Domov ve Věži'!J12</f>
        <v>0</v>
      </c>
      <c r="R10" s="300">
        <f>'ÚSP Křižanov'!J12</f>
        <v>5</v>
      </c>
      <c r="S10" s="297">
        <f>'Domov Jeřabina'!J12</f>
        <v>155</v>
      </c>
      <c r="T10" s="297">
        <f>'ÚSP Nové Syrovice'!J12</f>
        <v>0</v>
      </c>
      <c r="U10" s="297">
        <f>'Domov Háj'!J12</f>
        <v>30</v>
      </c>
      <c r="V10" s="297">
        <f>'Psych.Jihl.'!J12</f>
        <v>0</v>
      </c>
      <c r="W10" s="298">
        <f t="shared" si="0"/>
        <v>718</v>
      </c>
      <c r="X10" s="308">
        <f t="shared" si="1"/>
        <v>999</v>
      </c>
    </row>
    <row r="11" spans="1:24" ht="20.25" customHeight="1">
      <c r="A11" s="262" t="s">
        <v>30</v>
      </c>
      <c r="B11" s="307">
        <f>'DS Havlíčkův Brod'!J13</f>
        <v>2500</v>
      </c>
      <c r="C11" s="297">
        <f>'DD Ždírec'!J13</f>
        <v>1100</v>
      </c>
      <c r="D11" s="297">
        <f>'DD Onšov'!J13</f>
        <v>0</v>
      </c>
      <c r="E11" s="297">
        <f>'DD Proseč Obořiště'!J13</f>
        <v>720</v>
      </c>
      <c r="F11" s="297">
        <f>'DD Proseč u Pošné'!J13</f>
        <v>2900</v>
      </c>
      <c r="G11" s="297">
        <f>'DD Humpolec'!J13</f>
        <v>1250</v>
      </c>
      <c r="H11" s="297">
        <f>'DS Třebíč Koutkova'!J13</f>
        <v>1323</v>
      </c>
      <c r="I11" s="297">
        <f>'DS M.Curierových'!J13</f>
        <v>2280</v>
      </c>
      <c r="J11" s="297">
        <f>'DS Náměšť nad Os'!J13</f>
        <v>210</v>
      </c>
      <c r="K11" s="297">
        <f>'DS Mitrov'!J13</f>
        <v>2000</v>
      </c>
      <c r="L11" s="297">
        <f>'DS Velké Meziříčí'!J13</f>
        <v>1440</v>
      </c>
      <c r="M11" s="298">
        <f t="shared" si="2"/>
        <v>15723</v>
      </c>
      <c r="N11" s="299">
        <f>'ÚSP Lidmaň'!J13</f>
        <v>24</v>
      </c>
      <c r="O11" s="299">
        <f>'Domov ve Zboží'!J13</f>
        <v>300</v>
      </c>
      <c r="P11" s="297">
        <f>'Domov bez zámku'!J13</f>
        <v>480</v>
      </c>
      <c r="Q11" s="297">
        <f>'Domov ve Věži'!J13</f>
        <v>1160</v>
      </c>
      <c r="R11" s="300">
        <f>'ÚSP Křižanov'!J13</f>
        <v>3100</v>
      </c>
      <c r="S11" s="297">
        <f>'Domov Jeřabina'!J13</f>
        <v>1200</v>
      </c>
      <c r="T11" s="297">
        <f>'ÚSP Nové Syrovice'!J13</f>
        <v>633</v>
      </c>
      <c r="U11" s="297">
        <f>'Domov Háj'!J13</f>
        <v>721</v>
      </c>
      <c r="V11" s="297">
        <f>'Psych.Jihl.'!J13</f>
        <v>0</v>
      </c>
      <c r="W11" s="298">
        <f t="shared" si="0"/>
        <v>7618</v>
      </c>
      <c r="X11" s="308">
        <f t="shared" si="1"/>
        <v>23341</v>
      </c>
    </row>
    <row r="12" spans="1:24" ht="20.25" customHeight="1">
      <c r="A12" s="262" t="s">
        <v>31</v>
      </c>
      <c r="B12" s="307">
        <f>'DS Havlíčkův Brod'!J14</f>
        <v>300</v>
      </c>
      <c r="C12" s="297">
        <f>'DD Ždírec'!J14</f>
        <v>110</v>
      </c>
      <c r="D12" s="297">
        <f>'DD Onšov'!J14</f>
        <v>130</v>
      </c>
      <c r="E12" s="297">
        <f>'DD Proseč Obořiště'!J14</f>
        <v>195</v>
      </c>
      <c r="F12" s="297">
        <f>'DD Proseč u Pošné'!J14</f>
        <v>220</v>
      </c>
      <c r="G12" s="297">
        <f>'DD Humpolec'!J14</f>
        <v>687</v>
      </c>
      <c r="H12" s="297">
        <f>'DS Třebíč Koutkova'!J14</f>
        <v>420</v>
      </c>
      <c r="I12" s="297">
        <f>'DS M.Curierových'!J14</f>
        <v>482</v>
      </c>
      <c r="J12" s="297">
        <f>'DS Náměšť nad Os'!J14</f>
        <v>900</v>
      </c>
      <c r="K12" s="297">
        <f>'DS Mitrov'!J14</f>
        <v>375</v>
      </c>
      <c r="L12" s="297">
        <f>'DS Velké Meziříčí'!J14</f>
        <v>1570</v>
      </c>
      <c r="M12" s="298">
        <f t="shared" si="2"/>
        <v>5389</v>
      </c>
      <c r="N12" s="299">
        <f>'ÚSP Lidmaň'!J14</f>
        <v>290</v>
      </c>
      <c r="O12" s="299">
        <f>'Domov ve Zboží'!J14</f>
        <v>274</v>
      </c>
      <c r="P12" s="297">
        <f>'Domov bez zámku'!J14</f>
        <v>0</v>
      </c>
      <c r="Q12" s="297">
        <f>'Domov ve Věži'!J14</f>
        <v>360</v>
      </c>
      <c r="R12" s="300">
        <f>'ÚSP Křižanov'!J14</f>
        <v>750</v>
      </c>
      <c r="S12" s="297">
        <f>'Domov Jeřabina'!J14</f>
        <v>400</v>
      </c>
      <c r="T12" s="297">
        <f>'ÚSP Nové Syrovice'!J14</f>
        <v>300</v>
      </c>
      <c r="U12" s="297">
        <f>'Domov Háj'!J14</f>
        <v>0</v>
      </c>
      <c r="V12" s="297">
        <f>'Psych.Jihl.'!J14</f>
        <v>0</v>
      </c>
      <c r="W12" s="298">
        <f t="shared" si="0"/>
        <v>2374</v>
      </c>
      <c r="X12" s="308">
        <f t="shared" si="1"/>
        <v>7763</v>
      </c>
    </row>
    <row r="13" spans="1:24" ht="20.25" customHeight="1">
      <c r="A13" s="262" t="s">
        <v>32</v>
      </c>
      <c r="B13" s="307">
        <f>'DS Havlíčkův Brod'!J15</f>
        <v>0</v>
      </c>
      <c r="C13" s="297">
        <f>'DD Ždírec'!J15</f>
        <v>0</v>
      </c>
      <c r="D13" s="297">
        <f>'DD Onšov'!J15</f>
        <v>0</v>
      </c>
      <c r="E13" s="297">
        <f>'DD Proseč Obořiště'!J15</f>
        <v>7</v>
      </c>
      <c r="F13" s="297">
        <f>'DD Proseč u Pošné'!J15</f>
        <v>1</v>
      </c>
      <c r="G13" s="297">
        <f>'DD Humpolec'!J15</f>
        <v>48</v>
      </c>
      <c r="H13" s="297">
        <f>'DS Třebíč Koutkova'!J15</f>
        <v>100</v>
      </c>
      <c r="I13" s="297">
        <f>'DS M.Curierových'!J15</f>
        <v>0</v>
      </c>
      <c r="J13" s="297">
        <f>'DS Náměšť nad Os'!J15</f>
        <v>0</v>
      </c>
      <c r="K13" s="297">
        <f>'DS Mitrov'!J15</f>
        <v>55</v>
      </c>
      <c r="L13" s="297">
        <f>'DS Velké Meziříčí'!J15</f>
        <v>0</v>
      </c>
      <c r="M13" s="298">
        <f t="shared" si="2"/>
        <v>211</v>
      </c>
      <c r="N13" s="299">
        <f>'ÚSP Lidmaň'!J15</f>
        <v>0</v>
      </c>
      <c r="O13" s="299">
        <f>'Domov ve Zboží'!J15</f>
        <v>6</v>
      </c>
      <c r="P13" s="297">
        <f>'Domov bez zámku'!J15</f>
        <v>50</v>
      </c>
      <c r="Q13" s="297">
        <f>'Domov ve Věži'!J15</f>
        <v>0</v>
      </c>
      <c r="R13" s="300">
        <f>'ÚSP Křižanov'!J15</f>
        <v>20</v>
      </c>
      <c r="S13" s="297">
        <f>'Domov Jeřabina'!J15</f>
        <v>10</v>
      </c>
      <c r="T13" s="297">
        <f>'ÚSP Nové Syrovice'!J15</f>
        <v>7</v>
      </c>
      <c r="U13" s="297">
        <f>'Domov Háj'!J15</f>
        <v>15</v>
      </c>
      <c r="V13" s="297">
        <f>'Psych.Jihl.'!J15</f>
        <v>0</v>
      </c>
      <c r="W13" s="298">
        <f t="shared" si="0"/>
        <v>108</v>
      </c>
      <c r="X13" s="308">
        <f t="shared" si="1"/>
        <v>319</v>
      </c>
    </row>
    <row r="14" spans="1:24" ht="20.25" customHeight="1">
      <c r="A14" s="265" t="s">
        <v>33</v>
      </c>
      <c r="B14" s="307">
        <f>'DS Havlíčkův Brod'!J16</f>
        <v>0</v>
      </c>
      <c r="C14" s="297">
        <f>'DD Ždírec'!J16</f>
        <v>0</v>
      </c>
      <c r="D14" s="297">
        <f>'DD Onšov'!J16</f>
        <v>0</v>
      </c>
      <c r="E14" s="297">
        <f>'DD Proseč Obořiště'!J16</f>
        <v>0</v>
      </c>
      <c r="F14" s="297">
        <f>'DD Proseč u Pošné'!J16</f>
        <v>0</v>
      </c>
      <c r="G14" s="297">
        <f>'DD Humpolec'!J16</f>
        <v>80</v>
      </c>
      <c r="H14" s="297">
        <f>'DS Třebíč Koutkova'!J16</f>
        <v>11</v>
      </c>
      <c r="I14" s="297">
        <f>'DS M.Curierových'!J16</f>
        <v>9</v>
      </c>
      <c r="J14" s="297">
        <f>'DS Náměšť nad Os'!J16</f>
        <v>150</v>
      </c>
      <c r="K14" s="297">
        <f>'DS Mitrov'!J16</f>
        <v>5</v>
      </c>
      <c r="L14" s="297">
        <f>'DS Velké Meziříčí'!J16</f>
        <v>15</v>
      </c>
      <c r="M14" s="298">
        <f t="shared" si="2"/>
        <v>270</v>
      </c>
      <c r="N14" s="299">
        <f>'ÚSP Lidmaň'!J16</f>
        <v>0</v>
      </c>
      <c r="O14" s="299">
        <f>'Domov ve Zboží'!J16</f>
        <v>0</v>
      </c>
      <c r="P14" s="297">
        <f>'Domov bez zámku'!J16</f>
        <v>0</v>
      </c>
      <c r="Q14" s="297">
        <f>'Domov ve Věži'!J16</f>
        <v>0</v>
      </c>
      <c r="R14" s="300">
        <f>'ÚSP Křižanov'!J16</f>
        <v>0</v>
      </c>
      <c r="S14" s="297">
        <f>'Domov Jeřabina'!J16</f>
        <v>30</v>
      </c>
      <c r="T14" s="297">
        <f>'ÚSP Nové Syrovice'!J16</f>
        <v>66</v>
      </c>
      <c r="U14" s="297">
        <f>'Domov Háj'!J16</f>
        <v>2</v>
      </c>
      <c r="V14" s="297">
        <f>'Psych.Jihl.'!J16</f>
        <v>0</v>
      </c>
      <c r="W14" s="298">
        <f t="shared" si="0"/>
        <v>98</v>
      </c>
      <c r="X14" s="308">
        <f t="shared" si="1"/>
        <v>368</v>
      </c>
    </row>
    <row r="15" spans="1:24" ht="20.25" customHeight="1">
      <c r="A15" s="265" t="s">
        <v>34</v>
      </c>
      <c r="B15" s="307">
        <f>'DS Havlíčkův Brod'!J17</f>
        <v>0</v>
      </c>
      <c r="C15" s="297">
        <f>'DD Ždírec'!J17</f>
        <v>0</v>
      </c>
      <c r="D15" s="297">
        <f>'DD Onšov'!J17</f>
        <v>0</v>
      </c>
      <c r="E15" s="297">
        <f>'DD Proseč Obořiště'!J17</f>
        <v>0</v>
      </c>
      <c r="F15" s="297">
        <f>'DD Proseč u Pošné'!J17</f>
        <v>0</v>
      </c>
      <c r="G15" s="297">
        <f>'DD Humpolec'!J17</f>
        <v>0</v>
      </c>
      <c r="H15" s="297">
        <f>'DS Třebíč Koutkova'!J17</f>
        <v>0</v>
      </c>
      <c r="I15" s="297">
        <f>'DS M.Curierových'!J17</f>
        <v>0</v>
      </c>
      <c r="J15" s="297">
        <f>'DS Náměšť nad Os'!J17</f>
        <v>0</v>
      </c>
      <c r="K15" s="297">
        <f>'DS Mitrov'!J17</f>
        <v>0</v>
      </c>
      <c r="L15" s="297">
        <f>'DS Velké Meziříčí'!J17</f>
        <v>0</v>
      </c>
      <c r="M15" s="298">
        <f t="shared" si="2"/>
        <v>0</v>
      </c>
      <c r="N15" s="299">
        <f>'ÚSP Lidmaň'!J17</f>
        <v>0</v>
      </c>
      <c r="O15" s="299">
        <f>'Domov ve Zboží'!J17</f>
        <v>0</v>
      </c>
      <c r="P15" s="297">
        <f>'Domov bez zámku'!J17</f>
        <v>0</v>
      </c>
      <c r="Q15" s="297">
        <f>'Domov ve Věži'!J17</f>
        <v>0</v>
      </c>
      <c r="R15" s="300">
        <f>'ÚSP Křižanov'!J17</f>
        <v>0</v>
      </c>
      <c r="S15" s="297">
        <f>'Domov Jeřabina'!J17</f>
        <v>0</v>
      </c>
      <c r="T15" s="297">
        <f>'ÚSP Nové Syrovice'!J17</f>
        <v>0</v>
      </c>
      <c r="U15" s="297">
        <f>'Domov Háj'!J17</f>
        <v>0</v>
      </c>
      <c r="V15" s="297">
        <f>'Psych.Jihl.'!J17</f>
        <v>0</v>
      </c>
      <c r="W15" s="298">
        <f t="shared" si="0"/>
        <v>0</v>
      </c>
      <c r="X15" s="308">
        <f t="shared" si="1"/>
        <v>0</v>
      </c>
    </row>
    <row r="16" spans="1:24" ht="20.25" customHeight="1">
      <c r="A16" s="268" t="s">
        <v>35</v>
      </c>
      <c r="B16" s="307">
        <f>'DS Havlíčkův Brod'!J18</f>
        <v>0</v>
      </c>
      <c r="C16" s="297">
        <f>'DD Ždírec'!J18</f>
        <v>0</v>
      </c>
      <c r="D16" s="297">
        <f>'DD Onšov'!J18</f>
        <v>230</v>
      </c>
      <c r="E16" s="297">
        <f>'DD Proseč Obořiště'!J18</f>
        <v>250</v>
      </c>
      <c r="F16" s="297">
        <f>'DD Proseč u Pošné'!J18</f>
        <v>320</v>
      </c>
      <c r="G16" s="297">
        <f>'DD Humpolec'!J18</f>
        <v>55</v>
      </c>
      <c r="H16" s="297">
        <f>'DS Třebíč Koutkova'!J18</f>
        <v>384</v>
      </c>
      <c r="I16" s="297">
        <f>'DS M.Curierových'!J18</f>
        <v>13</v>
      </c>
      <c r="J16" s="297">
        <f>'DS Náměšť nad Os'!J18</f>
        <v>0</v>
      </c>
      <c r="K16" s="297">
        <f>'DS Mitrov'!J18</f>
        <v>1600</v>
      </c>
      <c r="L16" s="297">
        <f>'DS Velké Meziříčí'!J18</f>
        <v>428</v>
      </c>
      <c r="M16" s="298">
        <f t="shared" si="2"/>
        <v>3280</v>
      </c>
      <c r="N16" s="299">
        <f>'ÚSP Lidmaň'!J18</f>
        <v>382</v>
      </c>
      <c r="O16" s="299">
        <f>'Domov ve Zboží'!J18</f>
        <v>391</v>
      </c>
      <c r="P16" s="297">
        <f>'Domov bez zámku'!J18</f>
        <v>0</v>
      </c>
      <c r="Q16" s="297">
        <f>'Domov ve Věži'!J18</f>
        <v>0</v>
      </c>
      <c r="R16" s="300">
        <f>'ÚSP Křižanov'!J18</f>
        <v>853</v>
      </c>
      <c r="S16" s="297">
        <f>'Domov Jeřabina'!J18</f>
        <v>484</v>
      </c>
      <c r="T16" s="297">
        <f>'ÚSP Nové Syrovice'!J18</f>
        <v>240</v>
      </c>
      <c r="U16" s="297">
        <f>'Domov Háj'!J18</f>
        <v>28</v>
      </c>
      <c r="V16" s="297">
        <f>'Psych.Jihl.'!J18</f>
        <v>0</v>
      </c>
      <c r="W16" s="298">
        <f t="shared" si="0"/>
        <v>2378</v>
      </c>
      <c r="X16" s="308">
        <f t="shared" si="1"/>
        <v>5658</v>
      </c>
    </row>
    <row r="17" spans="1:24" ht="20.25" customHeight="1">
      <c r="A17" s="265" t="s">
        <v>36</v>
      </c>
      <c r="B17" s="307">
        <f>'DS Havlíčkův Brod'!J19</f>
        <v>0</v>
      </c>
      <c r="C17" s="297">
        <f>'DD Ždírec'!J19</f>
        <v>0</v>
      </c>
      <c r="D17" s="297">
        <f>'DD Onšov'!J19</f>
        <v>0</v>
      </c>
      <c r="E17" s="297">
        <f>'DD Proseč Obořiště'!J19</f>
        <v>0</v>
      </c>
      <c r="F17" s="297">
        <f>'DD Proseč u Pošné'!J19</f>
        <v>0</v>
      </c>
      <c r="G17" s="297">
        <f>'DD Humpolec'!J19</f>
        <v>0</v>
      </c>
      <c r="H17" s="297">
        <f>'DS Třebíč Koutkova'!J19</f>
        <v>0</v>
      </c>
      <c r="I17" s="297">
        <f>'DS M.Curierových'!J19</f>
        <v>0</v>
      </c>
      <c r="J17" s="297">
        <f>'DS Náměšť nad Os'!J19</f>
        <v>0</v>
      </c>
      <c r="K17" s="297">
        <f>'DS Mitrov'!J19</f>
        <v>0</v>
      </c>
      <c r="L17" s="297">
        <f>'DS Velké Meziříčí'!J19</f>
        <v>0</v>
      </c>
      <c r="M17" s="298">
        <f t="shared" si="2"/>
        <v>0</v>
      </c>
      <c r="N17" s="299">
        <f>'ÚSP Lidmaň'!J19</f>
        <v>0</v>
      </c>
      <c r="O17" s="299">
        <f>'Domov ve Zboží'!J19</f>
        <v>0</v>
      </c>
      <c r="P17" s="297">
        <f>'Domov bez zámku'!J19</f>
        <v>0</v>
      </c>
      <c r="Q17" s="297">
        <f>'Domov ve Věži'!J19</f>
        <v>0</v>
      </c>
      <c r="R17" s="300">
        <f>'ÚSP Křižanov'!J19</f>
        <v>0</v>
      </c>
      <c r="S17" s="297">
        <f>'Domov Jeřabina'!J19</f>
        <v>0</v>
      </c>
      <c r="T17" s="297">
        <f>'ÚSP Nové Syrovice'!J19</f>
        <v>0</v>
      </c>
      <c r="U17" s="297">
        <f>'Domov Háj'!J19</f>
        <v>0</v>
      </c>
      <c r="V17" s="297">
        <f>'Psych.Jihl.'!J19</f>
        <v>0</v>
      </c>
      <c r="W17" s="298">
        <f t="shared" si="0"/>
        <v>0</v>
      </c>
      <c r="X17" s="308">
        <f t="shared" si="1"/>
        <v>0</v>
      </c>
    </row>
    <row r="18" spans="1:24" ht="20.25" customHeight="1">
      <c r="A18" s="265" t="s">
        <v>37</v>
      </c>
      <c r="B18" s="307">
        <f>'DS Havlíčkův Brod'!J20</f>
        <v>0</v>
      </c>
      <c r="C18" s="297">
        <f>'DD Ždírec'!J20</f>
        <v>0</v>
      </c>
      <c r="D18" s="297">
        <f>'DD Onšov'!J20</f>
        <v>0</v>
      </c>
      <c r="E18" s="297">
        <f>'DD Proseč Obořiště'!J20</f>
        <v>0</v>
      </c>
      <c r="F18" s="297">
        <f>'DD Proseč u Pošné'!J20</f>
        <v>0</v>
      </c>
      <c r="G18" s="297">
        <f>'DD Humpolec'!J20</f>
        <v>0</v>
      </c>
      <c r="H18" s="297">
        <f>'DS Třebíč Koutkova'!J20</f>
        <v>0</v>
      </c>
      <c r="I18" s="297">
        <f>'DS M.Curierových'!J20</f>
        <v>0</v>
      </c>
      <c r="J18" s="297">
        <f>'DS Náměšť nad Os'!J20</f>
        <v>0</v>
      </c>
      <c r="K18" s="297">
        <f>'DS Mitrov'!J20</f>
        <v>0</v>
      </c>
      <c r="L18" s="297">
        <f>'DS Velké Meziříčí'!J20</f>
        <v>0</v>
      </c>
      <c r="M18" s="298">
        <f t="shared" si="2"/>
        <v>0</v>
      </c>
      <c r="N18" s="299">
        <f>'ÚSP Lidmaň'!J20</f>
        <v>0</v>
      </c>
      <c r="O18" s="299">
        <f>'Domov ve Zboží'!J20</f>
        <v>0</v>
      </c>
      <c r="P18" s="297">
        <f>'Domov bez zámku'!J20</f>
        <v>0</v>
      </c>
      <c r="Q18" s="297">
        <f>'Domov ve Věži'!J20</f>
        <v>0</v>
      </c>
      <c r="R18" s="300">
        <f>'ÚSP Křižanov'!J20</f>
        <v>0</v>
      </c>
      <c r="S18" s="297">
        <f>'Domov Jeřabina'!J20</f>
        <v>0</v>
      </c>
      <c r="T18" s="297">
        <f>'ÚSP Nové Syrovice'!J20</f>
        <v>0</v>
      </c>
      <c r="U18" s="297">
        <f>'Domov Háj'!J20</f>
        <v>0</v>
      </c>
      <c r="V18" s="297">
        <f>'Psych.Jihl.'!J20</f>
        <v>0</v>
      </c>
      <c r="W18" s="298">
        <f t="shared" si="0"/>
        <v>0</v>
      </c>
      <c r="X18" s="308">
        <f t="shared" si="1"/>
        <v>0</v>
      </c>
    </row>
    <row r="19" spans="1:24" ht="20.25" customHeight="1">
      <c r="A19" s="267" t="s">
        <v>38</v>
      </c>
      <c r="B19" s="307">
        <f>'DS Havlíčkův Brod'!J21</f>
        <v>0</v>
      </c>
      <c r="C19" s="297">
        <f>'DD Ždírec'!J21</f>
        <v>0</v>
      </c>
      <c r="D19" s="297">
        <f>'DD Onšov'!J21</f>
        <v>0</v>
      </c>
      <c r="E19" s="297">
        <f>'DD Proseč Obořiště'!J21</f>
        <v>0</v>
      </c>
      <c r="F19" s="297">
        <f>'DD Proseč u Pošné'!J21</f>
        <v>280</v>
      </c>
      <c r="G19" s="297">
        <f>'DD Humpolec'!J21</f>
        <v>15</v>
      </c>
      <c r="H19" s="297">
        <f>'DS Třebíč Koutkova'!J21</f>
        <v>384</v>
      </c>
      <c r="I19" s="297">
        <f>'DS M.Curierových'!J21</f>
        <v>13</v>
      </c>
      <c r="J19" s="297">
        <f>'DS Náměšť nad Os'!J21</f>
        <v>222</v>
      </c>
      <c r="K19" s="297">
        <f>'DS Mitrov'!J21</f>
        <v>1628</v>
      </c>
      <c r="L19" s="297">
        <f>'DS Velké Meziříčí'!J21</f>
        <v>410</v>
      </c>
      <c r="M19" s="298">
        <f t="shared" si="2"/>
        <v>2952</v>
      </c>
      <c r="N19" s="299">
        <f>'ÚSP Lidmaň'!J21</f>
        <v>382</v>
      </c>
      <c r="O19" s="299">
        <f>'Domov ve Zboží'!J21</f>
        <v>391</v>
      </c>
      <c r="P19" s="297">
        <f>'Domov bez zámku'!J21</f>
        <v>0</v>
      </c>
      <c r="Q19" s="297">
        <f>'Domov ve Věži'!J21</f>
        <v>0</v>
      </c>
      <c r="R19" s="300">
        <f>'ÚSP Křižanov'!J21</f>
        <v>803</v>
      </c>
      <c r="S19" s="297">
        <f>'Domov Jeřabina'!J21</f>
        <v>484</v>
      </c>
      <c r="T19" s="297">
        <f>'ÚSP Nové Syrovice'!J21</f>
        <v>239</v>
      </c>
      <c r="U19" s="297">
        <f>'Domov Háj'!J21</f>
        <v>20</v>
      </c>
      <c r="V19" s="297">
        <f>'Psych.Jihl.'!J21</f>
        <v>0</v>
      </c>
      <c r="W19" s="298">
        <f t="shared" si="0"/>
        <v>2319</v>
      </c>
      <c r="X19" s="308">
        <f t="shared" si="1"/>
        <v>5271</v>
      </c>
    </row>
    <row r="20" spans="1:24" ht="20.25" customHeight="1">
      <c r="A20" s="267" t="s">
        <v>160</v>
      </c>
      <c r="B20" s="307">
        <f>'DS Havlíčkův Brod'!J22</f>
        <v>0</v>
      </c>
      <c r="C20" s="297">
        <f>'DD Ždírec'!J22</f>
        <v>0</v>
      </c>
      <c r="D20" s="297">
        <f>'DD Onšov'!J22</f>
        <v>0</v>
      </c>
      <c r="E20" s="297">
        <f>'DD Proseč Obořiště'!J22</f>
        <v>250</v>
      </c>
      <c r="F20" s="297">
        <f>'DD Proseč u Pošné'!J22</f>
        <v>0</v>
      </c>
      <c r="G20" s="297">
        <f>'DD Humpolec'!J22</f>
        <v>15</v>
      </c>
      <c r="H20" s="297">
        <f>'DS Třebíč Koutkova'!J22</f>
        <v>262</v>
      </c>
      <c r="I20" s="297">
        <f>'DS M.Curierových'!J22</f>
        <v>13</v>
      </c>
      <c r="J20" s="297">
        <f>'DS Náměšť nad Os'!J22</f>
        <v>72</v>
      </c>
      <c r="K20" s="297">
        <f>'DS Mitrov'!J22</f>
        <v>1228</v>
      </c>
      <c r="L20" s="297">
        <f>'DS Velké Meziříčí'!J22</f>
        <v>110</v>
      </c>
      <c r="M20" s="298">
        <f t="shared" si="2"/>
        <v>1950</v>
      </c>
      <c r="N20" s="299">
        <f>'ÚSP Lidmaň'!J22</f>
        <v>136</v>
      </c>
      <c r="O20" s="299">
        <f>'Domov ve Zboží'!J22</f>
        <v>31</v>
      </c>
      <c r="P20" s="297">
        <f>'Domov bez zámku'!J22</f>
        <v>0</v>
      </c>
      <c r="Q20" s="297">
        <f>'Domov ve Věži'!J22</f>
        <v>0</v>
      </c>
      <c r="R20" s="300">
        <f>'ÚSP Křižanov'!J22</f>
        <v>312</v>
      </c>
      <c r="S20" s="297">
        <f>'Domov Jeřabina'!J22</f>
        <v>114</v>
      </c>
      <c r="T20" s="297">
        <f>'ÚSP Nové Syrovice'!J22</f>
        <v>239</v>
      </c>
      <c r="U20" s="297">
        <f>'Domov Háj'!J22</f>
        <v>20</v>
      </c>
      <c r="V20" s="297">
        <f>'Psych.Jihl.'!J22</f>
        <v>0</v>
      </c>
      <c r="W20" s="298">
        <f t="shared" si="0"/>
        <v>852</v>
      </c>
      <c r="X20" s="308">
        <f t="shared" si="1"/>
        <v>2802</v>
      </c>
    </row>
    <row r="21" spans="1:24" ht="20.25" customHeight="1">
      <c r="A21" s="267" t="s">
        <v>161</v>
      </c>
      <c r="B21" s="307">
        <f>'DS Havlíčkův Brod'!J23</f>
        <v>0</v>
      </c>
      <c r="C21" s="297">
        <f>'DD Ždírec'!J23</f>
        <v>0</v>
      </c>
      <c r="D21" s="297">
        <f>'DD Onšov'!J23</f>
        <v>230</v>
      </c>
      <c r="E21" s="297">
        <f>'DD Proseč Obořiště'!J23</f>
        <v>0</v>
      </c>
      <c r="F21" s="297">
        <f>'DD Proseč u Pošné'!J23</f>
        <v>280</v>
      </c>
      <c r="G21" s="297">
        <f>'DD Humpolec'!J23</f>
        <v>0</v>
      </c>
      <c r="H21" s="297">
        <f>'DS Třebíč Koutkova'!J23</f>
        <v>0</v>
      </c>
      <c r="I21" s="297">
        <f>'DS M.Curierových'!J23</f>
        <v>0</v>
      </c>
      <c r="J21" s="297">
        <f>'DS Náměšť nad Os'!J23</f>
        <v>0</v>
      </c>
      <c r="K21" s="297">
        <f>'DS Mitrov'!J23</f>
        <v>300</v>
      </c>
      <c r="L21" s="297">
        <f>'DS Velké Meziříčí'!J23</f>
        <v>300</v>
      </c>
      <c r="M21" s="298">
        <f t="shared" si="2"/>
        <v>1110</v>
      </c>
      <c r="N21" s="299">
        <f>'ÚSP Lidmaň'!J23</f>
        <v>199</v>
      </c>
      <c r="O21" s="299">
        <f>'Domov ve Zboží'!J23</f>
        <v>360</v>
      </c>
      <c r="P21" s="297">
        <f>'Domov bez zámku'!J23</f>
        <v>0</v>
      </c>
      <c r="Q21" s="297">
        <f>'Domov ve Věži'!J23</f>
        <v>0</v>
      </c>
      <c r="R21" s="300">
        <f>'ÚSP Křižanov'!J23</f>
        <v>430</v>
      </c>
      <c r="S21" s="297">
        <f>'Domov Jeřabina'!J23</f>
        <v>370</v>
      </c>
      <c r="T21" s="297">
        <f>'ÚSP Nové Syrovice'!J23</f>
        <v>0</v>
      </c>
      <c r="U21" s="297">
        <f>'Domov Háj'!J23</f>
        <v>0</v>
      </c>
      <c r="V21" s="297">
        <f>'Psych.Jihl.'!J23</f>
        <v>0</v>
      </c>
      <c r="W21" s="298">
        <f t="shared" si="0"/>
        <v>1359</v>
      </c>
      <c r="X21" s="308">
        <f t="shared" si="1"/>
        <v>2469</v>
      </c>
    </row>
    <row r="22" spans="1:24" ht="20.25" customHeight="1">
      <c r="A22" s="267" t="s">
        <v>162</v>
      </c>
      <c r="B22" s="307">
        <f>'DS Havlíčkův Brod'!J24</f>
        <v>0</v>
      </c>
      <c r="C22" s="297">
        <f>'DD Ždírec'!J24</f>
        <v>0</v>
      </c>
      <c r="D22" s="297">
        <f>'DD Onšov'!J24</f>
        <v>0</v>
      </c>
      <c r="E22" s="297">
        <f>'DD Proseč Obořiště'!J24</f>
        <v>0</v>
      </c>
      <c r="F22" s="297">
        <f>'DD Proseč u Pošné'!J24</f>
        <v>0</v>
      </c>
      <c r="G22" s="297">
        <f>'DD Humpolec'!J24</f>
        <v>0</v>
      </c>
      <c r="H22" s="297">
        <f>'DS Třebíč Koutkova'!J24</f>
        <v>122</v>
      </c>
      <c r="I22" s="297">
        <f>'DS M.Curierových'!J24</f>
        <v>0</v>
      </c>
      <c r="J22" s="297">
        <f>'DS Náměšť nad Os'!J24</f>
        <v>0</v>
      </c>
      <c r="K22" s="297">
        <f>'DS Mitrov'!J24</f>
        <v>100</v>
      </c>
      <c r="L22" s="297">
        <f>'DS Velké Meziříčí'!J24</f>
        <v>0</v>
      </c>
      <c r="M22" s="298">
        <f t="shared" si="2"/>
        <v>222</v>
      </c>
      <c r="N22" s="299">
        <f>'ÚSP Lidmaň'!J24</f>
        <v>47</v>
      </c>
      <c r="O22" s="299">
        <f>'Domov ve Zboží'!J24</f>
        <v>0</v>
      </c>
      <c r="P22" s="297">
        <f>'Domov bez zámku'!J24</f>
        <v>0</v>
      </c>
      <c r="Q22" s="297">
        <f>'Domov ve Věži'!J24</f>
        <v>0</v>
      </c>
      <c r="R22" s="300">
        <f>'ÚSP Křižanov'!J24</f>
        <v>61</v>
      </c>
      <c r="S22" s="297">
        <f>'Domov Jeřabina'!J24</f>
        <v>0</v>
      </c>
      <c r="T22" s="297">
        <f>'ÚSP Nové Syrovice'!J24</f>
        <v>1</v>
      </c>
      <c r="U22" s="297">
        <f>'Domov Háj'!J24</f>
        <v>0</v>
      </c>
      <c r="V22" s="297">
        <f>'Psych.Jihl.'!J24</f>
        <v>0</v>
      </c>
      <c r="W22" s="298">
        <f t="shared" si="0"/>
        <v>109</v>
      </c>
      <c r="X22" s="308">
        <f t="shared" si="1"/>
        <v>331</v>
      </c>
    </row>
    <row r="23" spans="1:24" ht="20.25" customHeight="1">
      <c r="A23" s="267" t="s">
        <v>163</v>
      </c>
      <c r="B23" s="307">
        <f>'DS Havlíčkův Brod'!J25</f>
        <v>0</v>
      </c>
      <c r="C23" s="297">
        <f>'DD Ždírec'!J25</f>
        <v>0</v>
      </c>
      <c r="D23" s="297">
        <f>'DD Onšov'!J25</f>
        <v>0</v>
      </c>
      <c r="E23" s="297">
        <f>'DD Proseč Obořiště'!J25</f>
        <v>0</v>
      </c>
      <c r="F23" s="297">
        <f>'DD Proseč u Pošné'!J25</f>
        <v>0</v>
      </c>
      <c r="G23" s="297">
        <f>'DD Humpolec'!J25</f>
        <v>0</v>
      </c>
      <c r="H23" s="297">
        <f>'DS Třebíč Koutkova'!J25</f>
        <v>0</v>
      </c>
      <c r="I23" s="297">
        <f>'DS M.Curierových'!J25</f>
        <v>0</v>
      </c>
      <c r="J23" s="297">
        <f>'DS Náměšť nad Os'!J25</f>
        <v>0</v>
      </c>
      <c r="K23" s="297">
        <f>'DS Mitrov'!J25</f>
        <v>0</v>
      </c>
      <c r="L23" s="297">
        <f>'DS Velké Meziříčí'!J25</f>
        <v>0</v>
      </c>
      <c r="M23" s="298">
        <f t="shared" si="2"/>
        <v>0</v>
      </c>
      <c r="N23" s="299">
        <f>'ÚSP Lidmaň'!J25</f>
        <v>0</v>
      </c>
      <c r="O23" s="299">
        <f>'Domov ve Zboží'!J25</f>
        <v>0</v>
      </c>
      <c r="P23" s="297">
        <f>'Domov bez zámku'!J25</f>
        <v>0</v>
      </c>
      <c r="Q23" s="297">
        <f>'Domov ve Věži'!J25</f>
        <v>0</v>
      </c>
      <c r="R23" s="300">
        <f>'ÚSP Křižanov'!J25</f>
        <v>0</v>
      </c>
      <c r="S23" s="297">
        <f>'Domov Jeřabina'!J25</f>
        <v>0</v>
      </c>
      <c r="T23" s="297">
        <f>'ÚSP Nové Syrovice'!J25</f>
        <v>0</v>
      </c>
      <c r="U23" s="297">
        <f>'Domov Háj'!J25</f>
        <v>0</v>
      </c>
      <c r="V23" s="297">
        <f>'Psych.Jihl.'!J25</f>
        <v>0</v>
      </c>
      <c r="W23" s="298">
        <f t="shared" si="0"/>
        <v>0</v>
      </c>
      <c r="X23" s="308">
        <f t="shared" si="1"/>
        <v>0</v>
      </c>
    </row>
    <row r="24" spans="1:24" ht="20.25" customHeight="1">
      <c r="A24" s="268" t="s">
        <v>39</v>
      </c>
      <c r="B24" s="307">
        <f>'DS Havlíčkův Brod'!J26</f>
        <v>7</v>
      </c>
      <c r="C24" s="297">
        <f>'DD Ždírec'!J26</f>
        <v>0</v>
      </c>
      <c r="D24" s="297">
        <f>'DD Onšov'!J26</f>
        <v>0</v>
      </c>
      <c r="E24" s="297">
        <f>'DD Proseč Obořiště'!J26</f>
        <v>10</v>
      </c>
      <c r="F24" s="297">
        <f>'DD Proseč u Pošné'!J26</f>
        <v>12</v>
      </c>
      <c r="G24" s="297">
        <f>'DD Humpolec'!J26</f>
        <v>35</v>
      </c>
      <c r="H24" s="297">
        <f>'DS Třebíč Koutkova'!J26</f>
        <v>2</v>
      </c>
      <c r="I24" s="297">
        <f>'DS M.Curierových'!J26</f>
        <v>12</v>
      </c>
      <c r="J24" s="297">
        <f>'DS Náměšť nad Os'!J26</f>
        <v>1</v>
      </c>
      <c r="K24" s="297">
        <f>'DS Mitrov'!J26</f>
        <v>20</v>
      </c>
      <c r="L24" s="297">
        <f>'DS Velké Meziříčí'!J26</f>
        <v>10</v>
      </c>
      <c r="M24" s="298">
        <f t="shared" si="2"/>
        <v>109</v>
      </c>
      <c r="N24" s="299">
        <f>'ÚSP Lidmaň'!J26</f>
        <v>6</v>
      </c>
      <c r="O24" s="299">
        <f>'Domov ve Zboží'!J26</f>
        <v>1</v>
      </c>
      <c r="P24" s="297">
        <f>'Domov bez zámku'!J26</f>
        <v>5</v>
      </c>
      <c r="Q24" s="297">
        <f>'Domov ve Věži'!J26</f>
        <v>0</v>
      </c>
      <c r="R24" s="300">
        <f>'ÚSP Křižanov'!J26</f>
        <v>10</v>
      </c>
      <c r="S24" s="297">
        <f>'Domov Jeřabina'!J26</f>
        <v>0</v>
      </c>
      <c r="T24" s="297">
        <f>'ÚSP Nové Syrovice'!J26</f>
        <v>1</v>
      </c>
      <c r="U24" s="297">
        <f>'Domov Háj'!J26</f>
        <v>10</v>
      </c>
      <c r="V24" s="297">
        <f>'Psych.Jihl.'!J26</f>
        <v>0</v>
      </c>
      <c r="W24" s="298">
        <f t="shared" si="0"/>
        <v>33</v>
      </c>
      <c r="X24" s="308">
        <f t="shared" si="1"/>
        <v>142</v>
      </c>
    </row>
    <row r="25" spans="1:24" ht="20.25" customHeight="1">
      <c r="A25" s="265" t="s">
        <v>40</v>
      </c>
      <c r="B25" s="307">
        <f>'DS Havlíčkův Brod'!J27</f>
        <v>7</v>
      </c>
      <c r="C25" s="297">
        <f>'DD Ždírec'!J27</f>
        <v>0</v>
      </c>
      <c r="D25" s="297">
        <f>'DD Onšov'!J27</f>
        <v>0</v>
      </c>
      <c r="E25" s="297">
        <f>'DD Proseč Obořiště'!J27</f>
        <v>10</v>
      </c>
      <c r="F25" s="297">
        <f>'DD Proseč u Pošné'!J27</f>
        <v>12</v>
      </c>
      <c r="G25" s="297">
        <f>'DD Humpolec'!J27</f>
        <v>30</v>
      </c>
      <c r="H25" s="297">
        <f>'DS Třebíč Koutkova'!J27</f>
        <v>2</v>
      </c>
      <c r="I25" s="297">
        <f>'DS M.Curierových'!J27</f>
        <v>12</v>
      </c>
      <c r="J25" s="297">
        <f>'DS Náměšť nad Os'!J27</f>
        <v>1</v>
      </c>
      <c r="K25" s="297">
        <f>'DS Mitrov'!J27</f>
        <v>20</v>
      </c>
      <c r="L25" s="297">
        <f>'DS Velké Meziříčí'!J27</f>
        <v>10</v>
      </c>
      <c r="M25" s="298">
        <f t="shared" si="2"/>
        <v>104</v>
      </c>
      <c r="N25" s="299">
        <f>'ÚSP Lidmaň'!J27</f>
        <v>6</v>
      </c>
      <c r="O25" s="299">
        <f>'Domov ve Zboží'!J27</f>
        <v>1</v>
      </c>
      <c r="P25" s="297">
        <f>'Domov bez zámku'!J27</f>
        <v>5</v>
      </c>
      <c r="Q25" s="297">
        <f>'Domov ve Věži'!J27</f>
        <v>0</v>
      </c>
      <c r="R25" s="300">
        <f>'ÚSP Křižanov'!J27</f>
        <v>10</v>
      </c>
      <c r="S25" s="297">
        <f>'Domov Jeřabina'!J27</f>
        <v>0</v>
      </c>
      <c r="T25" s="297">
        <f>'ÚSP Nové Syrovice'!J27</f>
        <v>1</v>
      </c>
      <c r="U25" s="297">
        <f>'Domov Háj'!J27</f>
        <v>10</v>
      </c>
      <c r="V25" s="297">
        <f>'Psych.Jihl.'!J27</f>
        <v>0</v>
      </c>
      <c r="W25" s="298">
        <f t="shared" si="0"/>
        <v>33</v>
      </c>
      <c r="X25" s="308">
        <f t="shared" si="1"/>
        <v>137</v>
      </c>
    </row>
    <row r="26" spans="1:24" ht="20.25" customHeight="1">
      <c r="A26" s="265" t="s">
        <v>41</v>
      </c>
      <c r="B26" s="307">
        <f>'DS Havlíčkův Brod'!J28</f>
        <v>0</v>
      </c>
      <c r="C26" s="297">
        <f>'DD Ždírec'!J28</f>
        <v>0</v>
      </c>
      <c r="D26" s="297">
        <f>'DD Onšov'!J28</f>
        <v>0</v>
      </c>
      <c r="E26" s="297">
        <f>'DD Proseč Obořiště'!J28</f>
        <v>0</v>
      </c>
      <c r="F26" s="297">
        <f>'DD Proseč u Pošné'!J28</f>
        <v>0</v>
      </c>
      <c r="G26" s="297">
        <f>'DD Humpolec'!J28</f>
        <v>0</v>
      </c>
      <c r="H26" s="297">
        <f>'DS Třebíč Koutkova'!J28</f>
        <v>0</v>
      </c>
      <c r="I26" s="297">
        <f>'DS M.Curierových'!J28</f>
        <v>0</v>
      </c>
      <c r="J26" s="297">
        <f>'DS Náměšť nad Os'!J28</f>
        <v>0</v>
      </c>
      <c r="K26" s="297">
        <f>'DS Mitrov'!J28</f>
        <v>0</v>
      </c>
      <c r="L26" s="297">
        <f>'DS Velké Meziříčí'!J28</f>
        <v>0</v>
      </c>
      <c r="M26" s="298">
        <f t="shared" si="2"/>
        <v>0</v>
      </c>
      <c r="N26" s="299">
        <f>'ÚSP Lidmaň'!J28</f>
        <v>0</v>
      </c>
      <c r="O26" s="299">
        <f>'Domov ve Zboží'!J28</f>
        <v>0</v>
      </c>
      <c r="P26" s="297">
        <f>'Domov bez zámku'!J28</f>
        <v>0</v>
      </c>
      <c r="Q26" s="297">
        <f>'Domov ve Věži'!J28</f>
        <v>0</v>
      </c>
      <c r="R26" s="300">
        <f>'ÚSP Křižanov'!J28</f>
        <v>0</v>
      </c>
      <c r="S26" s="297">
        <f>'Domov Jeřabina'!J28</f>
        <v>0</v>
      </c>
      <c r="T26" s="297">
        <f>'ÚSP Nové Syrovice'!J28</f>
        <v>0</v>
      </c>
      <c r="U26" s="297">
        <f>'Domov Háj'!J28</f>
        <v>0</v>
      </c>
      <c r="V26" s="297">
        <f>'Psych.Jihl.'!J28</f>
        <v>0</v>
      </c>
      <c r="W26" s="298">
        <f t="shared" si="0"/>
        <v>0</v>
      </c>
      <c r="X26" s="308">
        <f t="shared" si="1"/>
        <v>0</v>
      </c>
    </row>
    <row r="27" spans="1:24" ht="20.25" customHeight="1">
      <c r="A27" s="268" t="s">
        <v>42</v>
      </c>
      <c r="B27" s="307">
        <f>'DS Havlíčkův Brod'!J29</f>
        <v>4784</v>
      </c>
      <c r="C27" s="297">
        <f>'DD Ždírec'!J29</f>
        <v>10223</v>
      </c>
      <c r="D27" s="297">
        <f>'DD Onšov'!J29</f>
        <v>3466</v>
      </c>
      <c r="E27" s="297">
        <f>'DD Proseč Obořiště'!J29</f>
        <v>4625</v>
      </c>
      <c r="F27" s="297">
        <f>'DD Proseč u Pošné'!J29</f>
        <v>5537</v>
      </c>
      <c r="G27" s="297">
        <f>'DD Humpolec'!J29</f>
        <v>11978</v>
      </c>
      <c r="H27" s="297">
        <f>'DS Třebíč Koutkova'!J29</f>
        <v>12086</v>
      </c>
      <c r="I27" s="297">
        <f>'DS M.Curierových'!J29</f>
        <v>13398</v>
      </c>
      <c r="J27" s="297">
        <f>'DS Náměšť nad Os'!J29</f>
        <v>6556</v>
      </c>
      <c r="K27" s="297">
        <f>'DS Mitrov'!J29</f>
        <v>9272</v>
      </c>
      <c r="L27" s="297">
        <f>'DS Velké Meziříčí'!J29</f>
        <v>8919</v>
      </c>
      <c r="M27" s="298">
        <f t="shared" si="2"/>
        <v>90844</v>
      </c>
      <c r="N27" s="299">
        <f>'ÚSP Lidmaň'!J29</f>
        <v>8833</v>
      </c>
      <c r="O27" s="299">
        <f>'Domov ve Zboží'!J29</f>
        <v>7924</v>
      </c>
      <c r="P27" s="297">
        <f>'Domov bez zámku'!J29</f>
        <v>19264</v>
      </c>
      <c r="Q27" s="297">
        <f>'Domov ve Věži'!J29</f>
        <v>6973</v>
      </c>
      <c r="R27" s="300">
        <f>'ÚSP Křižanov'!J29</f>
        <v>15489</v>
      </c>
      <c r="S27" s="297">
        <f>'Domov Jeřabina'!J29</f>
        <v>13544</v>
      </c>
      <c r="T27" s="297">
        <f>'ÚSP Nové Syrovice'!J29</f>
        <v>8376</v>
      </c>
      <c r="U27" s="297">
        <f>'Domov Háj'!J29</f>
        <v>11790</v>
      </c>
      <c r="V27" s="297">
        <f>'Psych.Jihl.'!J29</f>
        <v>8571</v>
      </c>
      <c r="W27" s="298">
        <f t="shared" si="0"/>
        <v>92193</v>
      </c>
      <c r="X27" s="308">
        <f t="shared" si="1"/>
        <v>191608</v>
      </c>
    </row>
    <row r="28" spans="1:24" ht="20.25" customHeight="1">
      <c r="A28" s="262" t="s">
        <v>164</v>
      </c>
      <c r="B28" s="307">
        <f>'DS Havlíčkův Brod'!J30</f>
        <v>1007</v>
      </c>
      <c r="C28" s="297">
        <f>'DD Ždírec'!J30</f>
        <v>1978</v>
      </c>
      <c r="D28" s="297">
        <f>'DD Onšov'!J30</f>
        <v>711</v>
      </c>
      <c r="E28" s="297">
        <f>'DD Proseč Obořiště'!J30</f>
        <v>1036</v>
      </c>
      <c r="F28" s="297">
        <f>'DD Proseč u Pošné'!J30</f>
        <v>1036</v>
      </c>
      <c r="G28" s="297">
        <f>'DD Humpolec'!J30</f>
        <v>3006</v>
      </c>
      <c r="H28" s="297">
        <f>'DS Třebíč Koutkova'!J30</f>
        <v>2547</v>
      </c>
      <c r="I28" s="297">
        <f>'DS M.Curierových'!J30</f>
        <v>2887</v>
      </c>
      <c r="J28" s="297">
        <f>'DS Náměšť nad Os'!J30</f>
        <v>1362</v>
      </c>
      <c r="K28" s="297">
        <f>'DS Mitrov'!J30</f>
        <v>1925</v>
      </c>
      <c r="L28" s="297">
        <f>'DS Velké Meziříčí'!J30</f>
        <v>1397</v>
      </c>
      <c r="M28" s="298">
        <f t="shared" si="2"/>
        <v>18892</v>
      </c>
      <c r="N28" s="299">
        <f>'ÚSP Lidmaň'!J30</f>
        <v>1750</v>
      </c>
      <c r="O28" s="299">
        <f>'Domov ve Zboží'!J30</f>
        <v>1050</v>
      </c>
      <c r="P28" s="297">
        <f>'Domov bez zámku'!J30</f>
        <v>1226</v>
      </c>
      <c r="Q28" s="297">
        <f>'Domov ve Věži'!J30</f>
        <v>1401</v>
      </c>
      <c r="R28" s="300">
        <f>'ÚSP Křižanov'!J30</f>
        <v>2854</v>
      </c>
      <c r="S28" s="297">
        <f>'Domov Jeřabina'!J30</f>
        <v>1313</v>
      </c>
      <c r="T28" s="297">
        <f>'ÚSP Nové Syrovice'!J30</f>
        <v>1576</v>
      </c>
      <c r="U28" s="297">
        <f>'Domov Háj'!J30</f>
        <v>1401</v>
      </c>
      <c r="V28" s="297">
        <f>'Psych.Jihl.'!J30</f>
        <v>1978</v>
      </c>
      <c r="W28" s="298">
        <f t="shared" si="0"/>
        <v>12571</v>
      </c>
      <c r="X28" s="308">
        <f t="shared" si="1"/>
        <v>33441</v>
      </c>
    </row>
    <row r="29" spans="1:24" ht="20.25" customHeight="1">
      <c r="A29" s="262" t="s">
        <v>43</v>
      </c>
      <c r="B29" s="307">
        <f>'DS Havlíčkův Brod'!J31</f>
        <v>3777</v>
      </c>
      <c r="C29" s="297">
        <f>'DD Ždírec'!J31</f>
        <v>7933</v>
      </c>
      <c r="D29" s="297">
        <f>'DD Onšov'!J31</f>
        <v>2455</v>
      </c>
      <c r="E29" s="297">
        <f>'DD Proseč Obořiště'!J31</f>
        <v>3589</v>
      </c>
      <c r="F29" s="297">
        <f>'DD Proseč u Pošné'!J31</f>
        <v>4437</v>
      </c>
      <c r="G29" s="297">
        <f>'DD Humpolec'!J31</f>
        <v>8972</v>
      </c>
      <c r="H29" s="297">
        <f>'DS Třebíč Koutkova'!J31</f>
        <v>9539</v>
      </c>
      <c r="I29" s="297">
        <f>'DS M.Curierových'!J31</f>
        <v>10511</v>
      </c>
      <c r="J29" s="297">
        <f>'DS Náměšť nad Os'!J31</f>
        <v>5194</v>
      </c>
      <c r="K29" s="297">
        <f>'DS Mitrov'!J31</f>
        <v>7319</v>
      </c>
      <c r="L29" s="297">
        <f>'DS Velké Meziříčí'!J31</f>
        <v>6706</v>
      </c>
      <c r="M29" s="298">
        <f t="shared" si="2"/>
        <v>70432</v>
      </c>
      <c r="N29" s="299">
        <f>'ÚSP Lidmaň'!J31</f>
        <v>7083</v>
      </c>
      <c r="O29" s="299">
        <f>'Domov ve Zboží'!J31</f>
        <v>5194</v>
      </c>
      <c r="P29" s="297">
        <f>'Domov bez zámku'!J31</f>
        <v>18038</v>
      </c>
      <c r="Q29" s="297">
        <f>'Domov ve Věži'!J31</f>
        <v>5572</v>
      </c>
      <c r="R29" s="300">
        <f>'ÚSP Křižanov'!J31</f>
        <v>12523</v>
      </c>
      <c r="S29" s="297">
        <f>'Domov Jeřabina'!J31</f>
        <v>12231</v>
      </c>
      <c r="T29" s="297">
        <f>'ÚSP Nové Syrovice'!J31</f>
        <v>6800</v>
      </c>
      <c r="U29" s="297">
        <f>'Domov Háj'!J31</f>
        <v>10389</v>
      </c>
      <c r="V29" s="297">
        <f>'Psych.Jihl.'!J31</f>
        <v>6043</v>
      </c>
      <c r="W29" s="298">
        <f t="shared" si="0"/>
        <v>77830</v>
      </c>
      <c r="X29" s="308">
        <f t="shared" si="1"/>
        <v>154305</v>
      </c>
    </row>
    <row r="30" spans="1:24" ht="20.25" customHeight="1">
      <c r="A30" s="265" t="s">
        <v>44</v>
      </c>
      <c r="B30" s="307">
        <f>'DS Havlíčkův Brod'!J32</f>
        <v>0</v>
      </c>
      <c r="C30" s="297">
        <f>'DD Ždírec'!J32</f>
        <v>96</v>
      </c>
      <c r="D30" s="297">
        <f>'DD Onšov'!J32</f>
        <v>0</v>
      </c>
      <c r="E30" s="297">
        <f>'DD Proseč Obořiště'!J32</f>
        <v>0</v>
      </c>
      <c r="F30" s="297">
        <f>'DD Proseč u Pošné'!J32</f>
        <v>64</v>
      </c>
      <c r="G30" s="297">
        <f>'DD Humpolec'!J32</f>
        <v>0</v>
      </c>
      <c r="H30" s="297">
        <f>'DS Třebíč Koutkova'!J32</f>
        <v>0</v>
      </c>
      <c r="I30" s="297">
        <f>'DS M.Curierových'!J32</f>
        <v>0</v>
      </c>
      <c r="J30" s="297">
        <f>'DS Náměšť nad Os'!J32</f>
        <v>0</v>
      </c>
      <c r="K30" s="297">
        <f>'DS Mitrov'!J32</f>
        <v>28</v>
      </c>
      <c r="L30" s="297">
        <f>'DS Velké Meziříčí'!J32</f>
        <v>0</v>
      </c>
      <c r="M30" s="298">
        <f t="shared" si="2"/>
        <v>188</v>
      </c>
      <c r="N30" s="299">
        <f>'ÚSP Lidmaň'!J32</f>
        <v>0</v>
      </c>
      <c r="O30" s="299">
        <f>'Domov ve Zboží'!J32</f>
        <v>0</v>
      </c>
      <c r="P30" s="297">
        <f>'Domov bez zámku'!J32</f>
        <v>0</v>
      </c>
      <c r="Q30" s="297">
        <f>'Domov ve Věži'!J32</f>
        <v>0</v>
      </c>
      <c r="R30" s="300">
        <f>'ÚSP Křižanov'!J32</f>
        <v>112</v>
      </c>
      <c r="S30" s="297">
        <f>'Domov Jeřabina'!J32</f>
        <v>0</v>
      </c>
      <c r="T30" s="297">
        <f>'ÚSP Nové Syrovice'!J32</f>
        <v>0</v>
      </c>
      <c r="U30" s="297">
        <f>'Domov Háj'!J32</f>
        <v>0</v>
      </c>
      <c r="V30" s="297">
        <f>'Psych.Jihl.'!J32</f>
        <v>0</v>
      </c>
      <c r="W30" s="298">
        <f t="shared" si="0"/>
        <v>112</v>
      </c>
      <c r="X30" s="308">
        <f t="shared" si="1"/>
        <v>300</v>
      </c>
    </row>
    <row r="31" spans="1:24" ht="20.25" customHeight="1">
      <c r="A31" s="262" t="s">
        <v>45</v>
      </c>
      <c r="B31" s="307">
        <f>'DS Havlíčkův Brod'!J33</f>
        <v>0</v>
      </c>
      <c r="C31" s="297">
        <f>'DD Ždírec'!J33</f>
        <v>60</v>
      </c>
      <c r="D31" s="297">
        <f>'DD Onšov'!J33</f>
        <v>0</v>
      </c>
      <c r="E31" s="297">
        <f>'DD Proseč Obořiště'!J33</f>
        <v>0</v>
      </c>
      <c r="F31" s="297">
        <f>'DD Proseč u Pošné'!J33</f>
        <v>0</v>
      </c>
      <c r="G31" s="297">
        <f>'DD Humpolec'!J33</f>
        <v>0</v>
      </c>
      <c r="H31" s="297">
        <f>'DS Třebíč Koutkova'!J33</f>
        <v>0</v>
      </c>
      <c r="I31" s="297">
        <f>'DS M.Curierových'!J33</f>
        <v>0</v>
      </c>
      <c r="J31" s="297">
        <f>'DS Náměšť nad Os'!J33</f>
        <v>0</v>
      </c>
      <c r="K31" s="297">
        <f>'DS Mitrov'!J33</f>
        <v>0</v>
      </c>
      <c r="L31" s="297">
        <f>'DS Velké Meziříčí'!J33</f>
        <v>816</v>
      </c>
      <c r="M31" s="298">
        <f t="shared" si="2"/>
        <v>876</v>
      </c>
      <c r="N31" s="299">
        <f>'ÚSP Lidmaň'!J33</f>
        <v>0</v>
      </c>
      <c r="O31" s="299">
        <f>'Domov ve Zboží'!J33</f>
        <v>1680</v>
      </c>
      <c r="P31" s="297">
        <f>'Domov bez zámku'!J33</f>
        <v>0</v>
      </c>
      <c r="Q31" s="297">
        <f>'Domov ve Věži'!J33</f>
        <v>0</v>
      </c>
      <c r="R31" s="300">
        <f>'ÚSP Křižanov'!J33</f>
        <v>0</v>
      </c>
      <c r="S31" s="297">
        <f>'Domov Jeřabina'!J33</f>
        <v>0</v>
      </c>
      <c r="T31" s="297">
        <f>'ÚSP Nové Syrovice'!J33</f>
        <v>0</v>
      </c>
      <c r="U31" s="297">
        <f>'Domov Háj'!J33</f>
        <v>0</v>
      </c>
      <c r="V31" s="297">
        <f>'Psych.Jihl.'!J33</f>
        <v>550</v>
      </c>
      <c r="W31" s="298">
        <f t="shared" si="0"/>
        <v>1680</v>
      </c>
      <c r="X31" s="308">
        <f t="shared" si="1"/>
        <v>3106</v>
      </c>
    </row>
    <row r="32" spans="1:24" ht="20.25" customHeight="1">
      <c r="A32" s="266" t="s">
        <v>46</v>
      </c>
      <c r="B32" s="309">
        <f>'DS Havlíčkův Brod'!J34</f>
        <v>22872</v>
      </c>
      <c r="C32" s="310">
        <f>'DD Ždírec'!J34</f>
        <v>30813</v>
      </c>
      <c r="D32" s="310">
        <f>'DD Onšov'!J34</f>
        <v>11216</v>
      </c>
      <c r="E32" s="310">
        <f>'DD Proseč Obořiště'!J34</f>
        <v>17000</v>
      </c>
      <c r="F32" s="310">
        <f>'DD Proseč u Pošné'!J34</f>
        <v>22225</v>
      </c>
      <c r="G32" s="310">
        <f>'DD Humpolec'!J34</f>
        <v>45538</v>
      </c>
      <c r="H32" s="310">
        <f>'DS Třebíč Koutkova'!J34</f>
        <v>43608</v>
      </c>
      <c r="I32" s="310">
        <f>'DS M.Curierových'!J34</f>
        <v>49305</v>
      </c>
      <c r="J32" s="310">
        <f>'DS Náměšť nad Os'!J34</f>
        <v>26019</v>
      </c>
      <c r="K32" s="310">
        <f>'DS Mitrov'!J34</f>
        <v>38657</v>
      </c>
      <c r="L32" s="310">
        <f>'DS Velké Meziříčí'!J34</f>
        <v>32392</v>
      </c>
      <c r="M32" s="311">
        <f t="shared" si="2"/>
        <v>339645</v>
      </c>
      <c r="N32" s="312">
        <f>'ÚSP Lidmaň'!J34</f>
        <v>25748</v>
      </c>
      <c r="O32" s="312">
        <f>'Domov ve Zboží'!J34</f>
        <v>19655</v>
      </c>
      <c r="P32" s="310">
        <f>'Domov bez zámku'!J34</f>
        <v>30376</v>
      </c>
      <c r="Q32" s="310">
        <f>'Domov ve Věži'!J34</f>
        <v>20393</v>
      </c>
      <c r="R32" s="313">
        <f>'ÚSP Křižanov'!J34</f>
        <v>45607</v>
      </c>
      <c r="S32" s="310">
        <f>'Domov Jeřabina'!J34</f>
        <v>27167</v>
      </c>
      <c r="T32" s="310">
        <f>'ÚSP Nové Syrovice'!J34</f>
        <v>22573</v>
      </c>
      <c r="U32" s="310">
        <f>'Domov Háj'!J34</f>
        <v>24822</v>
      </c>
      <c r="V32" s="310">
        <f>'Psych.Jihl.'!J34</f>
        <v>8571</v>
      </c>
      <c r="W32" s="311">
        <f t="shared" si="0"/>
        <v>216341</v>
      </c>
      <c r="X32" s="314">
        <f t="shared" si="1"/>
        <v>564557</v>
      </c>
    </row>
    <row r="33" spans="1:24" ht="20.25" customHeight="1">
      <c r="A33" s="263" t="s">
        <v>47</v>
      </c>
      <c r="B33" s="307">
        <f>'DS Havlíčkův Brod'!J35</f>
        <v>4211</v>
      </c>
      <c r="C33" s="297">
        <f>'DD Ždírec'!J35</f>
        <v>3757</v>
      </c>
      <c r="D33" s="297">
        <f>'DD Onšov'!J35</f>
        <v>1875</v>
      </c>
      <c r="E33" s="297">
        <f>'DD Proseč Obořiště'!J35</f>
        <v>2600</v>
      </c>
      <c r="F33" s="297">
        <f>'DD Proseč u Pošné'!J35</f>
        <v>3330</v>
      </c>
      <c r="G33" s="297">
        <f>'DD Humpolec'!J35</f>
        <v>6897</v>
      </c>
      <c r="H33" s="297">
        <f>'DS Třebíč Koutkova'!J35</f>
        <v>6568</v>
      </c>
      <c r="I33" s="297">
        <f>'DS M.Curierových'!J35</f>
        <v>7292</v>
      </c>
      <c r="J33" s="297">
        <f>'DS Náměšť nad Os'!J35</f>
        <v>4303</v>
      </c>
      <c r="K33" s="297">
        <f>'DS Mitrov'!J35</f>
        <v>5335</v>
      </c>
      <c r="L33" s="297">
        <f>'DS Velké Meziříčí'!J35</f>
        <v>5115</v>
      </c>
      <c r="M33" s="298">
        <f t="shared" si="2"/>
        <v>51283</v>
      </c>
      <c r="N33" s="299">
        <f>'ÚSP Lidmaň'!J35</f>
        <v>3978</v>
      </c>
      <c r="O33" s="299">
        <f>'Domov ve Zboží'!J35</f>
        <v>2628</v>
      </c>
      <c r="P33" s="297">
        <f>'Domov bez zámku'!J35</f>
        <v>3494</v>
      </c>
      <c r="Q33" s="297">
        <f>'Domov ve Věži'!J35</f>
        <v>3430</v>
      </c>
      <c r="R33" s="300">
        <f>'ÚSP Křižanov'!J35</f>
        <v>5540</v>
      </c>
      <c r="S33" s="297">
        <f>'Domov Jeřabina'!J35</f>
        <v>3765</v>
      </c>
      <c r="T33" s="297">
        <f>'ÚSP Nové Syrovice'!J35</f>
        <v>3407</v>
      </c>
      <c r="U33" s="297">
        <f>'Domov Háj'!J35</f>
        <v>902</v>
      </c>
      <c r="V33" s="297">
        <f>'Psych.Jihl.'!J35</f>
        <v>234</v>
      </c>
      <c r="W33" s="298">
        <f t="shared" si="0"/>
        <v>27144</v>
      </c>
      <c r="X33" s="308">
        <f t="shared" si="1"/>
        <v>78661</v>
      </c>
    </row>
    <row r="34" spans="1:24" ht="20.25" customHeight="1">
      <c r="A34" s="262" t="s">
        <v>48</v>
      </c>
      <c r="B34" s="307">
        <f>'DS Havlíčkův Brod'!J36</f>
        <v>2567</v>
      </c>
      <c r="C34" s="297">
        <f>'DD Ždírec'!J36</f>
        <v>2200</v>
      </c>
      <c r="D34" s="297">
        <f>'DD Onšov'!J36</f>
        <v>1300</v>
      </c>
      <c r="E34" s="297">
        <f>'DD Proseč Obořiště'!J36</f>
        <v>2014</v>
      </c>
      <c r="F34" s="297">
        <f>'DD Proseč u Pošné'!J36</f>
        <v>2000</v>
      </c>
      <c r="G34" s="297">
        <f>'DD Humpolec'!J36</f>
        <v>5280</v>
      </c>
      <c r="H34" s="297">
        <f>'DS Třebíč Koutkova'!J36</f>
        <v>4963</v>
      </c>
      <c r="I34" s="297">
        <f>'DS M.Curierových'!J36</f>
        <v>5566</v>
      </c>
      <c r="J34" s="297">
        <f>'DS Náměšť nad Os'!J36</f>
        <v>3313</v>
      </c>
      <c r="K34" s="297">
        <f>'DS Mitrov'!J36</f>
        <v>0</v>
      </c>
      <c r="L34" s="297">
        <f>'DS Velké Meziříčí'!J36</f>
        <v>3500</v>
      </c>
      <c r="M34" s="298">
        <f t="shared" si="2"/>
        <v>32703</v>
      </c>
      <c r="N34" s="299">
        <f>'ÚSP Lidmaň'!J36</f>
        <v>2820</v>
      </c>
      <c r="O34" s="299">
        <f>'Domov ve Zboží'!J36</f>
        <v>1885</v>
      </c>
      <c r="P34" s="297">
        <f>'Domov bez zámku'!J36</f>
        <v>585</v>
      </c>
      <c r="Q34" s="297">
        <f>'Domov ve Věži'!J36</f>
        <v>2450</v>
      </c>
      <c r="R34" s="300">
        <f>'ÚSP Křižanov'!J36</f>
        <v>4200</v>
      </c>
      <c r="S34" s="297">
        <f>'Domov Jeřabina'!J36</f>
        <v>2184</v>
      </c>
      <c r="T34" s="297">
        <f>'ÚSP Nové Syrovice'!J36</f>
        <v>2672</v>
      </c>
      <c r="U34" s="297">
        <f>'Domov Háj'!J36</f>
        <v>102</v>
      </c>
      <c r="V34" s="297">
        <f>'Psych.Jihl.'!J36</f>
        <v>0</v>
      </c>
      <c r="W34" s="298">
        <f t="shared" si="0"/>
        <v>16898</v>
      </c>
      <c r="X34" s="308">
        <f t="shared" si="1"/>
        <v>49601</v>
      </c>
    </row>
    <row r="35" spans="1:24" ht="20.25" customHeight="1">
      <c r="A35" s="262" t="s">
        <v>49</v>
      </c>
      <c r="B35" s="307">
        <f>'DS Havlíčkův Brod'!J37</f>
        <v>170</v>
      </c>
      <c r="C35" s="297">
        <f>'DD Ždírec'!J37</f>
        <v>120</v>
      </c>
      <c r="D35" s="297">
        <f>'DD Onšov'!J37</f>
        <v>80</v>
      </c>
      <c r="E35" s="297">
        <f>'DD Proseč Obořiště'!J37</f>
        <v>50</v>
      </c>
      <c r="F35" s="297">
        <f>'DD Proseč u Pošné'!J37</f>
        <v>170</v>
      </c>
      <c r="G35" s="297">
        <f>'DD Humpolec'!J37</f>
        <v>110</v>
      </c>
      <c r="H35" s="297">
        <f>'DS Třebíč Koutkova'!J37</f>
        <v>95</v>
      </c>
      <c r="I35" s="297">
        <f>'DS M.Curierových'!J37</f>
        <v>45</v>
      </c>
      <c r="J35" s="297">
        <f>'DS Náměšť nad Os'!J37</f>
        <v>25</v>
      </c>
      <c r="K35" s="297">
        <f>'DS Mitrov'!J37</f>
        <v>120</v>
      </c>
      <c r="L35" s="297">
        <f>'DS Velké Meziříčí'!J37</f>
        <v>50</v>
      </c>
      <c r="M35" s="298">
        <f t="shared" si="2"/>
        <v>1035</v>
      </c>
      <c r="N35" s="299">
        <f>'ÚSP Lidmaň'!J37</f>
        <v>275</v>
      </c>
      <c r="O35" s="299">
        <f>'Domov ve Zboží'!J37</f>
        <v>115</v>
      </c>
      <c r="P35" s="297">
        <f>'Domov bez zámku'!J37</f>
        <v>150</v>
      </c>
      <c r="Q35" s="297">
        <f>'Domov ve Věži'!J37</f>
        <v>80</v>
      </c>
      <c r="R35" s="300">
        <f>'ÚSP Křižanov'!J37</f>
        <v>170</v>
      </c>
      <c r="S35" s="297">
        <f>'Domov Jeřabina'!J37</f>
        <v>260</v>
      </c>
      <c r="T35" s="297">
        <f>'ÚSP Nové Syrovice'!J37</f>
        <v>80</v>
      </c>
      <c r="U35" s="297">
        <f>'Domov Háj'!J37</f>
        <v>90</v>
      </c>
      <c r="V35" s="297">
        <f>'Psych.Jihl.'!J37</f>
        <v>20</v>
      </c>
      <c r="W35" s="298">
        <f t="shared" si="0"/>
        <v>1220</v>
      </c>
      <c r="X35" s="308">
        <f t="shared" si="1"/>
        <v>2275</v>
      </c>
    </row>
    <row r="36" spans="1:24" ht="20.25" customHeight="1">
      <c r="A36" s="262" t="s">
        <v>50</v>
      </c>
      <c r="B36" s="307">
        <f>'DS Havlíčkův Brod'!J38</f>
        <v>600</v>
      </c>
      <c r="C36" s="297">
        <f>'DD Ždírec'!J38</f>
        <v>200</v>
      </c>
      <c r="D36" s="297">
        <f>'DD Onšov'!J38</f>
        <v>50</v>
      </c>
      <c r="E36" s="297">
        <f>'DD Proseč Obořiště'!J38</f>
        <v>40</v>
      </c>
      <c r="F36" s="297">
        <f>'DD Proseč u Pošné'!J38</f>
        <v>100</v>
      </c>
      <c r="G36" s="297">
        <f>'DD Humpolec'!J38</f>
        <v>150</v>
      </c>
      <c r="H36" s="297">
        <f>'DS Třebíč Koutkova'!J38</f>
        <v>40</v>
      </c>
      <c r="I36" s="297">
        <f>'DS M.Curierových'!J38</f>
        <v>340</v>
      </c>
      <c r="J36" s="297">
        <f>'DS Náměšť nad Os'!J38</f>
        <v>70</v>
      </c>
      <c r="K36" s="297">
        <f>'DS Mitrov'!J38</f>
        <v>120</v>
      </c>
      <c r="L36" s="297">
        <f>'DS Velké Meziříčí'!J38</f>
        <v>100</v>
      </c>
      <c r="M36" s="298">
        <f t="shared" si="2"/>
        <v>1810</v>
      </c>
      <c r="N36" s="299">
        <f>'ÚSP Lidmaň'!J38</f>
        <v>3</v>
      </c>
      <c r="O36" s="299">
        <f>'Domov ve Zboží'!J38</f>
        <v>37</v>
      </c>
      <c r="P36" s="297">
        <f>'Domov bez zámku'!J38</f>
        <v>60</v>
      </c>
      <c r="Q36" s="297">
        <f>'Domov ve Věži'!J38</f>
        <v>100</v>
      </c>
      <c r="R36" s="300">
        <f>'ÚSP Křižanov'!J38</f>
        <v>145</v>
      </c>
      <c r="S36" s="297">
        <f>'Domov Jeřabina'!J38</f>
        <v>0</v>
      </c>
      <c r="T36" s="297">
        <f>'ÚSP Nové Syrovice'!J38</f>
        <v>60</v>
      </c>
      <c r="U36" s="297">
        <f>'Domov Háj'!J38</f>
        <v>30</v>
      </c>
      <c r="V36" s="297">
        <f>'Psych.Jihl.'!J38</f>
        <v>0</v>
      </c>
      <c r="W36" s="298">
        <f t="shared" si="0"/>
        <v>435</v>
      </c>
      <c r="X36" s="308">
        <f t="shared" si="1"/>
        <v>2245</v>
      </c>
    </row>
    <row r="37" spans="1:24" ht="20.25" customHeight="1">
      <c r="A37" s="262" t="s">
        <v>51</v>
      </c>
      <c r="B37" s="307">
        <f>'DS Havlíčkův Brod'!J39</f>
        <v>30</v>
      </c>
      <c r="C37" s="297">
        <f>'DD Ždírec'!J39</f>
        <v>25</v>
      </c>
      <c r="D37" s="297">
        <f>'DD Onšov'!J39</f>
        <v>5</v>
      </c>
      <c r="E37" s="297">
        <f>'DD Proseč Obořiště'!J39</f>
        <v>20</v>
      </c>
      <c r="F37" s="297">
        <f>'DD Proseč u Pošné'!J39</f>
        <v>20</v>
      </c>
      <c r="G37" s="297">
        <f>'DD Humpolec'!J39</f>
        <v>60</v>
      </c>
      <c r="H37" s="297">
        <f>'DS Třebíč Koutkova'!J39</f>
        <v>10</v>
      </c>
      <c r="I37" s="297">
        <f>'DS M.Curierových'!J39</f>
        <v>22</v>
      </c>
      <c r="J37" s="297">
        <f>'DS Náměšť nad Os'!J39</f>
        <v>15</v>
      </c>
      <c r="K37" s="297">
        <f>'DS Mitrov'!J39</f>
        <v>15</v>
      </c>
      <c r="L37" s="297">
        <f>'DS Velké Meziříčí'!J39</f>
        <v>15</v>
      </c>
      <c r="M37" s="298">
        <f t="shared" si="2"/>
        <v>237</v>
      </c>
      <c r="N37" s="299">
        <f>'ÚSP Lidmaň'!J39</f>
        <v>20</v>
      </c>
      <c r="O37" s="299">
        <f>'Domov ve Zboží'!J39</f>
        <v>14</v>
      </c>
      <c r="P37" s="297">
        <f>'Domov bez zámku'!J39</f>
        <v>30</v>
      </c>
      <c r="Q37" s="297">
        <f>'Domov ve Věži'!J39</f>
        <v>20</v>
      </c>
      <c r="R37" s="300">
        <f>'ÚSP Křižanov'!J39</f>
        <v>15</v>
      </c>
      <c r="S37" s="297">
        <f>'Domov Jeřabina'!J39</f>
        <v>25</v>
      </c>
      <c r="T37" s="297">
        <f>'ÚSP Nové Syrovice'!J39</f>
        <v>15</v>
      </c>
      <c r="U37" s="297">
        <f>'Domov Háj'!J39</f>
        <v>15</v>
      </c>
      <c r="V37" s="297">
        <f>'Psych.Jihl.'!J39</f>
        <v>20</v>
      </c>
      <c r="W37" s="298">
        <f aca="true" t="shared" si="3" ref="W37:W68">SUM(N37:U37)</f>
        <v>154</v>
      </c>
      <c r="X37" s="308">
        <f aca="true" t="shared" si="4" ref="X37:X68">M37+V37+W37</f>
        <v>411</v>
      </c>
    </row>
    <row r="38" spans="1:24" ht="20.25" customHeight="1">
      <c r="A38" s="262" t="s">
        <v>52</v>
      </c>
      <c r="B38" s="307">
        <f>'DS Havlíčkův Brod'!J40</f>
        <v>40</v>
      </c>
      <c r="C38" s="297">
        <f>'DD Ždírec'!J40</f>
        <v>32</v>
      </c>
      <c r="D38" s="297">
        <f>'DD Onšov'!J40</f>
        <v>10</v>
      </c>
      <c r="E38" s="297">
        <f>'DD Proseč Obořiště'!J40</f>
        <v>6</v>
      </c>
      <c r="F38" s="297">
        <f>'DD Proseč u Pošné'!J40</f>
        <v>10</v>
      </c>
      <c r="G38" s="297">
        <f>'DD Humpolec'!J40</f>
        <v>12</v>
      </c>
      <c r="H38" s="297">
        <f>'DS Třebíč Koutkova'!J40</f>
        <v>30</v>
      </c>
      <c r="I38" s="297">
        <f>'DS M.Curierových'!J40</f>
        <v>42</v>
      </c>
      <c r="J38" s="297">
        <f>'DS Náměšť nad Os'!J40</f>
        <v>0</v>
      </c>
      <c r="K38" s="297">
        <f>'DS Mitrov'!J40</f>
        <v>30</v>
      </c>
      <c r="L38" s="297">
        <f>'DS Velké Meziříčí'!J40</f>
        <v>10</v>
      </c>
      <c r="M38" s="298">
        <f t="shared" si="2"/>
        <v>222</v>
      </c>
      <c r="N38" s="299">
        <f>'ÚSP Lidmaň'!J40</f>
        <v>20</v>
      </c>
      <c r="O38" s="299">
        <f>'Domov ve Zboží'!J40</f>
        <v>68</v>
      </c>
      <c r="P38" s="297">
        <f>'Domov bez zámku'!J40</f>
        <v>90</v>
      </c>
      <c r="Q38" s="297">
        <f>'Domov ve Věži'!J40</f>
        <v>30</v>
      </c>
      <c r="R38" s="300">
        <f>'ÚSP Křižanov'!J40</f>
        <v>20</v>
      </c>
      <c r="S38" s="297">
        <f>'Domov Jeřabina'!J40</f>
        <v>70</v>
      </c>
      <c r="T38" s="297">
        <f>'ÚSP Nové Syrovice'!J40</f>
        <v>20</v>
      </c>
      <c r="U38" s="297">
        <f>'Domov Háj'!J40</f>
        <v>30</v>
      </c>
      <c r="V38" s="297">
        <f>'Psych.Jihl.'!J40</f>
        <v>0</v>
      </c>
      <c r="W38" s="298">
        <f t="shared" si="3"/>
        <v>348</v>
      </c>
      <c r="X38" s="308">
        <f t="shared" si="4"/>
        <v>570</v>
      </c>
    </row>
    <row r="39" spans="1:24" ht="20.25" customHeight="1">
      <c r="A39" s="262" t="s">
        <v>53</v>
      </c>
      <c r="B39" s="307">
        <f>'DS Havlíčkův Brod'!J41</f>
        <v>100</v>
      </c>
      <c r="C39" s="297">
        <f>'DD Ždírec'!J41</f>
        <v>70</v>
      </c>
      <c r="D39" s="297">
        <f>'DD Onšov'!J41</f>
        <v>30</v>
      </c>
      <c r="E39" s="297">
        <f>'DD Proseč Obořiště'!J41</f>
        <v>10</v>
      </c>
      <c r="F39" s="297">
        <f>'DD Proseč u Pošné'!J41</f>
        <v>80</v>
      </c>
      <c r="G39" s="297">
        <f>'DD Humpolec'!J41</f>
        <v>110</v>
      </c>
      <c r="H39" s="297">
        <f>'DS Třebíč Koutkova'!J41</f>
        <v>200</v>
      </c>
      <c r="I39" s="297">
        <f>'DS M.Curierových'!J41</f>
        <v>90</v>
      </c>
      <c r="J39" s="297">
        <f>'DS Náměšť nad Os'!J41</f>
        <v>140</v>
      </c>
      <c r="K39" s="297">
        <f>'DS Mitrov'!J41</f>
        <v>40</v>
      </c>
      <c r="L39" s="297">
        <f>'DS Velké Meziříčí'!J41</f>
        <v>40</v>
      </c>
      <c r="M39" s="298">
        <f t="shared" si="2"/>
        <v>910</v>
      </c>
      <c r="N39" s="299">
        <f>'ÚSP Lidmaň'!J41</f>
        <v>50</v>
      </c>
      <c r="O39" s="299">
        <f>'Domov ve Zboží'!J41</f>
        <v>19</v>
      </c>
      <c r="P39" s="297">
        <f>'Domov bez zámku'!J41</f>
        <v>140</v>
      </c>
      <c r="Q39" s="297">
        <f>'Domov ve Věži'!J41</f>
        <v>50</v>
      </c>
      <c r="R39" s="300">
        <f>'ÚSP Křižanov'!J41</f>
        <v>90</v>
      </c>
      <c r="S39" s="297">
        <f>'Domov Jeřabina'!J41</f>
        <v>105</v>
      </c>
      <c r="T39" s="297">
        <f>'ÚSP Nové Syrovice'!J41</f>
        <v>40</v>
      </c>
      <c r="U39" s="297">
        <f>'Domov Háj'!J41</f>
        <v>60</v>
      </c>
      <c r="V39" s="297">
        <f>'Psych.Jihl.'!J41</f>
        <v>38</v>
      </c>
      <c r="W39" s="298">
        <f t="shared" si="3"/>
        <v>554</v>
      </c>
      <c r="X39" s="308">
        <f t="shared" si="4"/>
        <v>1502</v>
      </c>
    </row>
    <row r="40" spans="1:24" ht="20.25" customHeight="1">
      <c r="A40" s="262" t="s">
        <v>54</v>
      </c>
      <c r="B40" s="307">
        <f>'DS Havlíčkův Brod'!J42</f>
        <v>368</v>
      </c>
      <c r="C40" s="297">
        <f>'DD Ždírec'!J42</f>
        <v>330</v>
      </c>
      <c r="D40" s="297">
        <f>'DD Onšov'!J42</f>
        <v>150</v>
      </c>
      <c r="E40" s="297">
        <f>'DD Proseč Obořiště'!J42</f>
        <v>180</v>
      </c>
      <c r="F40" s="297">
        <f>'DD Proseč u Pošné'!J42</f>
        <v>350</v>
      </c>
      <c r="G40" s="297">
        <f>'DD Humpolec'!J42</f>
        <v>620</v>
      </c>
      <c r="H40" s="297">
        <f>'DS Třebíč Koutkova'!J42</f>
        <v>580</v>
      </c>
      <c r="I40" s="297">
        <f>'DS M.Curierových'!J42</f>
        <v>700</v>
      </c>
      <c r="J40" s="297">
        <f>'DS Náměšť nad Os'!J42</f>
        <v>360</v>
      </c>
      <c r="K40" s="297">
        <f>'DS Mitrov'!J42</f>
        <v>530</v>
      </c>
      <c r="L40" s="297">
        <f>'DS Velké Meziříčí'!J42</f>
        <v>300</v>
      </c>
      <c r="M40" s="298">
        <f t="shared" si="2"/>
        <v>4468</v>
      </c>
      <c r="N40" s="299">
        <f>'ÚSP Lidmaň'!J42</f>
        <v>210</v>
      </c>
      <c r="O40" s="299">
        <f>'Domov ve Zboží'!J42</f>
        <v>280</v>
      </c>
      <c r="P40" s="297">
        <f>'Domov bez zámku'!J42</f>
        <v>150</v>
      </c>
      <c r="Q40" s="297">
        <f>'Domov ve Věži'!J42</f>
        <v>350</v>
      </c>
      <c r="R40" s="300">
        <f>'ÚSP Křižanov'!J42</f>
        <v>300</v>
      </c>
      <c r="S40" s="297">
        <f>'Domov Jeřabina'!J42</f>
        <v>195</v>
      </c>
      <c r="T40" s="297">
        <f>'ÚSP Nové Syrovice'!J42</f>
        <v>250</v>
      </c>
      <c r="U40" s="297">
        <f>'Domov Háj'!J42</f>
        <v>155</v>
      </c>
      <c r="V40" s="297">
        <f>'Psych.Jihl.'!J42</f>
        <v>13</v>
      </c>
      <c r="W40" s="298">
        <f t="shared" si="3"/>
        <v>1890</v>
      </c>
      <c r="X40" s="308">
        <f t="shared" si="4"/>
        <v>6371</v>
      </c>
    </row>
    <row r="41" spans="1:24" ht="20.25" customHeight="1">
      <c r="A41" s="262" t="s">
        <v>166</v>
      </c>
      <c r="B41" s="307">
        <f>'DS Havlíčkův Brod'!J43</f>
        <v>0</v>
      </c>
      <c r="C41" s="297">
        <f>'DD Ždírec'!J43</f>
        <v>100</v>
      </c>
      <c r="D41" s="297">
        <f>'DD Onšov'!J43</f>
        <v>0</v>
      </c>
      <c r="E41" s="297">
        <f>'DD Proseč Obořiště'!J43</f>
        <v>0</v>
      </c>
      <c r="F41" s="297">
        <f>'DD Proseč u Pošné'!J43</f>
        <v>350</v>
      </c>
      <c r="G41" s="297">
        <f>'DD Humpolec'!J43</f>
        <v>0</v>
      </c>
      <c r="H41" s="297">
        <f>'DS Třebíč Koutkova'!J43</f>
        <v>0</v>
      </c>
      <c r="I41" s="297">
        <f>'DS M.Curierových'!J43</f>
        <v>0</v>
      </c>
      <c r="J41" s="297">
        <f>'DS Náměšť nad Os'!J43</f>
        <v>0</v>
      </c>
      <c r="K41" s="297">
        <f>'DS Mitrov'!J43</f>
        <v>0</v>
      </c>
      <c r="L41" s="297">
        <f>'DS Velké Meziříčí'!J43</f>
        <v>0</v>
      </c>
      <c r="M41" s="298">
        <f t="shared" si="2"/>
        <v>450</v>
      </c>
      <c r="N41" s="299">
        <f>'ÚSP Lidmaň'!J43</f>
        <v>90</v>
      </c>
      <c r="O41" s="299">
        <f>'Domov ve Zboží'!J43</f>
        <v>0</v>
      </c>
      <c r="P41" s="297">
        <f>'Domov bez zámku'!J43</f>
        <v>0</v>
      </c>
      <c r="Q41" s="297">
        <f>'Domov ve Věži'!J43</f>
        <v>0</v>
      </c>
      <c r="R41" s="300">
        <f>'ÚSP Křižanov'!J43</f>
        <v>0</v>
      </c>
      <c r="S41" s="297">
        <f>'Domov Jeřabina'!J43</f>
        <v>0</v>
      </c>
      <c r="T41" s="297">
        <f>'ÚSP Nové Syrovice'!J43</f>
        <v>0</v>
      </c>
      <c r="U41" s="297">
        <f>'Domov Háj'!J43</f>
        <v>0</v>
      </c>
      <c r="V41" s="297">
        <f>'Psych.Jihl.'!J43</f>
        <v>0</v>
      </c>
      <c r="W41" s="298">
        <f t="shared" si="3"/>
        <v>90</v>
      </c>
      <c r="X41" s="308">
        <f t="shared" si="4"/>
        <v>540</v>
      </c>
    </row>
    <row r="42" spans="1:24" ht="20.25" customHeight="1">
      <c r="A42" s="262" t="s">
        <v>167</v>
      </c>
      <c r="B42" s="307">
        <f>'DS Havlíčkův Brod'!J44</f>
        <v>0</v>
      </c>
      <c r="C42" s="297">
        <f>'DD Ždírec'!J44</f>
        <v>0</v>
      </c>
      <c r="D42" s="297">
        <f>'DD Onšov'!J44</f>
        <v>50</v>
      </c>
      <c r="E42" s="297">
        <f>'DD Proseč Obořiště'!J44</f>
        <v>30</v>
      </c>
      <c r="F42" s="297">
        <f>'DD Proseč u Pošné'!J44</f>
        <v>0</v>
      </c>
      <c r="G42" s="297">
        <f>'DD Humpolec'!J44</f>
        <v>90</v>
      </c>
      <c r="H42" s="297">
        <f>'DS Třebíč Koutkova'!J44</f>
        <v>0</v>
      </c>
      <c r="I42" s="297">
        <f>'DS M.Curierových'!J44</f>
        <v>414</v>
      </c>
      <c r="J42" s="297">
        <f>'DS Náměšť nad Os'!J44</f>
        <v>30</v>
      </c>
      <c r="K42" s="297">
        <f>'DS Mitrov'!J44</f>
        <v>200</v>
      </c>
      <c r="L42" s="297">
        <f>'DS Velké Meziříčí'!J44</f>
        <v>60</v>
      </c>
      <c r="M42" s="298">
        <f t="shared" si="2"/>
        <v>874</v>
      </c>
      <c r="N42" s="299">
        <f>'ÚSP Lidmaň'!J44</f>
        <v>40</v>
      </c>
      <c r="O42" s="299">
        <f>'Domov ve Zboží'!J44</f>
        <v>50</v>
      </c>
      <c r="P42" s="297">
        <f>'Domov bez zámku'!J44</f>
        <v>1889</v>
      </c>
      <c r="Q42" s="297">
        <f>'Domov ve Věži'!J44</f>
        <v>100</v>
      </c>
      <c r="R42" s="300">
        <f>'ÚSP Křižanov'!J44</f>
        <v>200</v>
      </c>
      <c r="S42" s="297">
        <f>'Domov Jeřabina'!J44</f>
        <v>0</v>
      </c>
      <c r="T42" s="297">
        <f>'ÚSP Nové Syrovice'!J44</f>
        <v>52</v>
      </c>
      <c r="U42" s="297">
        <f>'Domov Háj'!J44</f>
        <v>200</v>
      </c>
      <c r="V42" s="297">
        <f>'Psych.Jihl.'!J44</f>
        <v>0</v>
      </c>
      <c r="W42" s="298">
        <f t="shared" si="3"/>
        <v>2531</v>
      </c>
      <c r="X42" s="308">
        <f t="shared" si="4"/>
        <v>3405</v>
      </c>
    </row>
    <row r="43" spans="1:24" ht="20.25" customHeight="1">
      <c r="A43" s="262" t="s">
        <v>55</v>
      </c>
      <c r="B43" s="307">
        <f>'DS Havlíčkův Brod'!J45</f>
        <v>336</v>
      </c>
      <c r="C43" s="297">
        <f>'DD Ždírec'!J45</f>
        <v>650</v>
      </c>
      <c r="D43" s="297">
        <f>'DD Onšov'!J45</f>
        <v>200</v>
      </c>
      <c r="E43" s="297">
        <f>'DD Proseč Obořiště'!J45</f>
        <v>250</v>
      </c>
      <c r="F43" s="297">
        <f>'DD Proseč u Pošné'!J45</f>
        <v>250</v>
      </c>
      <c r="G43" s="297">
        <f>'DD Humpolec'!J45</f>
        <v>465</v>
      </c>
      <c r="H43" s="297">
        <f>'DS Třebíč Koutkova'!J45</f>
        <v>650</v>
      </c>
      <c r="I43" s="297">
        <f>'DS M.Curierových'!J45</f>
        <v>73</v>
      </c>
      <c r="J43" s="297">
        <f>'DS Náměšť nad Os'!J45</f>
        <v>350</v>
      </c>
      <c r="K43" s="297">
        <f>'DS Mitrov'!J45</f>
        <v>480</v>
      </c>
      <c r="L43" s="297">
        <f>'DS Velké Meziříčí'!J45</f>
        <v>1040</v>
      </c>
      <c r="M43" s="298">
        <f t="shared" si="2"/>
        <v>4744</v>
      </c>
      <c r="N43" s="299">
        <f>'ÚSP Lidmaň'!J45</f>
        <v>450</v>
      </c>
      <c r="O43" s="299">
        <f>'Domov ve Zboží'!J45</f>
        <v>160</v>
      </c>
      <c r="P43" s="297">
        <f>'Domov bez zámku'!J45</f>
        <v>400</v>
      </c>
      <c r="Q43" s="297">
        <f>'Domov ve Věži'!J45</f>
        <v>250</v>
      </c>
      <c r="R43" s="300">
        <f>'ÚSP Křižanov'!J45</f>
        <v>400</v>
      </c>
      <c r="S43" s="297">
        <f>'Domov Jeřabina'!J45</f>
        <v>926</v>
      </c>
      <c r="T43" s="297">
        <f>'ÚSP Nové Syrovice'!J45</f>
        <v>218</v>
      </c>
      <c r="U43" s="297">
        <f>'Domov Háj'!J45</f>
        <v>220</v>
      </c>
      <c r="V43" s="297">
        <f>'Psych.Jihl.'!J45</f>
        <v>143</v>
      </c>
      <c r="W43" s="298">
        <f t="shared" si="3"/>
        <v>3024</v>
      </c>
      <c r="X43" s="308">
        <f t="shared" si="4"/>
        <v>7911</v>
      </c>
    </row>
    <row r="44" spans="1:24" ht="20.25" customHeight="1">
      <c r="A44" s="263" t="s">
        <v>56</v>
      </c>
      <c r="B44" s="307">
        <f>'DS Havlíčkův Brod'!J46</f>
        <v>1579</v>
      </c>
      <c r="C44" s="297">
        <f>'DD Ždírec'!J46</f>
        <v>3650</v>
      </c>
      <c r="D44" s="297">
        <f>'DD Onšov'!J46</f>
        <v>1030</v>
      </c>
      <c r="E44" s="297">
        <f>'DD Proseč Obořiště'!J46</f>
        <v>1415</v>
      </c>
      <c r="F44" s="297">
        <f>'DD Proseč u Pošné'!J46</f>
        <v>650</v>
      </c>
      <c r="G44" s="297">
        <f>'DD Humpolec'!J46</f>
        <v>3513</v>
      </c>
      <c r="H44" s="297">
        <f>'DS Třebíč Koutkova'!J46</f>
        <v>4120</v>
      </c>
      <c r="I44" s="297">
        <f>'DS M.Curierových'!J46</f>
        <v>3730</v>
      </c>
      <c r="J44" s="297">
        <f>'DS Náměšť nad Os'!J46</f>
        <v>2850</v>
      </c>
      <c r="K44" s="297">
        <f>'DS Mitrov'!J46</f>
        <v>3250</v>
      </c>
      <c r="L44" s="297">
        <f>'DS Velké Meziříčí'!J46</f>
        <v>2890</v>
      </c>
      <c r="M44" s="298">
        <f t="shared" si="2"/>
        <v>28677</v>
      </c>
      <c r="N44" s="299">
        <f>'ÚSP Lidmaň'!J46</f>
        <v>1834</v>
      </c>
      <c r="O44" s="299">
        <f>'Domov ve Zboží'!J46</f>
        <v>1487</v>
      </c>
      <c r="P44" s="297">
        <f>'Domov bez zámku'!J46</f>
        <v>1100</v>
      </c>
      <c r="Q44" s="297">
        <f>'Domov ve Věži'!J46</f>
        <v>1300</v>
      </c>
      <c r="R44" s="300">
        <f>'ÚSP Křižanov'!J46</f>
        <v>2540</v>
      </c>
      <c r="S44" s="297">
        <f>'Domov Jeřabina'!J46</f>
        <v>827</v>
      </c>
      <c r="T44" s="297">
        <f>'ÚSP Nové Syrovice'!J46</f>
        <v>2416</v>
      </c>
      <c r="U44" s="297">
        <f>'Domov Háj'!J46</f>
        <v>1949</v>
      </c>
      <c r="V44" s="297">
        <f>'Psych.Jihl.'!J46</f>
        <v>210</v>
      </c>
      <c r="W44" s="298">
        <f t="shared" si="3"/>
        <v>13453</v>
      </c>
      <c r="X44" s="308">
        <f t="shared" si="4"/>
        <v>42340</v>
      </c>
    </row>
    <row r="45" spans="1:24" ht="20.25" customHeight="1">
      <c r="A45" s="262" t="s">
        <v>57</v>
      </c>
      <c r="B45" s="307">
        <f>'DS Havlíčkův Brod'!J47</f>
        <v>682</v>
      </c>
      <c r="C45" s="297">
        <f>'DD Ždírec'!J47</f>
        <v>1550</v>
      </c>
      <c r="D45" s="297">
        <f>'DD Onšov'!J47</f>
        <v>910</v>
      </c>
      <c r="E45" s="297">
        <f>'DD Proseč Obořiště'!J47</f>
        <v>425</v>
      </c>
      <c r="F45" s="297">
        <f>'DD Proseč u Pošné'!J47</f>
        <v>550</v>
      </c>
      <c r="G45" s="297">
        <f>'DD Humpolec'!J47</f>
        <v>1368</v>
      </c>
      <c r="H45" s="297">
        <f>'DS Třebíč Koutkova'!J47</f>
        <v>1500</v>
      </c>
      <c r="I45" s="297">
        <f>'DS M.Curierových'!J47</f>
        <v>1374</v>
      </c>
      <c r="J45" s="297">
        <f>'DS Náměšť nad Os'!J47</f>
        <v>1200</v>
      </c>
      <c r="K45" s="297">
        <f>'DS Mitrov'!J47</f>
        <v>3150</v>
      </c>
      <c r="L45" s="297">
        <f>'DS Velké Meziříčí'!J47</f>
        <v>1920</v>
      </c>
      <c r="M45" s="298">
        <f t="shared" si="2"/>
        <v>14629</v>
      </c>
      <c r="N45" s="299">
        <f>'ÚSP Lidmaň'!J47</f>
        <v>1744</v>
      </c>
      <c r="O45" s="299">
        <f>'Domov ve Zboží'!J47</f>
        <v>986</v>
      </c>
      <c r="P45" s="297">
        <f>'Domov bez zámku'!J47</f>
        <v>400</v>
      </c>
      <c r="Q45" s="297">
        <f>'Domov ve Věži'!J47</f>
        <v>630</v>
      </c>
      <c r="R45" s="300">
        <f>'ÚSP Křižanov'!J47</f>
        <v>860</v>
      </c>
      <c r="S45" s="297">
        <f>'Domov Jeřabina'!J47</f>
        <v>662</v>
      </c>
      <c r="T45" s="297">
        <f>'ÚSP Nové Syrovice'!J47</f>
        <v>969</v>
      </c>
      <c r="U45" s="297">
        <f>'Domov Háj'!J47</f>
        <v>626</v>
      </c>
      <c r="V45" s="297">
        <f>'Psych.Jihl.'!J47</f>
        <v>52</v>
      </c>
      <c r="W45" s="298">
        <f t="shared" si="3"/>
        <v>6877</v>
      </c>
      <c r="X45" s="308">
        <f t="shared" si="4"/>
        <v>21558</v>
      </c>
    </row>
    <row r="46" spans="1:24" ht="20.25" customHeight="1">
      <c r="A46" s="262" t="s">
        <v>58</v>
      </c>
      <c r="B46" s="307">
        <f>'DS Havlíčkův Brod'!J48</f>
        <v>302</v>
      </c>
      <c r="C46" s="297">
        <f>'DD Ždírec'!J48</f>
        <v>1250</v>
      </c>
      <c r="D46" s="297">
        <f>'DD Onšov'!J48</f>
        <v>0</v>
      </c>
      <c r="E46" s="297">
        <f>'DD Proseč Obořiště'!J48</f>
        <v>900</v>
      </c>
      <c r="F46" s="297">
        <f>'DD Proseč u Pošné'!J48</f>
        <v>0</v>
      </c>
      <c r="G46" s="297">
        <f>'DD Humpolec'!J48</f>
        <v>1595</v>
      </c>
      <c r="H46" s="297">
        <f>'DS Třebíč Koutkova'!J48</f>
        <v>1850</v>
      </c>
      <c r="I46" s="297">
        <f>'DS M.Curierových'!J48</f>
        <v>1320</v>
      </c>
      <c r="J46" s="297">
        <f>'DS Náměšť nad Os'!J48</f>
        <v>1150</v>
      </c>
      <c r="K46" s="297">
        <f>'DS Mitrov'!J48</f>
        <v>15</v>
      </c>
      <c r="L46" s="297">
        <f>'DS Velké Meziříčí'!J48</f>
        <v>650</v>
      </c>
      <c r="M46" s="298">
        <f t="shared" si="2"/>
        <v>9032</v>
      </c>
      <c r="N46" s="299">
        <f>'ÚSP Lidmaň'!J48</f>
        <v>20</v>
      </c>
      <c r="O46" s="299">
        <f>'Domov ve Zboží'!J48</f>
        <v>445</v>
      </c>
      <c r="P46" s="297">
        <f>'Domov bez zámku'!J48</f>
        <v>450</v>
      </c>
      <c r="Q46" s="297">
        <f>'Domov ve Věži'!J48</f>
        <v>560</v>
      </c>
      <c r="R46" s="300">
        <f>'ÚSP Křižanov'!J48</f>
        <v>1020</v>
      </c>
      <c r="S46" s="297">
        <f>'Domov Jeřabina'!J48</f>
        <v>25</v>
      </c>
      <c r="T46" s="297">
        <f>'ÚSP Nové Syrovice'!J48</f>
        <v>1162</v>
      </c>
      <c r="U46" s="297">
        <f>'Domov Háj'!J48</f>
        <v>943</v>
      </c>
      <c r="V46" s="297">
        <f>'Psych.Jihl.'!J48</f>
        <v>83</v>
      </c>
      <c r="W46" s="298">
        <f t="shared" si="3"/>
        <v>4625</v>
      </c>
      <c r="X46" s="308">
        <f t="shared" si="4"/>
        <v>13740</v>
      </c>
    </row>
    <row r="47" spans="1:24" ht="20.25" customHeight="1">
      <c r="A47" s="262" t="s">
        <v>59</v>
      </c>
      <c r="B47" s="307">
        <f>'DS Havlíčkův Brod'!J49</f>
        <v>261</v>
      </c>
      <c r="C47" s="297">
        <f>'DD Ždírec'!J49</f>
        <v>350</v>
      </c>
      <c r="D47" s="297">
        <f>'DD Onšov'!J49</f>
        <v>120</v>
      </c>
      <c r="E47" s="297">
        <f>'DD Proseč Obořiště'!J49</f>
        <v>90</v>
      </c>
      <c r="F47" s="297">
        <f>'DD Proseč u Pošné'!J49</f>
        <v>100</v>
      </c>
      <c r="G47" s="297">
        <f>'DD Humpolec'!J49</f>
        <v>550</v>
      </c>
      <c r="H47" s="297">
        <f>'DS Třebíč Koutkova'!J49</f>
        <v>770</v>
      </c>
      <c r="I47" s="297">
        <f>'DS M.Curierových'!J49</f>
        <v>1036</v>
      </c>
      <c r="J47" s="297">
        <f>'DS Náměšť nad Os'!J49</f>
        <v>500</v>
      </c>
      <c r="K47" s="297">
        <f>'DS Mitrov'!J49</f>
        <v>85</v>
      </c>
      <c r="L47" s="297">
        <f>'DS Velké Meziříčí'!J49</f>
        <v>320</v>
      </c>
      <c r="M47" s="298">
        <f t="shared" si="2"/>
        <v>4182</v>
      </c>
      <c r="N47" s="299">
        <f>'ÚSP Lidmaň'!J49</f>
        <v>70</v>
      </c>
      <c r="O47" s="299">
        <f>'Domov ve Zboží'!J49</f>
        <v>56</v>
      </c>
      <c r="P47" s="297">
        <f>'Domov bez zámku'!J49</f>
        <v>250</v>
      </c>
      <c r="Q47" s="297">
        <f>'Domov ve Věži'!J49</f>
        <v>110</v>
      </c>
      <c r="R47" s="300">
        <f>'ÚSP Křižanov'!J49</f>
        <v>660</v>
      </c>
      <c r="S47" s="297">
        <f>'Domov Jeřabina'!J49</f>
        <v>140</v>
      </c>
      <c r="T47" s="297">
        <f>'ÚSP Nové Syrovice'!J49</f>
        <v>285</v>
      </c>
      <c r="U47" s="297">
        <f>'Domov Háj'!J49</f>
        <v>380</v>
      </c>
      <c r="V47" s="297">
        <f>'Psych.Jihl.'!J49</f>
        <v>26</v>
      </c>
      <c r="W47" s="298">
        <f t="shared" si="3"/>
        <v>1951</v>
      </c>
      <c r="X47" s="308">
        <f t="shared" si="4"/>
        <v>6159</v>
      </c>
    </row>
    <row r="48" spans="1:24" ht="20.25" customHeight="1">
      <c r="A48" s="262" t="s">
        <v>168</v>
      </c>
      <c r="B48" s="307">
        <f>'DS Havlíčkův Brod'!J50</f>
        <v>334</v>
      </c>
      <c r="C48" s="297">
        <f>'DD Ždírec'!J50</f>
        <v>500</v>
      </c>
      <c r="D48" s="297">
        <f>'DD Onšov'!J50</f>
        <v>0</v>
      </c>
      <c r="E48" s="297">
        <f>'DD Proseč Obořiště'!J50</f>
        <v>0</v>
      </c>
      <c r="F48" s="297">
        <f>'DD Proseč u Pošné'!J50</f>
        <v>0</v>
      </c>
      <c r="G48" s="297">
        <f>'DD Humpolec'!J50</f>
        <v>0</v>
      </c>
      <c r="H48" s="297">
        <f>'DS Třebíč Koutkova'!J50</f>
        <v>0</v>
      </c>
      <c r="I48" s="297">
        <f>'DS M.Curierových'!J50</f>
        <v>0</v>
      </c>
      <c r="J48" s="297">
        <f>'DS Náměšť nad Os'!J50</f>
        <v>0</v>
      </c>
      <c r="K48" s="297">
        <f>'DS Mitrov'!J50</f>
        <v>0</v>
      </c>
      <c r="L48" s="297">
        <f>'DS Velké Meziříčí'!J50</f>
        <v>0</v>
      </c>
      <c r="M48" s="298">
        <f t="shared" si="2"/>
        <v>834</v>
      </c>
      <c r="N48" s="299">
        <f>'ÚSP Lidmaň'!J50</f>
        <v>0</v>
      </c>
      <c r="O48" s="299">
        <f>'Domov ve Zboží'!J50</f>
        <v>0</v>
      </c>
      <c r="P48" s="297">
        <f>'Domov bez zámku'!J50</f>
        <v>0</v>
      </c>
      <c r="Q48" s="297">
        <f>'Domov ve Věži'!J50</f>
        <v>0</v>
      </c>
      <c r="R48" s="300">
        <f>'ÚSP Křižanov'!J50</f>
        <v>0</v>
      </c>
      <c r="S48" s="297">
        <f>'Domov Jeřabina'!J50</f>
        <v>0</v>
      </c>
      <c r="T48" s="297">
        <f>'ÚSP Nové Syrovice'!J50</f>
        <v>0</v>
      </c>
      <c r="U48" s="297">
        <f>'Domov Háj'!J50</f>
        <v>0</v>
      </c>
      <c r="V48" s="297">
        <f>'Psych.Jihl.'!J50</f>
        <v>49</v>
      </c>
      <c r="W48" s="298">
        <f t="shared" si="3"/>
        <v>0</v>
      </c>
      <c r="X48" s="308">
        <f t="shared" si="4"/>
        <v>883</v>
      </c>
    </row>
    <row r="49" spans="1:24" ht="20.25" customHeight="1">
      <c r="A49" s="263" t="s">
        <v>60</v>
      </c>
      <c r="B49" s="307">
        <f>'DS Havlíčkův Brod'!J51</f>
        <v>0</v>
      </c>
      <c r="C49" s="297">
        <f>'DD Ždírec'!J51</f>
        <v>0</v>
      </c>
      <c r="D49" s="297">
        <f>'DD Onšov'!J51</f>
        <v>0</v>
      </c>
      <c r="E49" s="297">
        <f>'DD Proseč Obořiště'!J51</f>
        <v>0</v>
      </c>
      <c r="F49" s="297">
        <f>'DD Proseč u Pošné'!J51</f>
        <v>0</v>
      </c>
      <c r="G49" s="297">
        <f>'DD Humpolec'!J51</f>
        <v>0</v>
      </c>
      <c r="H49" s="297">
        <f>'DS Třebíč Koutkova'!J51</f>
        <v>0</v>
      </c>
      <c r="I49" s="297">
        <f>'DS M.Curierových'!J51</f>
        <v>0</v>
      </c>
      <c r="J49" s="297">
        <f>'DS Náměšť nad Os'!J51</f>
        <v>0</v>
      </c>
      <c r="K49" s="297">
        <f>'DS Mitrov'!J51</f>
        <v>0</v>
      </c>
      <c r="L49" s="297">
        <f>'DS Velké Meziříčí'!J51</f>
        <v>0</v>
      </c>
      <c r="M49" s="298">
        <f t="shared" si="2"/>
        <v>0</v>
      </c>
      <c r="N49" s="299">
        <f>'ÚSP Lidmaň'!J51</f>
        <v>0</v>
      </c>
      <c r="O49" s="299">
        <f>'Domov ve Zboží'!J51</f>
        <v>0</v>
      </c>
      <c r="P49" s="297">
        <f>'Domov bez zámku'!J51</f>
        <v>0</v>
      </c>
      <c r="Q49" s="297">
        <f>'Domov ve Věži'!J51</f>
        <v>0</v>
      </c>
      <c r="R49" s="300">
        <f>'ÚSP Křižanov'!J51</f>
        <v>0</v>
      </c>
      <c r="S49" s="297">
        <f>'Domov Jeřabina'!J51</f>
        <v>0</v>
      </c>
      <c r="T49" s="297">
        <f>'ÚSP Nové Syrovice'!J51</f>
        <v>0</v>
      </c>
      <c r="U49" s="297">
        <f>'Domov Háj'!J51</f>
        <v>0</v>
      </c>
      <c r="V49" s="297">
        <f>'Psych.Jihl.'!J51</f>
        <v>0</v>
      </c>
      <c r="W49" s="298">
        <f t="shared" si="3"/>
        <v>0</v>
      </c>
      <c r="X49" s="308">
        <f t="shared" si="4"/>
        <v>0</v>
      </c>
    </row>
    <row r="50" spans="1:24" ht="20.25" customHeight="1">
      <c r="A50" s="263" t="s">
        <v>61</v>
      </c>
      <c r="B50" s="307">
        <f>'DS Havlíčkův Brod'!J52</f>
        <v>0</v>
      </c>
      <c r="C50" s="297">
        <f>'DD Ždírec'!J52</f>
        <v>0</v>
      </c>
      <c r="D50" s="297">
        <f>'DD Onšov'!J52</f>
        <v>0</v>
      </c>
      <c r="E50" s="297">
        <f>'DD Proseč Obořiště'!J52</f>
        <v>0</v>
      </c>
      <c r="F50" s="297">
        <f>'DD Proseč u Pošné'!J52</f>
        <v>0</v>
      </c>
      <c r="G50" s="297">
        <f>'DD Humpolec'!J52</f>
        <v>0</v>
      </c>
      <c r="H50" s="297">
        <f>'DS Třebíč Koutkova'!J52</f>
        <v>0</v>
      </c>
      <c r="I50" s="297">
        <f>'DS M.Curierových'!J52</f>
        <v>0</v>
      </c>
      <c r="J50" s="297">
        <f>'DS Náměšť nad Os'!J52</f>
        <v>0</v>
      </c>
      <c r="K50" s="297">
        <f>'DS Mitrov'!J52</f>
        <v>0</v>
      </c>
      <c r="L50" s="297">
        <f>'DS Velké Meziříčí'!J52</f>
        <v>0</v>
      </c>
      <c r="M50" s="298">
        <f t="shared" si="2"/>
        <v>0</v>
      </c>
      <c r="N50" s="299">
        <f>'ÚSP Lidmaň'!J52</f>
        <v>10</v>
      </c>
      <c r="O50" s="299">
        <f>'Domov ve Zboží'!J52</f>
        <v>0</v>
      </c>
      <c r="P50" s="297">
        <f>'Domov bez zámku'!J52</f>
        <v>0</v>
      </c>
      <c r="Q50" s="297">
        <f>'Domov ve Věži'!J52</f>
        <v>0</v>
      </c>
      <c r="R50" s="300">
        <f>'ÚSP Křižanov'!J52</f>
        <v>0</v>
      </c>
      <c r="S50" s="297">
        <f>'Domov Jeřabina'!J52</f>
        <v>0</v>
      </c>
      <c r="T50" s="297">
        <f>'ÚSP Nové Syrovice'!J52</f>
        <v>0</v>
      </c>
      <c r="U50" s="297">
        <f>'Domov Háj'!J52</f>
        <v>-10</v>
      </c>
      <c r="V50" s="297">
        <f>'Psych.Jihl.'!J52</f>
        <v>0</v>
      </c>
      <c r="W50" s="298">
        <f t="shared" si="3"/>
        <v>0</v>
      </c>
      <c r="X50" s="308">
        <f t="shared" si="4"/>
        <v>0</v>
      </c>
    </row>
    <row r="51" spans="1:24" ht="20.25" customHeight="1">
      <c r="A51" s="263" t="s">
        <v>62</v>
      </c>
      <c r="B51" s="307">
        <f>'DS Havlíčkův Brod'!J53</f>
        <v>920</v>
      </c>
      <c r="C51" s="297">
        <f>'DD Ždírec'!J53</f>
        <v>145</v>
      </c>
      <c r="D51" s="297">
        <f>'DD Onšov'!J53</f>
        <v>600</v>
      </c>
      <c r="E51" s="297">
        <f>'DD Proseč Obořiště'!J53</f>
        <v>390</v>
      </c>
      <c r="F51" s="297">
        <f>'DD Proseč u Pošné'!J53</f>
        <v>332</v>
      </c>
      <c r="G51" s="297">
        <f>'DD Humpolec'!J53</f>
        <v>765</v>
      </c>
      <c r="H51" s="297">
        <f>'DS Třebíč Koutkova'!J53</f>
        <v>580</v>
      </c>
      <c r="I51" s="297">
        <f>'DS M.Curierových'!J53</f>
        <v>3320</v>
      </c>
      <c r="J51" s="297">
        <f>'DS Náměšť nad Os'!J53</f>
        <v>550</v>
      </c>
      <c r="K51" s="297">
        <f>'DS Mitrov'!J53</f>
        <v>1584</v>
      </c>
      <c r="L51" s="297">
        <f>'DS Velké Meziříčí'!J53</f>
        <v>300</v>
      </c>
      <c r="M51" s="298">
        <f t="shared" si="2"/>
        <v>9486</v>
      </c>
      <c r="N51" s="299">
        <f>'ÚSP Lidmaň'!J53</f>
        <v>449</v>
      </c>
      <c r="O51" s="299">
        <f>'Domov ve Zboží'!J53</f>
        <v>575</v>
      </c>
      <c r="P51" s="297">
        <f>'Domov bez zámku'!J53</f>
        <v>105</v>
      </c>
      <c r="Q51" s="297">
        <f>'Domov ve Věži'!J53</f>
        <v>900</v>
      </c>
      <c r="R51" s="300">
        <f>'ÚSP Křižanov'!J53</f>
        <v>720</v>
      </c>
      <c r="S51" s="297">
        <f>'Domov Jeřabina'!J53</f>
        <v>370</v>
      </c>
      <c r="T51" s="297">
        <f>'ÚSP Nové Syrovice'!J53</f>
        <v>256</v>
      </c>
      <c r="U51" s="297">
        <f>'Domov Háj'!J53</f>
        <v>430</v>
      </c>
      <c r="V51" s="297">
        <f>'Psych.Jihl.'!J53</f>
        <v>73</v>
      </c>
      <c r="W51" s="298">
        <f t="shared" si="3"/>
        <v>3805</v>
      </c>
      <c r="X51" s="308">
        <f t="shared" si="4"/>
        <v>13364</v>
      </c>
    </row>
    <row r="52" spans="1:24" ht="20.25" customHeight="1">
      <c r="A52" s="264" t="s">
        <v>63</v>
      </c>
      <c r="B52" s="307">
        <f>'DS Havlíčkův Brod'!J54</f>
        <v>400</v>
      </c>
      <c r="C52" s="297">
        <f>'DD Ždírec'!J54</f>
        <v>50</v>
      </c>
      <c r="D52" s="297">
        <f>'DD Onšov'!J54</f>
        <v>0</v>
      </c>
      <c r="E52" s="297">
        <f>'DD Proseč Obořiště'!J54</f>
        <v>250</v>
      </c>
      <c r="F52" s="297">
        <f>'DD Proseč u Pošné'!J54</f>
        <v>200</v>
      </c>
      <c r="G52" s="297">
        <f>'DD Humpolec'!J54</f>
        <v>561</v>
      </c>
      <c r="H52" s="297">
        <f>'DS Třebíč Koutkova'!J54</f>
        <v>150</v>
      </c>
      <c r="I52" s="297">
        <f>'DS M.Curierových'!J54</f>
        <v>3100</v>
      </c>
      <c r="J52" s="297">
        <f>'DS Náměšť nad Os'!J54</f>
        <v>295</v>
      </c>
      <c r="K52" s="297">
        <f>'DS Mitrov'!J54</f>
        <v>1384</v>
      </c>
      <c r="L52" s="297">
        <f>'DS Velké Meziříčí'!J54</f>
        <v>110</v>
      </c>
      <c r="M52" s="298">
        <f t="shared" si="2"/>
        <v>6500</v>
      </c>
      <c r="N52" s="299">
        <f>'ÚSP Lidmaň'!J54</f>
        <v>99</v>
      </c>
      <c r="O52" s="299">
        <f>'Domov ve Zboží'!J54</f>
        <v>410</v>
      </c>
      <c r="P52" s="297">
        <f>'Domov bez zámku'!J54</f>
        <v>0</v>
      </c>
      <c r="Q52" s="297">
        <f>'Domov ve Věži'!J54</f>
        <v>500</v>
      </c>
      <c r="R52" s="300">
        <f>'ÚSP Křižanov'!J54</f>
        <v>430</v>
      </c>
      <c r="S52" s="297">
        <f>'Domov Jeřabina'!J54</f>
        <v>100</v>
      </c>
      <c r="T52" s="297">
        <f>'ÚSP Nové Syrovice'!J54</f>
        <v>80</v>
      </c>
      <c r="U52" s="297">
        <f>'Domov Háj'!J54</f>
        <v>335</v>
      </c>
      <c r="V52" s="297">
        <f>'Psych.Jihl.'!J54</f>
        <v>33</v>
      </c>
      <c r="W52" s="298">
        <f t="shared" si="3"/>
        <v>1954</v>
      </c>
      <c r="X52" s="308">
        <f t="shared" si="4"/>
        <v>8487</v>
      </c>
    </row>
    <row r="53" spans="1:24" ht="20.25" customHeight="1">
      <c r="A53" s="264" t="s">
        <v>169</v>
      </c>
      <c r="B53" s="307">
        <f>'DS Havlíčkův Brod'!J55</f>
        <v>500</v>
      </c>
      <c r="C53" s="297">
        <f>'DD Ždírec'!J55</f>
        <v>80</v>
      </c>
      <c r="D53" s="297">
        <f>'DD Onšov'!J55</f>
        <v>0</v>
      </c>
      <c r="E53" s="297">
        <f>'DD Proseč Obořiště'!J55</f>
        <v>135</v>
      </c>
      <c r="F53" s="297">
        <f>'DD Proseč u Pošné'!J55</f>
        <v>120</v>
      </c>
      <c r="G53" s="297">
        <f>'DD Humpolec'!J55</f>
        <v>174</v>
      </c>
      <c r="H53" s="297">
        <f>'DS Třebíč Koutkova'!J55</f>
        <v>415</v>
      </c>
      <c r="I53" s="297">
        <f>'DS M.Curierových'!J55</f>
        <v>215</v>
      </c>
      <c r="J53" s="297">
        <f>'DS Náměšť nad Os'!J55</f>
        <v>235</v>
      </c>
      <c r="K53" s="297">
        <f>'DS Mitrov'!J55</f>
        <v>130</v>
      </c>
      <c r="L53" s="297">
        <f>'DS Velké Meziříčí'!J55</f>
        <v>180</v>
      </c>
      <c r="M53" s="298">
        <f t="shared" si="2"/>
        <v>2184</v>
      </c>
      <c r="N53" s="299">
        <f>'ÚSP Lidmaň'!J55</f>
        <v>200</v>
      </c>
      <c r="O53" s="299">
        <f>'Domov ve Zboží'!J55</f>
        <v>145</v>
      </c>
      <c r="P53" s="297">
        <f>'Domov bez zámku'!J55</f>
        <v>85</v>
      </c>
      <c r="Q53" s="297">
        <f>'Domov ve Věži'!J55</f>
        <v>200</v>
      </c>
      <c r="R53" s="300">
        <f>'ÚSP Křižanov'!J55</f>
        <v>270</v>
      </c>
      <c r="S53" s="297">
        <f>'Domov Jeřabina'!J55</f>
        <v>220</v>
      </c>
      <c r="T53" s="297">
        <f>'ÚSP Nové Syrovice'!J55</f>
        <v>120</v>
      </c>
      <c r="U53" s="297">
        <f>'Domov Háj'!J55</f>
        <v>85</v>
      </c>
      <c r="V53" s="297">
        <f>'Psych.Jihl.'!J55</f>
        <v>30</v>
      </c>
      <c r="W53" s="298">
        <f t="shared" si="3"/>
        <v>1325</v>
      </c>
      <c r="X53" s="308">
        <f t="shared" si="4"/>
        <v>3539</v>
      </c>
    </row>
    <row r="54" spans="1:24" ht="20.25" customHeight="1">
      <c r="A54" s="264" t="s">
        <v>133</v>
      </c>
      <c r="B54" s="307">
        <f>'DS Havlíčkův Brod'!J56</f>
        <v>20</v>
      </c>
      <c r="C54" s="297">
        <f>'DD Ždírec'!J56</f>
        <v>15</v>
      </c>
      <c r="D54" s="297">
        <f>'DD Onšov'!J56</f>
        <v>0</v>
      </c>
      <c r="E54" s="297">
        <f>'DD Proseč Obořiště'!J56</f>
        <v>5</v>
      </c>
      <c r="F54" s="297">
        <f>'DD Proseč u Pošné'!J56</f>
        <v>12</v>
      </c>
      <c r="G54" s="297">
        <f>'DD Humpolec'!J56</f>
        <v>30</v>
      </c>
      <c r="H54" s="297">
        <f>'DS Třebíč Koutkova'!J56</f>
        <v>15</v>
      </c>
      <c r="I54" s="297">
        <f>'DS M.Curierových'!J56</f>
        <v>5</v>
      </c>
      <c r="J54" s="297">
        <f>'DS Náměšť nad Os'!J56</f>
        <v>20</v>
      </c>
      <c r="K54" s="297">
        <f>'DS Mitrov'!J56</f>
        <v>70</v>
      </c>
      <c r="L54" s="297">
        <f>'DS Velké Meziříčí'!J56</f>
        <v>10</v>
      </c>
      <c r="M54" s="298">
        <f t="shared" si="2"/>
        <v>202</v>
      </c>
      <c r="N54" s="299">
        <f>'ÚSP Lidmaň'!J56</f>
        <v>150</v>
      </c>
      <c r="O54" s="299">
        <f>'Domov ve Zboží'!J56</f>
        <v>20</v>
      </c>
      <c r="P54" s="297">
        <f>'Domov bez zámku'!J56</f>
        <v>20</v>
      </c>
      <c r="Q54" s="297">
        <f>'Domov ve Věži'!J56</f>
        <v>200</v>
      </c>
      <c r="R54" s="300">
        <f>'ÚSP Křižanov'!J56</f>
        <v>20</v>
      </c>
      <c r="S54" s="297">
        <f>'Domov Jeřabina'!J56</f>
        <v>50</v>
      </c>
      <c r="T54" s="297">
        <f>'ÚSP Nové Syrovice'!J56</f>
        <v>56</v>
      </c>
      <c r="U54" s="297">
        <f>'Domov Háj'!J56</f>
        <v>10</v>
      </c>
      <c r="V54" s="297">
        <f>'Psych.Jihl.'!J56</f>
        <v>10</v>
      </c>
      <c r="W54" s="298">
        <f t="shared" si="3"/>
        <v>526</v>
      </c>
      <c r="X54" s="308">
        <f t="shared" si="4"/>
        <v>738</v>
      </c>
    </row>
    <row r="55" spans="1:24" ht="20.25" customHeight="1">
      <c r="A55" s="263" t="s">
        <v>64</v>
      </c>
      <c r="B55" s="307">
        <f>'DS Havlíčkův Brod'!J57</f>
        <v>95</v>
      </c>
      <c r="C55" s="297">
        <f>'DD Ždírec'!J57</f>
        <v>140</v>
      </c>
      <c r="D55" s="297">
        <f>'DD Onšov'!J57</f>
        <v>100</v>
      </c>
      <c r="E55" s="297">
        <f>'DD Proseč Obořiště'!J57</f>
        <v>50</v>
      </c>
      <c r="F55" s="297">
        <f>'DD Proseč u Pošné'!J57</f>
        <v>150</v>
      </c>
      <c r="G55" s="297">
        <f>'DD Humpolec'!J57</f>
        <v>150</v>
      </c>
      <c r="H55" s="297">
        <f>'DS Třebíč Koutkova'!J57</f>
        <v>60</v>
      </c>
      <c r="I55" s="297">
        <f>'DS M.Curierových'!J57</f>
        <v>97</v>
      </c>
      <c r="J55" s="297">
        <f>'DS Náměšť nad Os'!J57</f>
        <v>95</v>
      </c>
      <c r="K55" s="297">
        <f>'DS Mitrov'!J57</f>
        <v>100</v>
      </c>
      <c r="L55" s="297">
        <f>'DS Velké Meziříčí'!J57</f>
        <v>80</v>
      </c>
      <c r="M55" s="298">
        <f t="shared" si="2"/>
        <v>1117</v>
      </c>
      <c r="N55" s="299">
        <f>'ÚSP Lidmaň'!J57</f>
        <v>130</v>
      </c>
      <c r="O55" s="299">
        <f>'Domov ve Zboží'!J57</f>
        <v>73</v>
      </c>
      <c r="P55" s="297">
        <f>'Domov bez zámku'!J57</f>
        <v>180</v>
      </c>
      <c r="Q55" s="297">
        <f>'Domov ve Věži'!J57</f>
        <v>35</v>
      </c>
      <c r="R55" s="300">
        <f>'ÚSP Křižanov'!J57</f>
        <v>170</v>
      </c>
      <c r="S55" s="297">
        <f>'Domov Jeřabina'!J57</f>
        <v>130</v>
      </c>
      <c r="T55" s="297">
        <f>'ÚSP Nové Syrovice'!J57</f>
        <v>40</v>
      </c>
      <c r="U55" s="297">
        <f>'Domov Háj'!J57</f>
        <v>50</v>
      </c>
      <c r="V55" s="297">
        <f>'Psych.Jihl.'!J57</f>
        <v>155</v>
      </c>
      <c r="W55" s="298">
        <f t="shared" si="3"/>
        <v>808</v>
      </c>
      <c r="X55" s="308">
        <f t="shared" si="4"/>
        <v>2080</v>
      </c>
    </row>
    <row r="56" spans="1:24" ht="20.25" customHeight="1">
      <c r="A56" s="263" t="s">
        <v>65</v>
      </c>
      <c r="B56" s="307">
        <f>'DS Havlíčkův Brod'!J58</f>
        <v>15</v>
      </c>
      <c r="C56" s="297">
        <f>'DD Ždírec'!J58</f>
        <v>15</v>
      </c>
      <c r="D56" s="297">
        <f>'DD Onšov'!J58</f>
        <v>17</v>
      </c>
      <c r="E56" s="297">
        <f>'DD Proseč Obořiště'!J58</f>
        <v>1</v>
      </c>
      <c r="F56" s="297">
        <f>'DD Proseč u Pošné'!J58</f>
        <v>80</v>
      </c>
      <c r="G56" s="297">
        <f>'DD Humpolec'!J58</f>
        <v>5</v>
      </c>
      <c r="H56" s="297">
        <f>'DS Třebíč Koutkova'!J58</f>
        <v>3</v>
      </c>
      <c r="I56" s="297">
        <f>'DS M.Curierových'!J58</f>
        <v>8</v>
      </c>
      <c r="J56" s="297">
        <f>'DS Náměšť nad Os'!J58</f>
        <v>0</v>
      </c>
      <c r="K56" s="297">
        <f>'DS Mitrov'!J58</f>
        <v>8</v>
      </c>
      <c r="L56" s="297">
        <f>'DS Velké Meziříčí'!J58</f>
        <v>10</v>
      </c>
      <c r="M56" s="298">
        <f t="shared" si="2"/>
        <v>162</v>
      </c>
      <c r="N56" s="299">
        <f>'ÚSP Lidmaň'!J58</f>
        <v>25</v>
      </c>
      <c r="O56" s="299">
        <f>'Domov ve Zboží'!J58</f>
        <v>5</v>
      </c>
      <c r="P56" s="297">
        <f>'Domov bez zámku'!J58</f>
        <v>20</v>
      </c>
      <c r="Q56" s="297">
        <f>'Domov ve Věži'!J58</f>
        <v>4</v>
      </c>
      <c r="R56" s="300">
        <f>'ÚSP Křižanov'!J58</f>
        <v>15</v>
      </c>
      <c r="S56" s="297">
        <f>'Domov Jeřabina'!J58</f>
        <v>80</v>
      </c>
      <c r="T56" s="297">
        <f>'ÚSP Nové Syrovice'!J58</f>
        <v>4</v>
      </c>
      <c r="U56" s="297">
        <f>'Domov Háj'!J58</f>
        <v>7</v>
      </c>
      <c r="V56" s="297">
        <f>'Psych.Jihl.'!J58</f>
        <v>0</v>
      </c>
      <c r="W56" s="298">
        <f t="shared" si="3"/>
        <v>160</v>
      </c>
      <c r="X56" s="308">
        <f t="shared" si="4"/>
        <v>322</v>
      </c>
    </row>
    <row r="57" spans="1:24" ht="20.25" customHeight="1">
      <c r="A57" s="263" t="s">
        <v>66</v>
      </c>
      <c r="B57" s="307">
        <f>'DS Havlíčkův Brod'!J59</f>
        <v>1846</v>
      </c>
      <c r="C57" s="297">
        <f>'DD Ždírec'!J59</f>
        <v>3308</v>
      </c>
      <c r="D57" s="297">
        <f>'DD Onšov'!J59</f>
        <v>490</v>
      </c>
      <c r="E57" s="297">
        <f>'DD Proseč Obořiště'!J59</f>
        <v>605</v>
      </c>
      <c r="F57" s="297">
        <f>'DD Proseč u Pošné'!J59</f>
        <v>1157</v>
      </c>
      <c r="G57" s="297">
        <f>'DD Humpolec'!J59</f>
        <v>2411</v>
      </c>
      <c r="H57" s="297">
        <f>'DS Třebíč Koutkova'!J59</f>
        <v>1120</v>
      </c>
      <c r="I57" s="297">
        <f>'DS M.Curierových'!J59</f>
        <v>1156</v>
      </c>
      <c r="J57" s="297">
        <f>'DS Náměšť nad Os'!J59</f>
        <v>700</v>
      </c>
      <c r="K57" s="297">
        <f>'DS Mitrov'!J59</f>
        <v>1250</v>
      </c>
      <c r="L57" s="297">
        <f>'DS Velké Meziříčí'!J59</f>
        <v>1545</v>
      </c>
      <c r="M57" s="298">
        <f t="shared" si="2"/>
        <v>15588</v>
      </c>
      <c r="N57" s="299">
        <f>'ÚSP Lidmaň'!J59</f>
        <v>1280</v>
      </c>
      <c r="O57" s="299">
        <f>'Domov ve Zboží'!J59</f>
        <v>668</v>
      </c>
      <c r="P57" s="297">
        <f>'Domov bez zámku'!J59</f>
        <v>3740</v>
      </c>
      <c r="Q57" s="297">
        <f>'Domov ve Věži'!J59</f>
        <v>800</v>
      </c>
      <c r="R57" s="300">
        <f>'ÚSP Křižanov'!J59</f>
        <v>2147</v>
      </c>
      <c r="S57" s="297">
        <f>'Domov Jeřabina'!J59</f>
        <v>1942</v>
      </c>
      <c r="T57" s="297">
        <f>'ÚSP Nové Syrovice'!J59</f>
        <v>487</v>
      </c>
      <c r="U57" s="297">
        <f>'Domov Háj'!J59</f>
        <v>4571</v>
      </c>
      <c r="V57" s="297">
        <f>'Psych.Jihl.'!J59</f>
        <v>866</v>
      </c>
      <c r="W57" s="298">
        <f t="shared" si="3"/>
        <v>15635</v>
      </c>
      <c r="X57" s="308">
        <f t="shared" si="4"/>
        <v>32089</v>
      </c>
    </row>
    <row r="58" spans="1:24" ht="20.25" customHeight="1">
      <c r="A58" s="262" t="s">
        <v>67</v>
      </c>
      <c r="B58" s="307">
        <f>'DS Havlíčkův Brod'!J60</f>
        <v>150</v>
      </c>
      <c r="C58" s="297">
        <f>'DD Ždírec'!J60</f>
        <v>68</v>
      </c>
      <c r="D58" s="297">
        <f>'DD Onšov'!J60</f>
        <v>110</v>
      </c>
      <c r="E58" s="297">
        <f>'DD Proseč Obořiště'!J60</f>
        <v>60</v>
      </c>
      <c r="F58" s="297">
        <f>'DD Proseč u Pošné'!J60</f>
        <v>70</v>
      </c>
      <c r="G58" s="297">
        <f>'DD Humpolec'!J60</f>
        <v>115</v>
      </c>
      <c r="H58" s="297">
        <f>'DS Třebíč Koutkova'!J60</f>
        <v>100</v>
      </c>
      <c r="I58" s="297">
        <f>'DS M.Curierových'!J60</f>
        <v>100</v>
      </c>
      <c r="J58" s="297">
        <f>'DS Náměšť nad Os'!J60</f>
        <v>70</v>
      </c>
      <c r="K58" s="297">
        <f>'DS Mitrov'!J60</f>
        <v>75</v>
      </c>
      <c r="L58" s="297">
        <f>'DS Velké Meziříčí'!J60</f>
        <v>65</v>
      </c>
      <c r="M58" s="298">
        <f t="shared" si="2"/>
        <v>983</v>
      </c>
      <c r="N58" s="299">
        <f>'ÚSP Lidmaň'!J60</f>
        <v>140</v>
      </c>
      <c r="O58" s="299">
        <f>'Domov ve Zboží'!J60</f>
        <v>132</v>
      </c>
      <c r="P58" s="297">
        <f>'Domov bez zámku'!J60</f>
        <v>149</v>
      </c>
      <c r="Q58" s="297">
        <f>'Domov ve Věži'!J60</f>
        <v>70</v>
      </c>
      <c r="R58" s="300">
        <f>'ÚSP Křižanov'!J60</f>
        <v>157</v>
      </c>
      <c r="S58" s="297">
        <f>'Domov Jeřabina'!J60</f>
        <v>121</v>
      </c>
      <c r="T58" s="297">
        <f>'ÚSP Nové Syrovice'!J60</f>
        <v>103</v>
      </c>
      <c r="U58" s="297">
        <f>'Domov Háj'!J60</f>
        <v>55</v>
      </c>
      <c r="V58" s="297">
        <f>'Psych.Jihl.'!J60</f>
        <v>161</v>
      </c>
      <c r="W58" s="298">
        <f t="shared" si="3"/>
        <v>927</v>
      </c>
      <c r="X58" s="308">
        <f t="shared" si="4"/>
        <v>2071</v>
      </c>
    </row>
    <row r="59" spans="1:24" ht="20.25" customHeight="1">
      <c r="A59" s="262" t="s">
        <v>68</v>
      </c>
      <c r="B59" s="307">
        <f>'DS Havlíčkův Brod'!J61</f>
        <v>25</v>
      </c>
      <c r="C59" s="297">
        <f>'DD Ždírec'!J61</f>
        <v>0</v>
      </c>
      <c r="D59" s="297">
        <f>'DD Onšov'!J61</f>
        <v>0</v>
      </c>
      <c r="E59" s="297">
        <f>'DD Proseč Obořiště'!J61</f>
        <v>0</v>
      </c>
      <c r="F59" s="297">
        <f>'DD Proseč u Pošné'!J61</f>
        <v>7</v>
      </c>
      <c r="G59" s="297">
        <f>'DD Humpolec'!J61</f>
        <v>46</v>
      </c>
      <c r="H59" s="297">
        <f>'DS Třebíč Koutkova'!J61</f>
        <v>0</v>
      </c>
      <c r="I59" s="297">
        <f>'DS M.Curierových'!J61</f>
        <v>44</v>
      </c>
      <c r="J59" s="297">
        <f>'DS Náměšť nad Os'!J61</f>
        <v>6</v>
      </c>
      <c r="K59" s="297">
        <f>'DS Mitrov'!J61</f>
        <v>0</v>
      </c>
      <c r="L59" s="297">
        <f>'DS Velké Meziříčí'!J61</f>
        <v>0</v>
      </c>
      <c r="M59" s="298">
        <f t="shared" si="2"/>
        <v>128</v>
      </c>
      <c r="N59" s="299">
        <f>'ÚSP Lidmaň'!J61</f>
        <v>90</v>
      </c>
      <c r="O59" s="299">
        <f>'Domov ve Zboží'!J61</f>
        <v>30</v>
      </c>
      <c r="P59" s="297">
        <f>'Domov bez zámku'!J61</f>
        <v>1500</v>
      </c>
      <c r="Q59" s="297">
        <f>'Domov ve Věži'!J61</f>
        <v>4</v>
      </c>
      <c r="R59" s="300">
        <f>'ÚSP Křižanov'!J61</f>
        <v>540</v>
      </c>
      <c r="S59" s="297">
        <f>'Domov Jeřabina'!J61</f>
        <v>20</v>
      </c>
      <c r="T59" s="297">
        <f>'ÚSP Nové Syrovice'!J61</f>
        <v>0</v>
      </c>
      <c r="U59" s="297">
        <f>'Domov Háj'!J61</f>
        <v>10</v>
      </c>
      <c r="V59" s="297">
        <f>'Psych.Jihl.'!J61</f>
        <v>248</v>
      </c>
      <c r="W59" s="298">
        <f t="shared" si="3"/>
        <v>2194</v>
      </c>
      <c r="X59" s="308">
        <f t="shared" si="4"/>
        <v>2570</v>
      </c>
    </row>
    <row r="60" spans="1:24" ht="20.25" customHeight="1">
      <c r="A60" s="262" t="s">
        <v>69</v>
      </c>
      <c r="B60" s="307">
        <f>'DS Havlíčkův Brod'!J62</f>
        <v>0</v>
      </c>
      <c r="C60" s="297">
        <f>'DD Ždírec'!J62</f>
        <v>0</v>
      </c>
      <c r="D60" s="297">
        <f>'DD Onšov'!J62</f>
        <v>0</v>
      </c>
      <c r="E60" s="297">
        <f>'DD Proseč Obořiště'!J62</f>
        <v>0</v>
      </c>
      <c r="F60" s="297">
        <f>'DD Proseč u Pošné'!J62</f>
        <v>0</v>
      </c>
      <c r="G60" s="297">
        <f>'DD Humpolec'!J62</f>
        <v>0</v>
      </c>
      <c r="H60" s="297">
        <f>'DS Třebíč Koutkova'!J62</f>
        <v>0</v>
      </c>
      <c r="I60" s="297">
        <f>'DS M.Curierových'!J62</f>
        <v>0</v>
      </c>
      <c r="J60" s="297">
        <f>'DS Náměšť nad Os'!J62</f>
        <v>0</v>
      </c>
      <c r="K60" s="297">
        <f>'DS Mitrov'!J62</f>
        <v>0</v>
      </c>
      <c r="L60" s="297">
        <f>'DS Velké Meziříčí'!J62</f>
        <v>0</v>
      </c>
      <c r="M60" s="298">
        <f t="shared" si="2"/>
        <v>0</v>
      </c>
      <c r="N60" s="299">
        <f>'ÚSP Lidmaň'!J62</f>
        <v>0</v>
      </c>
      <c r="O60" s="299">
        <f>'Domov ve Zboží'!J62</f>
        <v>0</v>
      </c>
      <c r="P60" s="297">
        <f>'Domov bez zámku'!J62</f>
        <v>0</v>
      </c>
      <c r="Q60" s="297">
        <f>'Domov ve Věži'!J62</f>
        <v>0</v>
      </c>
      <c r="R60" s="300">
        <f>'ÚSP Křižanov'!J62</f>
        <v>0</v>
      </c>
      <c r="S60" s="297">
        <f>'Domov Jeřabina'!J62</f>
        <v>656</v>
      </c>
      <c r="T60" s="297">
        <f>'ÚSP Nové Syrovice'!J62</f>
        <v>0</v>
      </c>
      <c r="U60" s="297">
        <f>'Domov Háj'!J62</f>
        <v>0</v>
      </c>
      <c r="V60" s="297">
        <f>'Psych.Jihl.'!J62</f>
        <v>133</v>
      </c>
      <c r="W60" s="298">
        <f t="shared" si="3"/>
        <v>656</v>
      </c>
      <c r="X60" s="308">
        <f t="shared" si="4"/>
        <v>789</v>
      </c>
    </row>
    <row r="61" spans="1:24" s="11" customFormat="1" ht="20.25" customHeight="1">
      <c r="A61" s="262" t="s">
        <v>70</v>
      </c>
      <c r="B61" s="307">
        <f>'DS Havlíčkův Brod'!J63</f>
        <v>300</v>
      </c>
      <c r="C61" s="297">
        <f>'DD Ždírec'!J63</f>
        <v>360</v>
      </c>
      <c r="D61" s="297">
        <f>'DD Onšov'!J63</f>
        <v>0</v>
      </c>
      <c r="E61" s="297">
        <f>'DD Proseč Obořiště'!J63</f>
        <v>0</v>
      </c>
      <c r="F61" s="297">
        <f>'DD Proseč u Pošné'!J63</f>
        <v>130</v>
      </c>
      <c r="G61" s="297">
        <f>'DD Humpolec'!J63</f>
        <v>1372</v>
      </c>
      <c r="H61" s="297">
        <f>'DS Třebíč Koutkova'!J63</f>
        <v>0</v>
      </c>
      <c r="I61" s="297">
        <f>'DS M.Curierových'!J63</f>
        <v>0</v>
      </c>
      <c r="J61" s="297">
        <f>'DS Náměšť nad Os'!J63</f>
        <v>0</v>
      </c>
      <c r="K61" s="297">
        <f>'DS Mitrov'!J63</f>
        <v>0</v>
      </c>
      <c r="L61" s="297">
        <f>'DS Velké Meziříčí'!J63</f>
        <v>0</v>
      </c>
      <c r="M61" s="298">
        <f t="shared" si="2"/>
        <v>2162</v>
      </c>
      <c r="N61" s="299">
        <f>'ÚSP Lidmaň'!J63</f>
        <v>40</v>
      </c>
      <c r="O61" s="299">
        <f>'Domov ve Zboží'!J63</f>
        <v>0</v>
      </c>
      <c r="P61" s="297">
        <f>'Domov bez zámku'!J63</f>
        <v>250</v>
      </c>
      <c r="Q61" s="297">
        <f>'Domov ve Věži'!J63</f>
        <v>66</v>
      </c>
      <c r="R61" s="300">
        <f>'ÚSP Křižanov'!J63</f>
        <v>0</v>
      </c>
      <c r="S61" s="297">
        <f>'Domov Jeřabina'!J63</f>
        <v>407</v>
      </c>
      <c r="T61" s="297">
        <f>'ÚSP Nové Syrovice'!J63</f>
        <v>0</v>
      </c>
      <c r="U61" s="297">
        <f>'Domov Háj'!J63</f>
        <v>0</v>
      </c>
      <c r="V61" s="297">
        <f>'Psych.Jihl.'!J63</f>
        <v>6</v>
      </c>
      <c r="W61" s="298">
        <f t="shared" si="3"/>
        <v>763</v>
      </c>
      <c r="X61" s="308">
        <f t="shared" si="4"/>
        <v>2931</v>
      </c>
    </row>
    <row r="62" spans="1:24" s="11" customFormat="1" ht="20.25" customHeight="1">
      <c r="A62" s="262" t="s">
        <v>71</v>
      </c>
      <c r="B62" s="307">
        <f>'DS Havlíčkův Brod'!J64</f>
        <v>171</v>
      </c>
      <c r="C62" s="297">
        <f>'DD Ždírec'!J64</f>
        <v>1900</v>
      </c>
      <c r="D62" s="297">
        <f>'DD Onšov'!J64</f>
        <v>0</v>
      </c>
      <c r="E62" s="297">
        <f>'DD Proseč Obořiště'!J64</f>
        <v>0</v>
      </c>
      <c r="F62" s="297">
        <f>'DD Proseč u Pošné'!J64</f>
        <v>0</v>
      </c>
      <c r="G62" s="297">
        <f>'DD Humpolec'!J64</f>
        <v>0</v>
      </c>
      <c r="H62" s="297">
        <f>'DS Třebíč Koutkova'!J64</f>
        <v>0</v>
      </c>
      <c r="I62" s="297">
        <f>'DS M.Curierových'!J64</f>
        <v>0</v>
      </c>
      <c r="J62" s="297">
        <f>'DS Náměšť nad Os'!J64</f>
        <v>0</v>
      </c>
      <c r="K62" s="297">
        <f>'DS Mitrov'!J64</f>
        <v>0</v>
      </c>
      <c r="L62" s="297">
        <f>'DS Velké Meziříčí'!J64</f>
        <v>0</v>
      </c>
      <c r="M62" s="298">
        <f t="shared" si="2"/>
        <v>2071</v>
      </c>
      <c r="N62" s="299">
        <f>'ÚSP Lidmaň'!J64</f>
        <v>270</v>
      </c>
      <c r="O62" s="299">
        <f>'Domov ve Zboží'!J64</f>
        <v>0</v>
      </c>
      <c r="P62" s="297">
        <f>'Domov bez zámku'!J64</f>
        <v>1041</v>
      </c>
      <c r="Q62" s="297">
        <f>'Domov ve Věži'!J64</f>
        <v>0</v>
      </c>
      <c r="R62" s="300">
        <f>'ÚSP Křižanov'!J64</f>
        <v>0</v>
      </c>
      <c r="S62" s="297">
        <f>'Domov Jeřabina'!J64</f>
        <v>0</v>
      </c>
      <c r="T62" s="297">
        <f>'ÚSP Nové Syrovice'!J64</f>
        <v>0</v>
      </c>
      <c r="U62" s="297">
        <f>'Domov Háj'!J64</f>
        <v>4010</v>
      </c>
      <c r="V62" s="297">
        <f>'Psych.Jihl.'!J64</f>
        <v>0</v>
      </c>
      <c r="W62" s="298">
        <f t="shared" si="3"/>
        <v>5321</v>
      </c>
      <c r="X62" s="308">
        <f t="shared" si="4"/>
        <v>7392</v>
      </c>
    </row>
    <row r="63" spans="1:24" s="11" customFormat="1" ht="20.25" customHeight="1">
      <c r="A63" s="262" t="s">
        <v>170</v>
      </c>
      <c r="B63" s="307">
        <f>'DS Havlíčkův Brod'!J65</f>
        <v>200</v>
      </c>
      <c r="C63" s="297">
        <f>'DD Ždírec'!J65</f>
        <v>100</v>
      </c>
      <c r="D63" s="297">
        <f>'DD Onšov'!J65</f>
        <v>50</v>
      </c>
      <c r="E63" s="297">
        <f>'DD Proseč Obořiště'!J65</f>
        <v>65</v>
      </c>
      <c r="F63" s="297">
        <f>'DD Proseč u Pošné'!J65</f>
        <v>100</v>
      </c>
      <c r="G63" s="297">
        <f>'DD Humpolec'!J65</f>
        <v>94</v>
      </c>
      <c r="H63" s="297">
        <f>'DS Třebíč Koutkova'!J65</f>
        <v>220</v>
      </c>
      <c r="I63" s="297">
        <f>'DS M.Curierových'!J65</f>
        <v>263</v>
      </c>
      <c r="J63" s="297">
        <f>'DS Náměšť nad Os'!J65</f>
        <v>90</v>
      </c>
      <c r="K63" s="297">
        <f>'DS Mitrov'!J65</f>
        <v>550</v>
      </c>
      <c r="L63" s="297">
        <f>'DS Velké Meziříčí'!J65</f>
        <v>570</v>
      </c>
      <c r="M63" s="298">
        <f t="shared" si="2"/>
        <v>2302</v>
      </c>
      <c r="N63" s="299">
        <f>'ÚSP Lidmaň'!J65</f>
        <v>90</v>
      </c>
      <c r="O63" s="299">
        <f>'Domov ve Zboží'!J65</f>
        <v>36</v>
      </c>
      <c r="P63" s="297">
        <f>'Domov bez zámku'!J65</f>
        <v>100</v>
      </c>
      <c r="Q63" s="297">
        <f>'Domov ve Věži'!J65</f>
        <v>100</v>
      </c>
      <c r="R63" s="300">
        <f>'ÚSP Křižanov'!J65</f>
        <v>400</v>
      </c>
      <c r="S63" s="297">
        <f>'Domov Jeřabina'!J65</f>
        <v>50</v>
      </c>
      <c r="T63" s="297">
        <f>'ÚSP Nové Syrovice'!J65</f>
        <v>62</v>
      </c>
      <c r="U63" s="297">
        <f>'Domov Háj'!J65</f>
        <v>80</v>
      </c>
      <c r="V63" s="297">
        <f>'Psych.Jihl.'!J65</f>
        <v>8</v>
      </c>
      <c r="W63" s="298">
        <f t="shared" si="3"/>
        <v>918</v>
      </c>
      <c r="X63" s="308">
        <f t="shared" si="4"/>
        <v>3228</v>
      </c>
    </row>
    <row r="64" spans="1:24" s="11" customFormat="1" ht="20.25" customHeight="1">
      <c r="A64" s="262" t="s">
        <v>72</v>
      </c>
      <c r="B64" s="307">
        <f>'DS Havlíčkův Brod'!J66</f>
        <v>150</v>
      </c>
      <c r="C64" s="297">
        <f>'DD Ždírec'!J66</f>
        <v>150</v>
      </c>
      <c r="D64" s="297">
        <f>'DD Onšov'!J66</f>
        <v>90</v>
      </c>
      <c r="E64" s="297">
        <f>'DD Proseč Obořiště'!J66</f>
        <v>80</v>
      </c>
      <c r="F64" s="297">
        <f>'DD Proseč u Pošné'!J66</f>
        <v>50</v>
      </c>
      <c r="G64" s="297">
        <f>'DD Humpolec'!J66</f>
        <v>250</v>
      </c>
      <c r="H64" s="297">
        <f>'DS Třebíč Koutkova'!J66</f>
        <v>150</v>
      </c>
      <c r="I64" s="297">
        <f>'DS M.Curierových'!J66</f>
        <v>289</v>
      </c>
      <c r="J64" s="297">
        <f>'DS Náměšť nad Os'!J66</f>
        <v>330</v>
      </c>
      <c r="K64" s="297">
        <f>'DS Mitrov'!J66</f>
        <v>195</v>
      </c>
      <c r="L64" s="297">
        <f>'DS Velké Meziříčí'!J66</f>
        <v>340</v>
      </c>
      <c r="M64" s="298">
        <f t="shared" si="2"/>
        <v>2074</v>
      </c>
      <c r="N64" s="299">
        <f>'ÚSP Lidmaň'!J66</f>
        <v>200</v>
      </c>
      <c r="O64" s="299">
        <f>'Domov ve Zboží'!J66</f>
        <v>135</v>
      </c>
      <c r="P64" s="297">
        <f>'Domov bez zámku'!J66</f>
        <v>120</v>
      </c>
      <c r="Q64" s="297">
        <f>'Domov ve Věži'!J66</f>
        <v>150</v>
      </c>
      <c r="R64" s="300">
        <f>'ÚSP Křižanov'!J66</f>
        <v>200</v>
      </c>
      <c r="S64" s="297">
        <f>'Domov Jeřabina'!J66</f>
        <v>128</v>
      </c>
      <c r="T64" s="297">
        <f>'ÚSP Nové Syrovice'!J66</f>
        <v>54</v>
      </c>
      <c r="U64" s="297">
        <f>'Domov Háj'!J66</f>
        <v>187</v>
      </c>
      <c r="V64" s="297">
        <f>'Psych.Jihl.'!J66</f>
        <v>10</v>
      </c>
      <c r="W64" s="298">
        <f t="shared" si="3"/>
        <v>1174</v>
      </c>
      <c r="X64" s="308">
        <f t="shared" si="4"/>
        <v>3258</v>
      </c>
    </row>
    <row r="65" spans="1:24" s="11" customFormat="1" ht="20.25" customHeight="1">
      <c r="A65" s="262" t="s">
        <v>73</v>
      </c>
      <c r="B65" s="307">
        <f>'DS Havlíčkův Brod'!J67</f>
        <v>850</v>
      </c>
      <c r="C65" s="297">
        <f>'DD Ždírec'!J67</f>
        <v>730</v>
      </c>
      <c r="D65" s="297">
        <f>'DD Onšov'!J67</f>
        <v>185</v>
      </c>
      <c r="E65" s="297">
        <f>'DD Proseč Obořiště'!J67</f>
        <v>400</v>
      </c>
      <c r="F65" s="297">
        <f>'DD Proseč u Pošné'!J67</f>
        <v>800</v>
      </c>
      <c r="G65" s="297">
        <f>'DD Humpolec'!J67</f>
        <v>534</v>
      </c>
      <c r="H65" s="297">
        <f>'DS Třebíč Koutkova'!J67</f>
        <v>650</v>
      </c>
      <c r="I65" s="297">
        <f>'DS M.Curierových'!J67</f>
        <v>460</v>
      </c>
      <c r="J65" s="297">
        <f>'DS Náměšť nad Os'!J67</f>
        <v>204</v>
      </c>
      <c r="K65" s="297">
        <f>'DS Mitrov'!J67</f>
        <v>420</v>
      </c>
      <c r="L65" s="297">
        <f>'DS Velké Meziříčí'!J67</f>
        <v>570</v>
      </c>
      <c r="M65" s="298">
        <f t="shared" si="2"/>
        <v>5803</v>
      </c>
      <c r="N65" s="299">
        <f>'ÚSP Lidmaň'!J67</f>
        <v>425</v>
      </c>
      <c r="O65" s="299">
        <f>'Domov ve Zboží'!J67</f>
        <v>335</v>
      </c>
      <c r="P65" s="297">
        <f>'Domov bez zámku'!J67</f>
        <v>580</v>
      </c>
      <c r="Q65" s="297">
        <f>'Domov ve Věži'!J67</f>
        <v>410</v>
      </c>
      <c r="R65" s="300">
        <f>'ÚSP Křižanov'!J67</f>
        <v>840</v>
      </c>
      <c r="S65" s="297">
        <f>'Domov Jeřabina'!J67</f>
        <v>560</v>
      </c>
      <c r="T65" s="297">
        <f>'ÚSP Nové Syrovice'!J67</f>
        <v>268</v>
      </c>
      <c r="U65" s="297">
        <f>'Domov Háj'!J67</f>
        <v>229</v>
      </c>
      <c r="V65" s="297">
        <f>'Psych.Jihl.'!J67</f>
        <v>300</v>
      </c>
      <c r="W65" s="298">
        <f t="shared" si="3"/>
        <v>3647</v>
      </c>
      <c r="X65" s="308">
        <f t="shared" si="4"/>
        <v>9750</v>
      </c>
    </row>
    <row r="66" spans="1:24" s="11" customFormat="1" ht="20.25" customHeight="1">
      <c r="A66" s="262" t="s">
        <v>171</v>
      </c>
      <c r="B66" s="307">
        <f>'DS Havlíčkův Brod'!J68</f>
        <v>0</v>
      </c>
      <c r="C66" s="297">
        <f>'DD Ždírec'!J68</f>
        <v>0</v>
      </c>
      <c r="D66" s="297">
        <f>'DD Onšov'!J68</f>
        <v>0</v>
      </c>
      <c r="E66" s="297">
        <f>'DD Proseč Obořiště'!J68</f>
        <v>0</v>
      </c>
      <c r="F66" s="297">
        <f>'DD Proseč u Pošné'!J68</f>
        <v>0</v>
      </c>
      <c r="G66" s="297">
        <f>'DD Humpolec'!J68</f>
        <v>0</v>
      </c>
      <c r="H66" s="297">
        <f>'DS Třebíč Koutkova'!J68</f>
        <v>0</v>
      </c>
      <c r="I66" s="297">
        <f>'DS M.Curierových'!J68</f>
        <v>0</v>
      </c>
      <c r="J66" s="297">
        <f>'DS Náměšť nad Os'!J68</f>
        <v>0</v>
      </c>
      <c r="K66" s="297">
        <f>'DS Mitrov'!J68</f>
        <v>10</v>
      </c>
      <c r="L66" s="297">
        <f>'DS Velké Meziříčí'!J68</f>
        <v>0</v>
      </c>
      <c r="M66" s="298">
        <f t="shared" si="2"/>
        <v>10</v>
      </c>
      <c r="N66" s="299">
        <f>'ÚSP Lidmaň'!J68</f>
        <v>25</v>
      </c>
      <c r="O66" s="299">
        <f>'Domov ve Zboží'!J68</f>
        <v>0</v>
      </c>
      <c r="P66" s="297">
        <f>'Domov bez zámku'!J68</f>
        <v>0</v>
      </c>
      <c r="Q66" s="297">
        <f>'Domov ve Věži'!J68</f>
        <v>0</v>
      </c>
      <c r="R66" s="300">
        <f>'ÚSP Křižanov'!J68</f>
        <v>10</v>
      </c>
      <c r="S66" s="297">
        <f>'Domov Jeřabina'!J68</f>
        <v>0</v>
      </c>
      <c r="T66" s="297">
        <f>'ÚSP Nové Syrovice'!J68</f>
        <v>0</v>
      </c>
      <c r="U66" s="297">
        <f>'Domov Háj'!J68</f>
        <v>0</v>
      </c>
      <c r="V66" s="297">
        <f>'Psych.Jihl.'!J68</f>
        <v>0</v>
      </c>
      <c r="W66" s="298">
        <f t="shared" si="3"/>
        <v>35</v>
      </c>
      <c r="X66" s="308">
        <f t="shared" si="4"/>
        <v>45</v>
      </c>
    </row>
    <row r="67" spans="1:24" s="11" customFormat="1" ht="20.25" customHeight="1">
      <c r="A67" s="263" t="s">
        <v>74</v>
      </c>
      <c r="B67" s="307">
        <f>'DS Havlíčkův Brod'!J69</f>
        <v>18956</v>
      </c>
      <c r="C67" s="297">
        <f>'DD Ždírec'!J69</f>
        <v>23556.2</v>
      </c>
      <c r="D67" s="297">
        <f>'DD Onšov'!J69</f>
        <v>6500</v>
      </c>
      <c r="E67" s="297">
        <f>'DD Proseč Obořiště'!J69</f>
        <v>11221</v>
      </c>
      <c r="F67" s="297">
        <f>'DD Proseč u Pošné'!J69</f>
        <v>15610</v>
      </c>
      <c r="G67" s="297">
        <f>'DD Humpolec'!J69</f>
        <v>32401</v>
      </c>
      <c r="H67" s="297">
        <f>'DS Třebíč Koutkova'!J69</f>
        <v>29081</v>
      </c>
      <c r="I67" s="297">
        <f>'DS M.Curierových'!J69</f>
        <v>31849</v>
      </c>
      <c r="J67" s="297">
        <f>'DS Náměšť nad Os'!J69</f>
        <v>16679</v>
      </c>
      <c r="K67" s="297">
        <f>'DS Mitrov'!J69</f>
        <v>25378</v>
      </c>
      <c r="L67" s="297">
        <f>'DS Velké Meziříčí'!J69</f>
        <v>21472</v>
      </c>
      <c r="M67" s="298">
        <f t="shared" si="2"/>
        <v>232703.2</v>
      </c>
      <c r="N67" s="299">
        <f>'ÚSP Lidmaň'!J69</f>
        <v>18731</v>
      </c>
      <c r="O67" s="299">
        <f>'Domov ve Zboží'!J69</f>
        <v>13914</v>
      </c>
      <c r="P67" s="297">
        <f>'Domov bez zámku'!J69</f>
        <v>20265</v>
      </c>
      <c r="Q67" s="297">
        <f>'Domov ve Věži'!J69</f>
        <v>14912</v>
      </c>
      <c r="R67" s="300">
        <f>'ÚSP Křižanov'!J69</f>
        <v>31935</v>
      </c>
      <c r="S67" s="297">
        <f>'Domov Jeřabina'!J69</f>
        <v>18580</v>
      </c>
      <c r="T67" s="297">
        <f>'ÚSP Nové Syrovice'!J69</f>
        <v>17200</v>
      </c>
      <c r="U67" s="297">
        <f>'Domov Háj'!J69</f>
        <v>15668</v>
      </c>
      <c r="V67" s="297">
        <f>'Psych.Jihl.'!J69</f>
        <v>8604</v>
      </c>
      <c r="W67" s="298">
        <f t="shared" si="3"/>
        <v>151205</v>
      </c>
      <c r="X67" s="308">
        <f t="shared" si="4"/>
        <v>392512.2</v>
      </c>
    </row>
    <row r="68" spans="1:24" s="11" customFormat="1" ht="20.25" customHeight="1">
      <c r="A68" s="262" t="s">
        <v>75</v>
      </c>
      <c r="B68" s="307">
        <f>'DS Havlíčkův Brod'!J70</f>
        <v>14262</v>
      </c>
      <c r="C68" s="297">
        <f>'DD Ždírec'!J70</f>
        <v>17430</v>
      </c>
      <c r="D68" s="297">
        <f>'DD Onšov'!J70</f>
        <v>4700</v>
      </c>
      <c r="E68" s="297">
        <f>'DD Proseč Obořiště'!J70</f>
        <v>8209</v>
      </c>
      <c r="F68" s="297">
        <f>'DD Proseč u Pošné'!J70</f>
        <v>11520</v>
      </c>
      <c r="G68" s="297">
        <f>'DD Humpolec'!J70</f>
        <v>23765</v>
      </c>
      <c r="H68" s="297">
        <f>'DS Třebíč Koutkova'!J70</f>
        <v>21381</v>
      </c>
      <c r="I68" s="297">
        <f>'DS M.Curierových'!J70</f>
        <v>23340</v>
      </c>
      <c r="J68" s="297">
        <f>'DS Náměšť nad Os'!J70</f>
        <v>12100</v>
      </c>
      <c r="K68" s="297">
        <f>'DS Mitrov'!J70</f>
        <v>18728</v>
      </c>
      <c r="L68" s="297">
        <f>'DS Velké Meziříčí'!J70</f>
        <v>15622</v>
      </c>
      <c r="M68" s="298">
        <f t="shared" si="2"/>
        <v>171057</v>
      </c>
      <c r="N68" s="299">
        <f>'ÚSP Lidmaň'!J70</f>
        <v>13737</v>
      </c>
      <c r="O68" s="299">
        <f>'Domov ve Zboží'!J70</f>
        <v>10144</v>
      </c>
      <c r="P68" s="297">
        <f>'Domov bez zámku'!J70</f>
        <v>15250</v>
      </c>
      <c r="Q68" s="297">
        <f>'Domov ve Věži'!J70</f>
        <v>10870</v>
      </c>
      <c r="R68" s="300">
        <f>'ÚSP Křižanov'!J70</f>
        <v>23418</v>
      </c>
      <c r="S68" s="297">
        <f>'Domov Jeřabina'!J70</f>
        <v>13530</v>
      </c>
      <c r="T68" s="297">
        <f>'ÚSP Nové Syrovice'!J70</f>
        <v>12620</v>
      </c>
      <c r="U68" s="297">
        <f>'Domov Háj'!J70</f>
        <v>11373</v>
      </c>
      <c r="V68" s="297">
        <f>'Psych.Jihl.'!J70</f>
        <v>6213</v>
      </c>
      <c r="W68" s="298">
        <f t="shared" si="3"/>
        <v>110942</v>
      </c>
      <c r="X68" s="308">
        <f t="shared" si="4"/>
        <v>288212</v>
      </c>
    </row>
    <row r="69" spans="1:24" s="11" customFormat="1" ht="20.25" customHeight="1">
      <c r="A69" s="262" t="s">
        <v>76</v>
      </c>
      <c r="B69" s="307">
        <f>'DS Havlíčkův Brod'!J71</f>
        <v>13574</v>
      </c>
      <c r="C69" s="297">
        <f>'DD Ždírec'!J71</f>
        <v>17430</v>
      </c>
      <c r="D69" s="297">
        <f>'DD Onšov'!J71</f>
        <v>4700</v>
      </c>
      <c r="E69" s="297">
        <f>'DD Proseč Obořiště'!J71</f>
        <v>8140</v>
      </c>
      <c r="F69" s="297">
        <f>'DD Proseč u Pošné'!J71</f>
        <v>11390</v>
      </c>
      <c r="G69" s="297">
        <f>'DD Humpolec'!J71</f>
        <v>23656</v>
      </c>
      <c r="H69" s="297">
        <f>'DS Třebíč Koutkova'!J71</f>
        <v>21181</v>
      </c>
      <c r="I69" s="297">
        <f>'DS M.Curierových'!J71</f>
        <v>23190</v>
      </c>
      <c r="J69" s="297">
        <f>'DS Náměšť nad Os'!J71</f>
        <v>11950</v>
      </c>
      <c r="K69" s="297">
        <f>'DS Mitrov'!J71</f>
        <v>18600</v>
      </c>
      <c r="L69" s="297">
        <f>'DS Velké Meziříčí'!J71</f>
        <v>15402</v>
      </c>
      <c r="M69" s="298">
        <f t="shared" si="2"/>
        <v>169213</v>
      </c>
      <c r="N69" s="299">
        <f>'ÚSP Lidmaň'!J71</f>
        <v>13437</v>
      </c>
      <c r="O69" s="299">
        <f>'Domov ve Zboží'!J71</f>
        <v>10104</v>
      </c>
      <c r="P69" s="297">
        <f>'Domov bez zámku'!J71</f>
        <v>15000</v>
      </c>
      <c r="Q69" s="297">
        <f>'Domov ve Věži'!J71</f>
        <v>10570</v>
      </c>
      <c r="R69" s="300">
        <f>'ÚSP Křižanov'!J71</f>
        <v>23218</v>
      </c>
      <c r="S69" s="297">
        <f>'Domov Jeřabina'!J71</f>
        <v>13120</v>
      </c>
      <c r="T69" s="297">
        <f>'ÚSP Nové Syrovice'!J71</f>
        <v>12540</v>
      </c>
      <c r="U69" s="297">
        <f>'Domov Háj'!J71</f>
        <v>11238</v>
      </c>
      <c r="V69" s="297">
        <f>'Psych.Jihl.'!J71</f>
        <v>5883</v>
      </c>
      <c r="W69" s="298">
        <f aca="true" t="shared" si="5" ref="W69:W90">SUM(N69:U69)</f>
        <v>109227</v>
      </c>
      <c r="X69" s="308">
        <f aca="true" t="shared" si="6" ref="X69:X90">M69+V69+W69</f>
        <v>284323</v>
      </c>
    </row>
    <row r="70" spans="1:24" s="11" customFormat="1" ht="20.25" customHeight="1">
      <c r="A70" s="262" t="s">
        <v>172</v>
      </c>
      <c r="B70" s="307">
        <f>'DS Havlíčkův Brod'!J72</f>
        <v>13363</v>
      </c>
      <c r="C70" s="297">
        <f>'DD Ždírec'!J72</f>
        <v>17430</v>
      </c>
      <c r="D70" s="297">
        <f>'DD Onšov'!J72</f>
        <v>4700</v>
      </c>
      <c r="E70" s="297">
        <f>'DD Proseč Obořiště'!J72</f>
        <v>8114</v>
      </c>
      <c r="F70" s="297">
        <f>'DD Proseč u Pošné'!J72</f>
        <v>11250</v>
      </c>
      <c r="G70" s="297">
        <f>'DD Humpolec'!J72</f>
        <v>23590</v>
      </c>
      <c r="H70" s="297">
        <f>'DS Třebíč Koutkova'!J72</f>
        <v>21061</v>
      </c>
      <c r="I70" s="297">
        <f>'DS M.Curierových'!J72</f>
        <v>23050</v>
      </c>
      <c r="J70" s="297">
        <f>'DS Náměšť nad Os'!J72</f>
        <v>11825</v>
      </c>
      <c r="K70" s="297">
        <f>'DS Mitrov'!J72</f>
        <v>18458</v>
      </c>
      <c r="L70" s="297">
        <f>'DS Velké Meziříčí'!J72</f>
        <v>15302</v>
      </c>
      <c r="M70" s="298">
        <f aca="true" t="shared" si="7" ref="M70:M90">SUM(B70:L70)</f>
        <v>168143</v>
      </c>
      <c r="N70" s="299">
        <f>'ÚSP Lidmaň'!J72</f>
        <v>13337</v>
      </c>
      <c r="O70" s="299">
        <f>'Domov ve Zboží'!J72</f>
        <v>10056</v>
      </c>
      <c r="P70" s="297">
        <f>'Domov bez zámku'!J72</f>
        <v>14750</v>
      </c>
      <c r="Q70" s="297">
        <f>'Domov ve Věži'!J72</f>
        <v>10532</v>
      </c>
      <c r="R70" s="300">
        <f>'ÚSP Křižanov'!J72</f>
        <v>23088</v>
      </c>
      <c r="S70" s="297">
        <f>'Domov Jeřabina'!J72</f>
        <v>13120</v>
      </c>
      <c r="T70" s="297">
        <f>'ÚSP Nové Syrovice'!J72</f>
        <v>12500</v>
      </c>
      <c r="U70" s="297">
        <f>'Domov Háj'!J72</f>
        <v>11203</v>
      </c>
      <c r="V70" s="297">
        <f>'Psych.Jihl.'!J72</f>
        <v>5883</v>
      </c>
      <c r="W70" s="298">
        <f t="shared" si="5"/>
        <v>108586</v>
      </c>
      <c r="X70" s="308">
        <f t="shared" si="6"/>
        <v>282612</v>
      </c>
    </row>
    <row r="71" spans="1:24" s="11" customFormat="1" ht="20.25" customHeight="1">
      <c r="A71" s="262" t="s">
        <v>77</v>
      </c>
      <c r="B71" s="307">
        <f>'DS Havlíčkův Brod'!J73</f>
        <v>688</v>
      </c>
      <c r="C71" s="297">
        <f>'DD Ždírec'!J73</f>
        <v>200</v>
      </c>
      <c r="D71" s="297">
        <f>'DD Onšov'!J73</f>
        <v>100</v>
      </c>
      <c r="E71" s="297">
        <f>'DD Proseč Obořiště'!J73</f>
        <v>50</v>
      </c>
      <c r="F71" s="297">
        <f>'DD Proseč u Pošné'!J73</f>
        <v>130</v>
      </c>
      <c r="G71" s="297">
        <f>'DD Humpolec'!J73</f>
        <v>109</v>
      </c>
      <c r="H71" s="297">
        <f>'DS Třebíč Koutkova'!J73</f>
        <v>200</v>
      </c>
      <c r="I71" s="297">
        <f>'DS M.Curierových'!J73</f>
        <v>150</v>
      </c>
      <c r="J71" s="297">
        <f>'DS Náměšť nad Os'!J73</f>
        <v>150</v>
      </c>
      <c r="K71" s="297">
        <f>'DS Mitrov'!J73</f>
        <v>100</v>
      </c>
      <c r="L71" s="297">
        <f>'DS Velké Meziříčí'!J73</f>
        <v>220</v>
      </c>
      <c r="M71" s="298">
        <f t="shared" si="7"/>
        <v>2097</v>
      </c>
      <c r="N71" s="299">
        <f>'ÚSP Lidmaň'!J73</f>
        <v>300</v>
      </c>
      <c r="O71" s="299">
        <f>'Domov ve Zboží'!J73</f>
        <v>40</v>
      </c>
      <c r="P71" s="297">
        <f>'Domov bez zámku'!J73</f>
        <v>250</v>
      </c>
      <c r="Q71" s="297">
        <f>'Domov ve Věži'!J73</f>
        <v>300</v>
      </c>
      <c r="R71" s="300">
        <f>'ÚSP Křižanov'!J73</f>
        <v>200</v>
      </c>
      <c r="S71" s="297">
        <f>'Domov Jeřabina'!J73</f>
        <v>410</v>
      </c>
      <c r="T71" s="297">
        <f>'ÚSP Nové Syrovice'!J73</f>
        <v>80</v>
      </c>
      <c r="U71" s="297">
        <f>'Domov Háj'!J73</f>
        <v>135</v>
      </c>
      <c r="V71" s="297">
        <f>'Psych.Jihl.'!J73</f>
        <v>330</v>
      </c>
      <c r="W71" s="298">
        <f t="shared" si="5"/>
        <v>1715</v>
      </c>
      <c r="X71" s="308">
        <f t="shared" si="6"/>
        <v>4142</v>
      </c>
    </row>
    <row r="72" spans="1:24" s="11" customFormat="1" ht="20.25" customHeight="1">
      <c r="A72" s="262" t="s">
        <v>78</v>
      </c>
      <c r="B72" s="307">
        <f>'DS Havlíčkův Brod'!J74</f>
        <v>4694</v>
      </c>
      <c r="C72" s="297">
        <f>'DD Ždírec'!J74</f>
        <v>5926.200000000001</v>
      </c>
      <c r="D72" s="297">
        <f>'DD Onšov'!J74</f>
        <v>1811</v>
      </c>
      <c r="E72" s="297">
        <f>'DD Proseč Obořiště'!J74</f>
        <v>3012</v>
      </c>
      <c r="F72" s="297">
        <f>'DD Proseč u Pošné'!J74</f>
        <v>4090</v>
      </c>
      <c r="G72" s="297">
        <f>'DD Humpolec'!J74</f>
        <v>8636</v>
      </c>
      <c r="H72" s="297">
        <f>'DS Třebíč Koutkova'!J74</f>
        <v>7700</v>
      </c>
      <c r="I72" s="297">
        <f>'DS M.Curierových'!J74</f>
        <v>8509</v>
      </c>
      <c r="J72" s="297">
        <f>'DS Náměšť nad Os'!J74</f>
        <v>4579</v>
      </c>
      <c r="K72" s="297">
        <f>'DS Mitrov'!J74</f>
        <v>6650</v>
      </c>
      <c r="L72" s="297">
        <f>'DS Velké Meziříčí'!J74</f>
        <v>5850</v>
      </c>
      <c r="M72" s="298">
        <f t="shared" si="7"/>
        <v>61457.2</v>
      </c>
      <c r="N72" s="299">
        <f>'ÚSP Lidmaň'!J74</f>
        <v>4994</v>
      </c>
      <c r="O72" s="299">
        <f>'Domov ve Zboží'!J74</f>
        <v>3770</v>
      </c>
      <c r="P72" s="297">
        <f>'Domov bez zámku'!J74</f>
        <v>5015</v>
      </c>
      <c r="Q72" s="297">
        <f>'Domov ve Věži'!J74</f>
        <v>4042</v>
      </c>
      <c r="R72" s="300">
        <f>'ÚSP Křižanov'!J74</f>
        <v>8517</v>
      </c>
      <c r="S72" s="297">
        <f>'Domov Jeřabina'!J74</f>
        <v>5050</v>
      </c>
      <c r="T72" s="297">
        <f>'ÚSP Nové Syrovice'!J74</f>
        <v>4580</v>
      </c>
      <c r="U72" s="297">
        <f>'Domov Háj'!J74</f>
        <v>4295</v>
      </c>
      <c r="V72" s="297">
        <f>'Psych.Jihl.'!J74</f>
        <v>2391</v>
      </c>
      <c r="W72" s="298">
        <f t="shared" si="5"/>
        <v>40263</v>
      </c>
      <c r="X72" s="308">
        <f t="shared" si="6"/>
        <v>104111.2</v>
      </c>
    </row>
    <row r="73" spans="1:24" s="11" customFormat="1" ht="20.25" customHeight="1">
      <c r="A73" s="263" t="s">
        <v>79</v>
      </c>
      <c r="B73" s="307">
        <f>'DS Havlíčkův Brod'!J75</f>
        <v>2</v>
      </c>
      <c r="C73" s="297">
        <f>'DD Ždírec'!J75</f>
        <v>0</v>
      </c>
      <c r="D73" s="297">
        <f>'DD Onšov'!J75</f>
        <v>0</v>
      </c>
      <c r="E73" s="297">
        <f>'DD Proseč Obořiště'!J75</f>
        <v>0</v>
      </c>
      <c r="F73" s="297">
        <f>'DD Proseč u Pošné'!J75</f>
        <v>10</v>
      </c>
      <c r="G73" s="297">
        <f>'DD Humpolec'!J75</f>
        <v>57</v>
      </c>
      <c r="H73" s="297">
        <f>'DS Třebíč Koutkova'!J75</f>
        <v>2</v>
      </c>
      <c r="I73" s="297">
        <f>'DS M.Curierových'!J75</f>
        <v>0</v>
      </c>
      <c r="J73" s="297">
        <f>'DS Náměšť nad Os'!J75</f>
        <v>6</v>
      </c>
      <c r="K73" s="297">
        <f>'DS Mitrov'!J75</f>
        <v>3</v>
      </c>
      <c r="L73" s="297">
        <f>'DS Velké Meziříčí'!J75</f>
        <v>3</v>
      </c>
      <c r="M73" s="298">
        <f t="shared" si="7"/>
        <v>83</v>
      </c>
      <c r="N73" s="299">
        <f>'ÚSP Lidmaň'!J75</f>
        <v>0</v>
      </c>
      <c r="O73" s="299">
        <f>'Domov ve Zboží'!J75</f>
        <v>0</v>
      </c>
      <c r="P73" s="297">
        <f>'Domov bez zámku'!J75</f>
        <v>5</v>
      </c>
      <c r="Q73" s="297">
        <f>'Domov ve Věži'!J75</f>
        <v>5</v>
      </c>
      <c r="R73" s="300">
        <f>'ÚSP Křižanov'!J75</f>
        <v>8</v>
      </c>
      <c r="S73" s="297">
        <f>'Domov Jeřabina'!J75</f>
        <v>10</v>
      </c>
      <c r="T73" s="297">
        <f>'ÚSP Nové Syrovice'!J75</f>
        <v>0</v>
      </c>
      <c r="U73" s="297">
        <f>'Domov Háj'!J75</f>
        <v>2</v>
      </c>
      <c r="V73" s="297">
        <f>'Psych.Jihl.'!J75</f>
        <v>3</v>
      </c>
      <c r="W73" s="298">
        <f t="shared" si="5"/>
        <v>30</v>
      </c>
      <c r="X73" s="308">
        <f t="shared" si="6"/>
        <v>116</v>
      </c>
    </row>
    <row r="74" spans="1:24" s="11" customFormat="1" ht="20.25" customHeight="1">
      <c r="A74" s="262" t="s">
        <v>80</v>
      </c>
      <c r="B74" s="307">
        <f>'DS Havlíčkův Brod'!J76</f>
        <v>0</v>
      </c>
      <c r="C74" s="297">
        <f>'DD Ždírec'!J76</f>
        <v>0</v>
      </c>
      <c r="D74" s="297">
        <f>'DD Onšov'!J76</f>
        <v>0</v>
      </c>
      <c r="E74" s="297">
        <f>'DD Proseč Obořiště'!J76</f>
        <v>0</v>
      </c>
      <c r="F74" s="297">
        <f>'DD Proseč u Pošné'!J76</f>
        <v>0</v>
      </c>
      <c r="G74" s="297">
        <f>'DD Humpolec'!J76</f>
        <v>0</v>
      </c>
      <c r="H74" s="297">
        <f>'DS Třebíč Koutkova'!J76</f>
        <v>0</v>
      </c>
      <c r="I74" s="297">
        <f>'DS M.Curierových'!J76</f>
        <v>0</v>
      </c>
      <c r="J74" s="297">
        <f>'DS Náměšť nad Os'!J76</f>
        <v>0</v>
      </c>
      <c r="K74" s="297">
        <f>'DS Mitrov'!J76</f>
        <v>0</v>
      </c>
      <c r="L74" s="297">
        <f>'DS Velké Meziříčí'!J76</f>
        <v>0</v>
      </c>
      <c r="M74" s="298">
        <f t="shared" si="7"/>
        <v>0</v>
      </c>
      <c r="N74" s="299">
        <f>'ÚSP Lidmaň'!J76</f>
        <v>0</v>
      </c>
      <c r="O74" s="299">
        <f>'Domov ve Zboží'!J76</f>
        <v>0</v>
      </c>
      <c r="P74" s="297">
        <f>'Domov bez zámku'!J76</f>
        <v>0</v>
      </c>
      <c r="Q74" s="297">
        <f>'Domov ve Věži'!J76</f>
        <v>0</v>
      </c>
      <c r="R74" s="300">
        <f>'ÚSP Křižanov'!J76</f>
        <v>0</v>
      </c>
      <c r="S74" s="297">
        <f>'Domov Jeřabina'!J76</f>
        <v>0</v>
      </c>
      <c r="T74" s="297">
        <f>'ÚSP Nové Syrovice'!J76</f>
        <v>0</v>
      </c>
      <c r="U74" s="297">
        <f>'Domov Háj'!J76</f>
        <v>0</v>
      </c>
      <c r="V74" s="297">
        <f>'Psych.Jihl.'!J76</f>
        <v>0</v>
      </c>
      <c r="W74" s="298">
        <f t="shared" si="5"/>
        <v>0</v>
      </c>
      <c r="X74" s="308">
        <f t="shared" si="6"/>
        <v>0</v>
      </c>
    </row>
    <row r="75" spans="1:24" s="11" customFormat="1" ht="20.25" customHeight="1">
      <c r="A75" s="263" t="s">
        <v>81</v>
      </c>
      <c r="B75" s="307">
        <f>'DS Havlíčkův Brod'!J77</f>
        <v>150</v>
      </c>
      <c r="C75" s="297">
        <f>'DD Ždírec'!J77</f>
        <v>100</v>
      </c>
      <c r="D75" s="297">
        <f>'DD Onšov'!J77</f>
        <v>0</v>
      </c>
      <c r="E75" s="297">
        <f>'DD Proseč Obořiště'!J77</f>
        <v>60</v>
      </c>
      <c r="F75" s="297">
        <f>'DD Proseč u Pošné'!J77</f>
        <v>120</v>
      </c>
      <c r="G75" s="297">
        <f>'DD Humpolec'!J77</f>
        <v>79</v>
      </c>
      <c r="H75" s="297">
        <f>'DS Třebíč Koutkova'!J77</f>
        <v>75</v>
      </c>
      <c r="I75" s="297">
        <f>'DS M.Curierových'!J77</f>
        <v>60</v>
      </c>
      <c r="J75" s="297">
        <f>'DS Náměšť nad Os'!J77</f>
        <v>0</v>
      </c>
      <c r="K75" s="297">
        <f>'DS Mitrov'!J77</f>
        <v>71</v>
      </c>
      <c r="L75" s="297">
        <f>'DS Velké Meziříčí'!J77</f>
        <v>53</v>
      </c>
      <c r="M75" s="298">
        <f t="shared" si="7"/>
        <v>768</v>
      </c>
      <c r="N75" s="299">
        <f>'ÚSP Lidmaň'!J77</f>
        <v>72</v>
      </c>
      <c r="O75" s="299">
        <f>'Domov ve Zboží'!J77</f>
        <v>67</v>
      </c>
      <c r="P75" s="297">
        <f>'Domov bez zámku'!J77</f>
        <v>250</v>
      </c>
      <c r="Q75" s="297">
        <f>'Domov ve Věži'!J77</f>
        <v>60</v>
      </c>
      <c r="R75" s="300">
        <f>'ÚSP Křižanov'!J77</f>
        <v>490</v>
      </c>
      <c r="S75" s="297">
        <f>'Domov Jeřabina'!J77</f>
        <v>80</v>
      </c>
      <c r="T75" s="297">
        <f>'ÚSP Nové Syrovice'!J77</f>
        <v>88</v>
      </c>
      <c r="U75" s="297">
        <f>'Domov Háj'!J77</f>
        <v>64</v>
      </c>
      <c r="V75" s="297">
        <f>'Psych.Jihl.'!J77</f>
        <v>50</v>
      </c>
      <c r="W75" s="298">
        <f t="shared" si="5"/>
        <v>1171</v>
      </c>
      <c r="X75" s="308">
        <f t="shared" si="6"/>
        <v>1989</v>
      </c>
    </row>
    <row r="76" spans="1:24" s="11" customFormat="1" ht="20.25" customHeight="1">
      <c r="A76" s="262" t="s">
        <v>82</v>
      </c>
      <c r="B76" s="307">
        <f>'DS Havlíčkův Brod'!J78</f>
        <v>0</v>
      </c>
      <c r="C76" s="297">
        <f>'DD Ždírec'!J78</f>
        <v>0</v>
      </c>
      <c r="D76" s="297">
        <f>'DD Onšov'!J78</f>
        <v>0</v>
      </c>
      <c r="E76" s="297">
        <f>'DD Proseč Obořiště'!J78</f>
        <v>0</v>
      </c>
      <c r="F76" s="297">
        <f>'DD Proseč u Pošné'!J78</f>
        <v>0</v>
      </c>
      <c r="G76" s="297">
        <f>'DD Humpolec'!J78</f>
        <v>0</v>
      </c>
      <c r="H76" s="297">
        <f>'DS Třebíč Koutkova'!J78</f>
        <v>0</v>
      </c>
      <c r="I76" s="297">
        <f>'DS M.Curierových'!J78</f>
        <v>0</v>
      </c>
      <c r="J76" s="297">
        <f>'DS Náměšť nad Os'!J78</f>
        <v>36</v>
      </c>
      <c r="K76" s="297">
        <f>'DS Mitrov'!J78</f>
        <v>0</v>
      </c>
      <c r="L76" s="297">
        <f>'DS Velké Meziříčí'!J78</f>
        <v>0</v>
      </c>
      <c r="M76" s="298">
        <f t="shared" si="7"/>
        <v>36</v>
      </c>
      <c r="N76" s="299">
        <f>'ÚSP Lidmaň'!J78</f>
        <v>0</v>
      </c>
      <c r="O76" s="299">
        <f>'Domov ve Zboží'!J78</f>
        <v>0</v>
      </c>
      <c r="P76" s="297">
        <f>'Domov bez zámku'!J78</f>
        <v>0</v>
      </c>
      <c r="Q76" s="297">
        <f>'Domov ve Věži'!J78</f>
        <v>0</v>
      </c>
      <c r="R76" s="300">
        <f>'ÚSP Křižanov'!J78</f>
        <v>0</v>
      </c>
      <c r="S76" s="297">
        <f>'Domov Jeřabina'!J78</f>
        <v>0</v>
      </c>
      <c r="T76" s="297">
        <f>'ÚSP Nové Syrovice'!J78</f>
        <v>0</v>
      </c>
      <c r="U76" s="297">
        <f>'Domov Háj'!J78</f>
        <v>0</v>
      </c>
      <c r="V76" s="297">
        <f>'Psych.Jihl.'!J78</f>
        <v>0</v>
      </c>
      <c r="W76" s="298">
        <f t="shared" si="5"/>
        <v>0</v>
      </c>
      <c r="X76" s="308">
        <f t="shared" si="6"/>
        <v>36</v>
      </c>
    </row>
    <row r="77" spans="1:24" s="11" customFormat="1" ht="20.25" customHeight="1">
      <c r="A77" s="262" t="s">
        <v>83</v>
      </c>
      <c r="B77" s="307">
        <f>'DS Havlíčkův Brod'!J79</f>
        <v>0</v>
      </c>
      <c r="C77" s="297">
        <f>'DD Ždírec'!J79</f>
        <v>0</v>
      </c>
      <c r="D77" s="297">
        <f>'DD Onšov'!J79</f>
        <v>0</v>
      </c>
      <c r="E77" s="297">
        <f>'DD Proseč Obořiště'!J79</f>
        <v>0</v>
      </c>
      <c r="F77" s="297">
        <f>'DD Proseč u Pošné'!J79</f>
        <v>0</v>
      </c>
      <c r="G77" s="297">
        <f>'DD Humpolec'!J79</f>
        <v>0</v>
      </c>
      <c r="H77" s="297">
        <f>'DS Třebíč Koutkova'!J79</f>
        <v>0</v>
      </c>
      <c r="I77" s="297">
        <f>'DS M.Curierových'!J79</f>
        <v>0</v>
      </c>
      <c r="J77" s="297">
        <f>'DS Náměšť nad Os'!J79</f>
        <v>0</v>
      </c>
      <c r="K77" s="297">
        <f>'DS Mitrov'!J79</f>
        <v>0</v>
      </c>
      <c r="L77" s="297">
        <f>'DS Velké Meziříčí'!J79</f>
        <v>0</v>
      </c>
      <c r="M77" s="298">
        <f t="shared" si="7"/>
        <v>0</v>
      </c>
      <c r="N77" s="299">
        <f>'ÚSP Lidmaň'!J79</f>
        <v>0</v>
      </c>
      <c r="O77" s="299">
        <f>'Domov ve Zboží'!J79</f>
        <v>0</v>
      </c>
      <c r="P77" s="297">
        <f>'Domov bez zámku'!J79</f>
        <v>0</v>
      </c>
      <c r="Q77" s="297">
        <f>'Domov ve Věži'!J79</f>
        <v>0</v>
      </c>
      <c r="R77" s="300">
        <f>'ÚSP Křižanov'!J79</f>
        <v>0</v>
      </c>
      <c r="S77" s="297">
        <f>'Domov Jeřabina'!J79</f>
        <v>0</v>
      </c>
      <c r="T77" s="297">
        <f>'ÚSP Nové Syrovice'!J79</f>
        <v>0</v>
      </c>
      <c r="U77" s="297">
        <f>'Domov Háj'!J79</f>
        <v>0</v>
      </c>
      <c r="V77" s="297">
        <f>'Psych.Jihl.'!J79</f>
        <v>0</v>
      </c>
      <c r="W77" s="298">
        <f t="shared" si="5"/>
        <v>0</v>
      </c>
      <c r="X77" s="308">
        <f t="shared" si="6"/>
        <v>0</v>
      </c>
    </row>
    <row r="78" spans="1:24" s="11" customFormat="1" ht="20.25" customHeight="1">
      <c r="A78" s="263" t="s">
        <v>84</v>
      </c>
      <c r="B78" s="307">
        <f>'DS Havlíčkův Brod'!J80</f>
        <v>2138</v>
      </c>
      <c r="C78" s="297">
        <f>'DD Ždírec'!J80</f>
        <v>4950</v>
      </c>
      <c r="D78" s="297">
        <f>'DD Onšov'!J80</f>
        <v>550</v>
      </c>
      <c r="E78" s="297">
        <f>'DD Proseč Obořiště'!J80</f>
        <v>658</v>
      </c>
      <c r="F78" s="297">
        <f>'DD Proseč u Pošné'!J80</f>
        <v>786</v>
      </c>
      <c r="G78" s="297">
        <f>'DD Humpolec'!J80</f>
        <v>1769</v>
      </c>
      <c r="H78" s="297">
        <f>'DS Třebíč Koutkova'!J80</f>
        <v>1999</v>
      </c>
      <c r="I78" s="297">
        <f>'DS M.Curierových'!J80</f>
        <v>1792</v>
      </c>
      <c r="J78" s="297">
        <f>'DS Náměšť nad Os'!J80</f>
        <v>0</v>
      </c>
      <c r="K78" s="297">
        <f>'DS Mitrov'!J80</f>
        <v>0</v>
      </c>
      <c r="L78" s="297">
        <f>'DS Velké Meziříčí'!J80</f>
        <v>2160</v>
      </c>
      <c r="M78" s="298">
        <f t="shared" si="7"/>
        <v>16802</v>
      </c>
      <c r="N78" s="299">
        <f>'ÚSP Lidmaň'!J80</f>
        <v>1167</v>
      </c>
      <c r="O78" s="299">
        <f>'Domov ve Zboží'!J80</f>
        <v>3258</v>
      </c>
      <c r="P78" s="297">
        <f>'Domov bez zámku'!J80</f>
        <v>1217</v>
      </c>
      <c r="Q78" s="297">
        <f>'Domov ve Věži'!J80</f>
        <v>627</v>
      </c>
      <c r="R78" s="300">
        <f>'ÚSP Křižanov'!J80</f>
        <v>2272</v>
      </c>
      <c r="S78" s="297">
        <f>'Domov Jeřabina'!J80</f>
        <v>1383</v>
      </c>
      <c r="T78" s="297">
        <f>'ÚSP Nové Syrovice'!J80</f>
        <v>1010</v>
      </c>
      <c r="U78" s="297">
        <f>'Domov Háj'!J80</f>
        <v>1246</v>
      </c>
      <c r="V78" s="297">
        <f>'Psych.Jihl.'!J80</f>
        <v>0</v>
      </c>
      <c r="W78" s="298">
        <f t="shared" si="5"/>
        <v>12180</v>
      </c>
      <c r="X78" s="308">
        <f t="shared" si="6"/>
        <v>28982</v>
      </c>
    </row>
    <row r="79" spans="1:24" s="11" customFormat="1" ht="20.25" customHeight="1">
      <c r="A79" s="262" t="s">
        <v>85</v>
      </c>
      <c r="B79" s="307">
        <f>'DS Havlíčkův Brod'!J81</f>
        <v>978</v>
      </c>
      <c r="C79" s="297">
        <f>'DD Ždírec'!J81</f>
        <v>3950</v>
      </c>
      <c r="D79" s="297">
        <f>'DD Onšov'!J81</f>
        <v>450</v>
      </c>
      <c r="E79" s="297">
        <f>'DD Proseč Obořiště'!J81</f>
        <v>458</v>
      </c>
      <c r="F79" s="297">
        <f>'DD Proseč u Pošné'!J81</f>
        <v>536</v>
      </c>
      <c r="G79" s="297">
        <f>'DD Humpolec'!J81</f>
        <v>909</v>
      </c>
      <c r="H79" s="297">
        <f>'DS Třebíč Koutkova'!J81</f>
        <v>1799</v>
      </c>
      <c r="I79" s="297">
        <f>'DS M.Curierových'!J81</f>
        <v>1272</v>
      </c>
      <c r="J79" s="297">
        <f>'DS Náměšť nad Os'!J81</f>
        <v>1227</v>
      </c>
      <c r="K79" s="297">
        <f>'DS Mitrov'!J81</f>
        <v>1179</v>
      </c>
      <c r="L79" s="297">
        <f>'DS Velké Meziříčí'!J81</f>
        <v>2060</v>
      </c>
      <c r="M79" s="298">
        <f t="shared" si="7"/>
        <v>14818</v>
      </c>
      <c r="N79" s="299">
        <f>'ÚSP Lidmaň'!J81</f>
        <v>817</v>
      </c>
      <c r="O79" s="299">
        <f>'Domov ve Zboží'!J81</f>
        <v>3058</v>
      </c>
      <c r="P79" s="297">
        <f>'Domov bez zámku'!J81</f>
        <v>267</v>
      </c>
      <c r="Q79" s="297">
        <f>'Domov ve Věži'!J81</f>
        <v>377</v>
      </c>
      <c r="R79" s="300">
        <f>'ÚSP Křižanov'!J81</f>
        <v>1822</v>
      </c>
      <c r="S79" s="297">
        <f>'Domov Jeřabina'!J81</f>
        <v>1008</v>
      </c>
      <c r="T79" s="297">
        <f>'ÚSP Nové Syrovice'!J81</f>
        <v>685</v>
      </c>
      <c r="U79" s="297">
        <f>'Domov Háj'!J81</f>
        <v>1107</v>
      </c>
      <c r="V79" s="297">
        <f>'Psych.Jihl.'!J81</f>
        <v>129</v>
      </c>
      <c r="W79" s="298">
        <f t="shared" si="5"/>
        <v>9141</v>
      </c>
      <c r="X79" s="308">
        <f t="shared" si="6"/>
        <v>24088</v>
      </c>
    </row>
    <row r="80" spans="1:24" s="11" customFormat="1" ht="20.25" customHeight="1">
      <c r="A80" s="262" t="s">
        <v>86</v>
      </c>
      <c r="B80" s="307">
        <f>'DS Havlíčkův Brod'!J82</f>
        <v>100</v>
      </c>
      <c r="C80" s="297">
        <f>'DD Ždírec'!J82</f>
        <v>0</v>
      </c>
      <c r="D80" s="297">
        <f>'DD Onšov'!J82</f>
        <v>0</v>
      </c>
      <c r="E80" s="297">
        <f>'DD Proseč Obořiště'!J82</f>
        <v>0</v>
      </c>
      <c r="F80" s="297">
        <f>'DD Proseč u Pošné'!J82</f>
        <v>0</v>
      </c>
      <c r="G80" s="297">
        <f>'DD Humpolec'!J82</f>
        <v>0</v>
      </c>
      <c r="H80" s="297">
        <f>'DS Třebíč Koutkova'!J82</f>
        <v>0</v>
      </c>
      <c r="I80" s="297">
        <f>'DS M.Curierových'!J82</f>
        <v>0</v>
      </c>
      <c r="J80" s="297">
        <f>'DS Náměšť nad Os'!J82</f>
        <v>0</v>
      </c>
      <c r="K80" s="297">
        <f>'DS Mitrov'!J82</f>
        <v>100</v>
      </c>
      <c r="L80" s="297">
        <f>'DS Velké Meziříčí'!J82</f>
        <v>0</v>
      </c>
      <c r="M80" s="298">
        <f t="shared" si="7"/>
        <v>200</v>
      </c>
      <c r="N80" s="299">
        <f>'ÚSP Lidmaň'!J82</f>
        <v>0</v>
      </c>
      <c r="O80" s="299">
        <f>'Domov ve Zboží'!J82</f>
        <v>0</v>
      </c>
      <c r="P80" s="297">
        <f>'Domov bez zámku'!J82</f>
        <v>0</v>
      </c>
      <c r="Q80" s="297">
        <f>'Domov ve Věži'!J82</f>
        <v>0</v>
      </c>
      <c r="R80" s="300">
        <f>'ÚSP Křižanov'!J82</f>
        <v>0</v>
      </c>
      <c r="S80" s="297">
        <f>'Domov Jeřabina'!J82</f>
        <v>25</v>
      </c>
      <c r="T80" s="297">
        <f>'ÚSP Nové Syrovice'!J82</f>
        <v>0</v>
      </c>
      <c r="U80" s="297">
        <f>'Domov Háj'!J82</f>
        <v>83</v>
      </c>
      <c r="V80" s="297">
        <f>'Psych.Jihl.'!J82</f>
        <v>0</v>
      </c>
      <c r="W80" s="298">
        <f t="shared" si="5"/>
        <v>108</v>
      </c>
      <c r="X80" s="308">
        <f t="shared" si="6"/>
        <v>308</v>
      </c>
    </row>
    <row r="81" spans="1:24" s="11" customFormat="1" ht="20.25" customHeight="1">
      <c r="A81" s="262" t="s">
        <v>173</v>
      </c>
      <c r="B81" s="307">
        <f>'DS Havlíčkův Brod'!J83</f>
        <v>0</v>
      </c>
      <c r="C81" s="297">
        <f>'DD Ždírec'!J83</f>
        <v>0</v>
      </c>
      <c r="D81" s="297">
        <f>'DD Onšov'!J83</f>
        <v>0</v>
      </c>
      <c r="E81" s="297">
        <f>'DD Proseč Obořiště'!J83</f>
        <v>0</v>
      </c>
      <c r="F81" s="297">
        <f>'DD Proseč u Pošné'!J83</f>
        <v>0</v>
      </c>
      <c r="G81" s="297">
        <f>'DD Humpolec'!J83</f>
        <v>0</v>
      </c>
      <c r="H81" s="297">
        <f>'DS Třebíč Koutkova'!J83</f>
        <v>0</v>
      </c>
      <c r="I81" s="297">
        <f>'DS M.Curierových'!J83</f>
        <v>0</v>
      </c>
      <c r="J81" s="297">
        <f>'DS Náměšť nad Os'!J83</f>
        <v>0</v>
      </c>
      <c r="K81" s="297">
        <f>'DS Mitrov'!J83</f>
        <v>0</v>
      </c>
      <c r="L81" s="297">
        <f>'DS Velké Meziříčí'!J83</f>
        <v>0</v>
      </c>
      <c r="M81" s="298">
        <f t="shared" si="7"/>
        <v>0</v>
      </c>
      <c r="N81" s="299">
        <f>'ÚSP Lidmaň'!J83</f>
        <v>0</v>
      </c>
      <c r="O81" s="299">
        <f>'Domov ve Zboží'!J83</f>
        <v>0</v>
      </c>
      <c r="P81" s="297">
        <f>'Domov bez zámku'!J83</f>
        <v>0</v>
      </c>
      <c r="Q81" s="297">
        <f>'Domov ve Věži'!J83</f>
        <v>0</v>
      </c>
      <c r="R81" s="300">
        <f>'ÚSP Křižanov'!J83</f>
        <v>0</v>
      </c>
      <c r="S81" s="297">
        <f>'Domov Jeřabina'!J83</f>
        <v>0</v>
      </c>
      <c r="T81" s="297">
        <f>'ÚSP Nové Syrovice'!J83</f>
        <v>0</v>
      </c>
      <c r="U81" s="297">
        <f>'Domov Háj'!J83</f>
        <v>6</v>
      </c>
      <c r="V81" s="297">
        <f>'Psych.Jihl.'!J83</f>
        <v>0</v>
      </c>
      <c r="W81" s="298">
        <f t="shared" si="5"/>
        <v>6</v>
      </c>
      <c r="X81" s="308">
        <f t="shared" si="6"/>
        <v>6</v>
      </c>
    </row>
    <row r="82" spans="1:24" s="11" customFormat="1" ht="20.25" customHeight="1">
      <c r="A82" s="262" t="s">
        <v>87</v>
      </c>
      <c r="B82" s="307">
        <f>'DS Havlíčkův Brod'!J84</f>
        <v>1060</v>
      </c>
      <c r="C82" s="297">
        <f>'DD Ždírec'!J84</f>
        <v>500</v>
      </c>
      <c r="D82" s="297">
        <f>'DD Onšov'!J84</f>
        <v>100</v>
      </c>
      <c r="E82" s="297">
        <f>'DD Proseč Obořiště'!J84</f>
        <v>200</v>
      </c>
      <c r="F82" s="297">
        <f>'DD Proseč u Pošné'!J84</f>
        <v>250</v>
      </c>
      <c r="G82" s="297">
        <f>'DD Humpolec'!J84</f>
        <v>860</v>
      </c>
      <c r="H82" s="297">
        <f>'DS Třebíč Koutkova'!J84</f>
        <v>200</v>
      </c>
      <c r="I82" s="297">
        <f>'DS M.Curierových'!J84</f>
        <v>520</v>
      </c>
      <c r="J82" s="297">
        <f>'DS Náměšť nad Os'!J84</f>
        <v>0</v>
      </c>
      <c r="K82" s="297">
        <f>'DS Mitrov'!J84</f>
        <v>400</v>
      </c>
      <c r="L82" s="297">
        <f>'DS Velké Meziříčí'!J84</f>
        <v>100</v>
      </c>
      <c r="M82" s="298">
        <f t="shared" si="7"/>
        <v>4190</v>
      </c>
      <c r="N82" s="299">
        <f>'ÚSP Lidmaň'!J84</f>
        <v>350</v>
      </c>
      <c r="O82" s="299">
        <f>'Domov ve Zboží'!J84</f>
        <v>200</v>
      </c>
      <c r="P82" s="297">
        <f>'Domov bez zámku'!J84</f>
        <v>950</v>
      </c>
      <c r="Q82" s="297">
        <f>'Domov ve Věži'!J84</f>
        <v>250</v>
      </c>
      <c r="R82" s="300">
        <f>'ÚSP Křižanov'!J84</f>
        <v>450</v>
      </c>
      <c r="S82" s="297">
        <f>'Domov Jeřabina'!J84</f>
        <v>350</v>
      </c>
      <c r="T82" s="297">
        <f>'ÚSP Nové Syrovice'!J84</f>
        <v>325</v>
      </c>
      <c r="U82" s="297">
        <f>'Domov Háj'!J84</f>
        <v>50</v>
      </c>
      <c r="V82" s="297">
        <f>'Psych.Jihl.'!J84</f>
        <v>0</v>
      </c>
      <c r="W82" s="298">
        <f t="shared" si="5"/>
        <v>2925</v>
      </c>
      <c r="X82" s="308">
        <f t="shared" si="6"/>
        <v>7115</v>
      </c>
    </row>
    <row r="83" spans="1:24" s="11" customFormat="1" ht="20.25" customHeight="1">
      <c r="A83" s="262" t="s">
        <v>174</v>
      </c>
      <c r="B83" s="307">
        <f>'DS Havlíčkův Brod'!J85</f>
        <v>1000</v>
      </c>
      <c r="C83" s="297">
        <f>'DD Ždírec'!J85</f>
        <v>500</v>
      </c>
      <c r="D83" s="297">
        <f>'DD Onšov'!J85</f>
        <v>100</v>
      </c>
      <c r="E83" s="297">
        <f>'DD Proseč Obořiště'!J85</f>
        <v>200</v>
      </c>
      <c r="F83" s="297">
        <f>'DD Proseč u Pošné'!J85</f>
        <v>150</v>
      </c>
      <c r="G83" s="297">
        <f>'DD Humpolec'!J85</f>
        <v>0</v>
      </c>
      <c r="H83" s="297">
        <f>'DS Třebíč Koutkova'!J85</f>
        <v>200</v>
      </c>
      <c r="I83" s="297">
        <f>'DS M.Curierových'!J85</f>
        <v>520</v>
      </c>
      <c r="J83" s="297">
        <f>'DS Náměšť nad Os'!J85</f>
        <v>300</v>
      </c>
      <c r="K83" s="297">
        <f>'DS Mitrov'!J85</f>
        <v>400</v>
      </c>
      <c r="L83" s="297">
        <f>'DS Velké Meziříčí'!J85</f>
        <v>100</v>
      </c>
      <c r="M83" s="298">
        <f t="shared" si="7"/>
        <v>3470</v>
      </c>
      <c r="N83" s="299">
        <f>'ÚSP Lidmaň'!J85</f>
        <v>350</v>
      </c>
      <c r="O83" s="299">
        <f>'Domov ve Zboží'!J85</f>
        <v>200</v>
      </c>
      <c r="P83" s="297">
        <f>'Domov bez zámku'!J85</f>
        <v>950</v>
      </c>
      <c r="Q83" s="297">
        <f>'Domov ve Věži'!J85</f>
        <v>250</v>
      </c>
      <c r="R83" s="300">
        <f>'ÚSP Křižanov'!J85</f>
        <v>450</v>
      </c>
      <c r="S83" s="297">
        <f>'Domov Jeřabina'!J85</f>
        <v>350</v>
      </c>
      <c r="T83" s="297">
        <f>'ÚSP Nové Syrovice'!J85</f>
        <v>300</v>
      </c>
      <c r="U83" s="297">
        <f>'Domov Háj'!J85</f>
        <v>50</v>
      </c>
      <c r="V83" s="297">
        <f>'Psych.Jihl.'!J85</f>
        <v>347</v>
      </c>
      <c r="W83" s="298">
        <f t="shared" si="5"/>
        <v>2900</v>
      </c>
      <c r="X83" s="308">
        <f t="shared" si="6"/>
        <v>6717</v>
      </c>
    </row>
    <row r="84" spans="1:24" s="11" customFormat="1" ht="20.25" customHeight="1">
      <c r="A84" s="262" t="s">
        <v>175</v>
      </c>
      <c r="B84" s="307">
        <f>'DS Havlíčkův Brod'!J86</f>
        <v>60</v>
      </c>
      <c r="C84" s="297">
        <f>'DD Ždírec'!J86</f>
        <v>0</v>
      </c>
      <c r="D84" s="297">
        <f>'DD Onšov'!J86</f>
        <v>0</v>
      </c>
      <c r="E84" s="297">
        <f>'DD Proseč Obořiště'!J86</f>
        <v>0</v>
      </c>
      <c r="F84" s="297">
        <f>'DD Proseč u Pošné'!J86</f>
        <v>0</v>
      </c>
      <c r="G84" s="297">
        <f>'DD Humpolec'!J86</f>
        <v>0</v>
      </c>
      <c r="H84" s="297">
        <f>'DS Třebíč Koutkova'!J86</f>
        <v>0</v>
      </c>
      <c r="I84" s="297">
        <f>'DS M.Curierových'!J86</f>
        <v>0</v>
      </c>
      <c r="J84" s="297">
        <f>'DS Náměšť nad Os'!J86</f>
        <v>0</v>
      </c>
      <c r="K84" s="297">
        <f>'DS Mitrov'!J86</f>
        <v>0</v>
      </c>
      <c r="L84" s="297">
        <f>'DS Velké Meziříčí'!J86</f>
        <v>0</v>
      </c>
      <c r="M84" s="298">
        <f t="shared" si="7"/>
        <v>60</v>
      </c>
      <c r="N84" s="299">
        <f>'ÚSP Lidmaň'!J86</f>
        <v>0</v>
      </c>
      <c r="O84" s="299">
        <f>'Domov ve Zboží'!J86</f>
        <v>0</v>
      </c>
      <c r="P84" s="297">
        <f>'Domov bez zámku'!J86</f>
        <v>0</v>
      </c>
      <c r="Q84" s="297">
        <f>'Domov ve Věži'!J86</f>
        <v>0</v>
      </c>
      <c r="R84" s="300">
        <f>'ÚSP Křižanov'!J86</f>
        <v>0</v>
      </c>
      <c r="S84" s="297">
        <f>'Domov Jeřabina'!J86</f>
        <v>0</v>
      </c>
      <c r="T84" s="297">
        <f>'ÚSP Nové Syrovice'!J86</f>
        <v>25</v>
      </c>
      <c r="U84" s="297">
        <f>'Domov Háj'!J86</f>
        <v>0</v>
      </c>
      <c r="V84" s="297">
        <f>'Psych.Jihl.'!J86</f>
        <v>0</v>
      </c>
      <c r="W84" s="298">
        <f t="shared" si="5"/>
        <v>25</v>
      </c>
      <c r="X84" s="308">
        <f t="shared" si="6"/>
        <v>85</v>
      </c>
    </row>
    <row r="85" spans="1:24" s="11" customFormat="1" ht="20.25" customHeight="1">
      <c r="A85" s="263" t="s">
        <v>88</v>
      </c>
      <c r="B85" s="307">
        <f>'DS Havlíčkův Brod'!J87</f>
        <v>0</v>
      </c>
      <c r="C85" s="297">
        <f>'DD Ždírec'!J87</f>
        <v>0</v>
      </c>
      <c r="D85" s="297">
        <f>'DD Onšov'!J87</f>
        <v>54</v>
      </c>
      <c r="E85" s="297">
        <f>'DD Proseč Obořiště'!J87</f>
        <v>0</v>
      </c>
      <c r="F85" s="297">
        <f>'DD Proseč u Pošné'!J87</f>
        <v>0</v>
      </c>
      <c r="G85" s="297">
        <f>'DD Humpolec'!J87</f>
        <v>0</v>
      </c>
      <c r="H85" s="297">
        <f>'DS Třebíč Koutkova'!J87</f>
        <v>0</v>
      </c>
      <c r="I85" s="297">
        <f>'DS M.Curierových'!J87</f>
        <v>1</v>
      </c>
      <c r="J85" s="297">
        <f>'DS Náměšť nad Os'!J87</f>
        <v>0</v>
      </c>
      <c r="K85" s="297">
        <f>'DS Mitrov'!J87</f>
        <v>0</v>
      </c>
      <c r="L85" s="297">
        <f>'DS Velké Meziříčí'!J87</f>
        <v>0</v>
      </c>
      <c r="M85" s="298">
        <f t="shared" si="7"/>
        <v>55</v>
      </c>
      <c r="N85" s="299">
        <f>'ÚSP Lidmaň'!J87</f>
        <v>0</v>
      </c>
      <c r="O85" s="299">
        <f>'Domov ve Zboží'!J87</f>
        <v>0</v>
      </c>
      <c r="P85" s="297">
        <f>'Domov bez zámku'!J87</f>
        <v>0</v>
      </c>
      <c r="Q85" s="297">
        <f>'Domov ve Věži'!J87</f>
        <v>0</v>
      </c>
      <c r="R85" s="300">
        <f>'ÚSP Křižanov'!J87</f>
        <v>0</v>
      </c>
      <c r="S85" s="297">
        <f>'Domov Jeřabina'!J87</f>
        <v>0</v>
      </c>
      <c r="T85" s="297">
        <f>'ÚSP Nové Syrovice'!J87</f>
        <v>0</v>
      </c>
      <c r="U85" s="297">
        <f>'Domov Háj'!J87</f>
        <v>0</v>
      </c>
      <c r="V85" s="297">
        <f>'Psych.Jihl.'!J87</f>
        <v>0</v>
      </c>
      <c r="W85" s="298">
        <f t="shared" si="5"/>
        <v>0</v>
      </c>
      <c r="X85" s="308">
        <f t="shared" si="6"/>
        <v>55</v>
      </c>
    </row>
    <row r="86" spans="1:24" s="11" customFormat="1" ht="20.25" customHeight="1">
      <c r="A86" s="262" t="s">
        <v>89</v>
      </c>
      <c r="B86" s="307">
        <f>'DS Havlíčkův Brod'!J88</f>
        <v>0</v>
      </c>
      <c r="C86" s="297">
        <f>'DD Ždírec'!J88</f>
        <v>0</v>
      </c>
      <c r="D86" s="297">
        <f>'DD Onšov'!J88</f>
        <v>0</v>
      </c>
      <c r="E86" s="297">
        <f>'DD Proseč Obořiště'!J88</f>
        <v>0</v>
      </c>
      <c r="F86" s="297">
        <f>'DD Proseč u Pošné'!J88</f>
        <v>0</v>
      </c>
      <c r="G86" s="297">
        <f>'DD Humpolec'!J88</f>
        <v>0</v>
      </c>
      <c r="H86" s="297">
        <f>'DS Třebíč Koutkova'!J88</f>
        <v>0</v>
      </c>
      <c r="I86" s="297">
        <f>'DS M.Curierových'!J88</f>
        <v>1</v>
      </c>
      <c r="J86" s="297">
        <f>'DS Náměšť nad Os'!J88</f>
        <v>0</v>
      </c>
      <c r="K86" s="297">
        <f>'DS Mitrov'!J88</f>
        <v>0</v>
      </c>
      <c r="L86" s="297">
        <f>'DS Velké Meziříčí'!J88</f>
        <v>0</v>
      </c>
      <c r="M86" s="298">
        <f t="shared" si="7"/>
        <v>1</v>
      </c>
      <c r="N86" s="299">
        <f>'ÚSP Lidmaň'!J88</f>
        <v>0</v>
      </c>
      <c r="O86" s="299">
        <f>'Domov ve Zboží'!J88</f>
        <v>0</v>
      </c>
      <c r="P86" s="297">
        <f>'Domov bez zámku'!J88</f>
        <v>0</v>
      </c>
      <c r="Q86" s="297">
        <f>'Domov ve Věži'!J88</f>
        <v>0</v>
      </c>
      <c r="R86" s="300">
        <f>'ÚSP Křižanov'!J88</f>
        <v>0</v>
      </c>
      <c r="S86" s="297">
        <f>'Domov Jeřabina'!J88</f>
        <v>0</v>
      </c>
      <c r="T86" s="297">
        <f>'ÚSP Nové Syrovice'!J88</f>
        <v>0</v>
      </c>
      <c r="U86" s="297">
        <f>'Domov Háj'!J88</f>
        <v>0</v>
      </c>
      <c r="V86" s="297">
        <f>'Psych.Jihl.'!J88</f>
        <v>0</v>
      </c>
      <c r="W86" s="298">
        <f t="shared" si="5"/>
        <v>0</v>
      </c>
      <c r="X86" s="308">
        <f t="shared" si="6"/>
        <v>1</v>
      </c>
    </row>
    <row r="87" spans="1:24" s="11" customFormat="1" ht="20.25" customHeight="1">
      <c r="A87" s="263" t="s">
        <v>90</v>
      </c>
      <c r="B87" s="307">
        <f>'DS Havlíčkův Brod'!J89</f>
        <v>0</v>
      </c>
      <c r="C87" s="297">
        <f>'DD Ždírec'!J89</f>
        <v>0</v>
      </c>
      <c r="D87" s="297">
        <f>'DD Onšov'!J89</f>
        <v>0</v>
      </c>
      <c r="E87" s="297">
        <f>'DD Proseč Obořiště'!J89</f>
        <v>0</v>
      </c>
      <c r="F87" s="297">
        <f>'DD Proseč u Pošné'!J89</f>
        <v>0</v>
      </c>
      <c r="G87" s="297">
        <f>'DD Humpolec'!J89</f>
        <v>0</v>
      </c>
      <c r="H87" s="297">
        <f>'DS Třebíč Koutkova'!J89</f>
        <v>0</v>
      </c>
      <c r="I87" s="297">
        <f>'DS M.Curierových'!J89</f>
        <v>0</v>
      </c>
      <c r="J87" s="297">
        <f>'DS Náměšť nad Os'!J89</f>
        <v>0</v>
      </c>
      <c r="K87" s="297">
        <f>'DS Mitrov'!J89</f>
        <v>0</v>
      </c>
      <c r="L87" s="297">
        <f>'DS Velké Meziříčí'!J89</f>
        <v>0</v>
      </c>
      <c r="M87" s="298">
        <f t="shared" si="7"/>
        <v>0</v>
      </c>
      <c r="N87" s="299">
        <f>'ÚSP Lidmaň'!J89</f>
        <v>0</v>
      </c>
      <c r="O87" s="299">
        <f>'Domov ve Zboží'!J89</f>
        <v>0</v>
      </c>
      <c r="P87" s="297">
        <f>'Domov bez zámku'!J89</f>
        <v>0</v>
      </c>
      <c r="Q87" s="297">
        <f>'Domov ve Věži'!J89</f>
        <v>0</v>
      </c>
      <c r="R87" s="300">
        <f>'ÚSP Křižanov'!J89</f>
        <v>0</v>
      </c>
      <c r="S87" s="297">
        <f>'Domov Jeřabina'!J89</f>
        <v>0</v>
      </c>
      <c r="T87" s="297">
        <f>'ÚSP Nové Syrovice'!J89</f>
        <v>0</v>
      </c>
      <c r="U87" s="297">
        <f>'Domov Háj'!J89</f>
        <v>0</v>
      </c>
      <c r="V87" s="297">
        <f>'Psych.Jihl.'!J89</f>
        <v>0</v>
      </c>
      <c r="W87" s="298">
        <f t="shared" si="5"/>
        <v>0</v>
      </c>
      <c r="X87" s="308">
        <f t="shared" si="6"/>
        <v>0</v>
      </c>
    </row>
    <row r="88" spans="1:24" s="11" customFormat="1" ht="20.25" customHeight="1">
      <c r="A88" s="262" t="s">
        <v>176</v>
      </c>
      <c r="B88" s="307">
        <f>'DS Havlíčkův Brod'!J90</f>
        <v>0</v>
      </c>
      <c r="C88" s="297">
        <f>'DD Ždírec'!J90</f>
        <v>0</v>
      </c>
      <c r="D88" s="297">
        <f>'DD Onšov'!J90</f>
        <v>0</v>
      </c>
      <c r="E88" s="297">
        <f>'DD Proseč Obořiště'!J90</f>
        <v>0</v>
      </c>
      <c r="F88" s="297">
        <f>'DD Proseč u Pošné'!J90</f>
        <v>0</v>
      </c>
      <c r="G88" s="297">
        <f>'DD Humpolec'!J90</f>
        <v>0</v>
      </c>
      <c r="H88" s="297">
        <f>'DS Třebíč Koutkova'!J90</f>
        <v>0</v>
      </c>
      <c r="I88" s="297">
        <f>'DS M.Curierových'!J90</f>
        <v>0</v>
      </c>
      <c r="J88" s="297">
        <f>'DS Náměšť nad Os'!J90</f>
        <v>0</v>
      </c>
      <c r="K88" s="297">
        <f>'DS Mitrov'!J90</f>
        <v>0</v>
      </c>
      <c r="L88" s="297">
        <f>'DS Velké Meziříčí'!J90</f>
        <v>0</v>
      </c>
      <c r="M88" s="298">
        <f t="shared" si="7"/>
        <v>0</v>
      </c>
      <c r="N88" s="299">
        <f>'ÚSP Lidmaň'!J90</f>
        <v>0</v>
      </c>
      <c r="O88" s="299">
        <f>'Domov ve Zboží'!J90</f>
        <v>0</v>
      </c>
      <c r="P88" s="297">
        <f>'Domov bez zámku'!J90</f>
        <v>0</v>
      </c>
      <c r="Q88" s="297">
        <f>'Domov ve Věži'!J90</f>
        <v>0</v>
      </c>
      <c r="R88" s="300">
        <f>'ÚSP Křižanov'!J90</f>
        <v>0</v>
      </c>
      <c r="S88" s="297">
        <f>'Domov Jeřabina'!J90</f>
        <v>0</v>
      </c>
      <c r="T88" s="297">
        <f>'ÚSP Nové Syrovice'!J90</f>
        <v>0</v>
      </c>
      <c r="U88" s="297">
        <f>'Domov Háj'!J90</f>
        <v>0</v>
      </c>
      <c r="V88" s="297">
        <f>'Psych.Jihl.'!J90</f>
        <v>0</v>
      </c>
      <c r="W88" s="298">
        <f t="shared" si="5"/>
        <v>0</v>
      </c>
      <c r="X88" s="308">
        <f t="shared" si="6"/>
        <v>0</v>
      </c>
    </row>
    <row r="89" spans="1:24" s="11" customFormat="1" ht="20.25" customHeight="1" thickBot="1">
      <c r="A89" s="261" t="s">
        <v>91</v>
      </c>
      <c r="B89" s="315">
        <f>'DS Havlíčkův Brod'!J91</f>
        <v>29912</v>
      </c>
      <c r="C89" s="316">
        <f>'DD Ždírec'!J91</f>
        <v>39621.2</v>
      </c>
      <c r="D89" s="316">
        <f>'DD Onšov'!J91</f>
        <v>11216</v>
      </c>
      <c r="E89" s="316">
        <f>'DD Proseč Obořiště'!J91</f>
        <v>17000</v>
      </c>
      <c r="F89" s="316">
        <f>'DD Proseč u Pošné'!J91</f>
        <v>22225</v>
      </c>
      <c r="G89" s="316">
        <f>'DD Humpolec'!J91</f>
        <v>48047</v>
      </c>
      <c r="H89" s="316">
        <f>'DS Třebíč Koutkova'!J91</f>
        <v>43608</v>
      </c>
      <c r="I89" s="316">
        <f>'DS M.Curierových'!J91</f>
        <v>49305</v>
      </c>
      <c r="J89" s="316">
        <f>'DS Náměšť nad Os'!J91</f>
        <v>26746</v>
      </c>
      <c r="K89" s="316">
        <f>'DS Mitrov'!J91</f>
        <v>38657</v>
      </c>
      <c r="L89" s="316">
        <f>'DS Velké Meziříčí'!J91</f>
        <v>33628</v>
      </c>
      <c r="M89" s="317">
        <f t="shared" si="7"/>
        <v>359965.2</v>
      </c>
      <c r="N89" s="318">
        <f>'ÚSP Lidmaň'!J91</f>
        <v>27676</v>
      </c>
      <c r="O89" s="318">
        <f>'Domov ve Zboží'!J91</f>
        <v>22675</v>
      </c>
      <c r="P89" s="316">
        <f>'Domov bez zámku'!J91</f>
        <v>30376</v>
      </c>
      <c r="Q89" s="316">
        <f>'Domov ve Věži'!J91</f>
        <v>22073</v>
      </c>
      <c r="R89" s="319">
        <f>'ÚSP Křižanov'!J91</f>
        <v>45837</v>
      </c>
      <c r="S89" s="316">
        <f>'Domov Jeřabina'!J91</f>
        <v>27167</v>
      </c>
      <c r="T89" s="316">
        <f>'ÚSP Nové Syrovice'!J91</f>
        <v>24908</v>
      </c>
      <c r="U89" s="316">
        <f>'Domov Háj'!J91</f>
        <v>24822</v>
      </c>
      <c r="V89" s="316">
        <f>'Psych.Jihl.'!J91</f>
        <v>10671</v>
      </c>
      <c r="W89" s="317">
        <f t="shared" si="5"/>
        <v>225534</v>
      </c>
      <c r="X89" s="320">
        <f t="shared" si="6"/>
        <v>596170.2</v>
      </c>
    </row>
    <row r="90" spans="1:24" s="11" customFormat="1" ht="20.25" customHeight="1" thickBot="1">
      <c r="A90" s="261" t="s">
        <v>177</v>
      </c>
      <c r="B90" s="323">
        <f>'DS Havlíčkův Brod'!J92</f>
        <v>-7040</v>
      </c>
      <c r="C90" s="324">
        <f>'DD Ždírec'!J92</f>
        <v>-8818.4</v>
      </c>
      <c r="D90" s="324">
        <f>'DD Onšov'!J92</f>
        <v>0</v>
      </c>
      <c r="E90" s="324">
        <f>'DD Proseč Obořiště'!J92</f>
        <v>0</v>
      </c>
      <c r="F90" s="324">
        <f>'DD Proseč u Pošné'!J92</f>
        <v>0</v>
      </c>
      <c r="G90" s="324">
        <f>'DD Humpolec'!J92</f>
        <v>-2509</v>
      </c>
      <c r="H90" s="324">
        <f>'DS Třebíč Koutkova'!J92</f>
        <v>0</v>
      </c>
      <c r="I90" s="324">
        <f>'DS M.Curierových'!J92</f>
        <v>0</v>
      </c>
      <c r="J90" s="324">
        <f>'DS Náměšť nad Os'!J92</f>
        <v>-727</v>
      </c>
      <c r="K90" s="324">
        <f>'DS Mitrov'!J92</f>
        <v>0</v>
      </c>
      <c r="L90" s="324">
        <f>'DS Velké Meziříčí'!J92</f>
        <v>-1236</v>
      </c>
      <c r="M90" s="321">
        <f t="shared" si="7"/>
        <v>-20330.4</v>
      </c>
      <c r="N90" s="325">
        <f>'ÚSP Lidmaň'!J92</f>
        <v>-1928</v>
      </c>
      <c r="O90" s="325">
        <f>'Domov ve Zboží'!J92</f>
        <v>-3020</v>
      </c>
      <c r="P90" s="324">
        <f>'Domov bez zámku'!J92</f>
        <v>0</v>
      </c>
      <c r="Q90" s="324">
        <f>'Domov ve Věži'!J92</f>
        <v>-1680</v>
      </c>
      <c r="R90" s="326">
        <f>'ÚSP Křižanov'!J92</f>
        <v>-230</v>
      </c>
      <c r="S90" s="324">
        <f>'Domov Jeřabina'!J92</f>
        <v>0</v>
      </c>
      <c r="T90" s="324">
        <f>'ÚSP Nové Syrovice'!J92</f>
        <v>-2335</v>
      </c>
      <c r="U90" s="324">
        <f>'Domov Háj'!J92</f>
        <v>0</v>
      </c>
      <c r="V90" s="324">
        <f>'Psych.Jihl.'!J92</f>
        <v>-2100</v>
      </c>
      <c r="W90" s="321">
        <f t="shared" si="5"/>
        <v>-9193</v>
      </c>
      <c r="X90" s="322">
        <f t="shared" si="6"/>
        <v>-31623.4</v>
      </c>
    </row>
    <row r="91" spans="2:24" ht="20.25" customHeight="1" thickBo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W91" s="12"/>
      <c r="X91" s="12"/>
    </row>
    <row r="92" spans="1:24" ht="20.25" customHeight="1" thickBot="1">
      <c r="A92" s="14" t="s">
        <v>245</v>
      </c>
      <c r="B92" s="15">
        <v>109</v>
      </c>
      <c r="C92" s="16">
        <v>114</v>
      </c>
      <c r="D92" s="16">
        <v>48</v>
      </c>
      <c r="E92" s="16">
        <v>70</v>
      </c>
      <c r="F92" s="16">
        <v>70</v>
      </c>
      <c r="G92" s="16">
        <v>203</v>
      </c>
      <c r="H92" s="16">
        <v>172</v>
      </c>
      <c r="I92" s="16">
        <v>195</v>
      </c>
      <c r="J92" s="16">
        <v>92</v>
      </c>
      <c r="K92" s="16">
        <v>130</v>
      </c>
      <c r="L92" s="17">
        <v>94</v>
      </c>
      <c r="M92" s="18">
        <f>SUM(B92:L92)</f>
        <v>1297</v>
      </c>
      <c r="N92" s="19">
        <v>100</v>
      </c>
      <c r="O92" s="20">
        <v>60</v>
      </c>
      <c r="P92" s="20">
        <v>72</v>
      </c>
      <c r="Q92" s="20">
        <v>80</v>
      </c>
      <c r="R92" s="20">
        <v>142</v>
      </c>
      <c r="S92" s="20">
        <v>75</v>
      </c>
      <c r="T92" s="20">
        <v>90</v>
      </c>
      <c r="U92" s="20">
        <v>80</v>
      </c>
      <c r="V92" s="21" t="s">
        <v>92</v>
      </c>
      <c r="W92" s="22">
        <f>SUM(N92:U92)</f>
        <v>699</v>
      </c>
      <c r="X92" s="23">
        <f>M92+W92</f>
        <v>1996</v>
      </c>
    </row>
    <row r="93" spans="2:24" ht="20.25" customHeight="1" thickBot="1">
      <c r="B93" s="383" t="s">
        <v>0</v>
      </c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4"/>
      <c r="X93" s="11"/>
    </row>
    <row r="94" spans="1:22" s="25" customFormat="1" ht="82.5" customHeight="1" thickBot="1">
      <c r="A94" s="24" t="s">
        <v>246</v>
      </c>
      <c r="B94" s="9" t="s">
        <v>1</v>
      </c>
      <c r="C94" s="6" t="s">
        <v>2</v>
      </c>
      <c r="D94" s="6" t="s">
        <v>3</v>
      </c>
      <c r="E94" s="6" t="s">
        <v>4</v>
      </c>
      <c r="F94" s="6" t="s">
        <v>5</v>
      </c>
      <c r="G94" s="6" t="s">
        <v>6</v>
      </c>
      <c r="H94" s="6" t="s">
        <v>7</v>
      </c>
      <c r="I94" s="6" t="s">
        <v>8</v>
      </c>
      <c r="J94" s="6" t="s">
        <v>93</v>
      </c>
      <c r="K94" s="6" t="s">
        <v>10</v>
      </c>
      <c r="L94" s="6" t="s">
        <v>11</v>
      </c>
      <c r="M94" s="10" t="s">
        <v>94</v>
      </c>
      <c r="N94" s="9" t="s">
        <v>13</v>
      </c>
      <c r="O94" s="6" t="s">
        <v>363</v>
      </c>
      <c r="P94" s="6" t="s">
        <v>14</v>
      </c>
      <c r="Q94" s="6" t="s">
        <v>15</v>
      </c>
      <c r="R94" s="6" t="s">
        <v>16</v>
      </c>
      <c r="S94" s="6" t="s">
        <v>17</v>
      </c>
      <c r="T94" s="6" t="s">
        <v>18</v>
      </c>
      <c r="U94" s="6" t="s">
        <v>20</v>
      </c>
      <c r="V94" s="10" t="s">
        <v>94</v>
      </c>
    </row>
    <row r="95" spans="1:22" ht="23.25" customHeight="1" thickBot="1">
      <c r="A95" s="269" t="s">
        <v>24</v>
      </c>
      <c r="B95" s="26">
        <f aca="true" t="shared" si="8" ref="B95:B158">B5/$B$92</f>
        <v>165.88073394495413</v>
      </c>
      <c r="C95" s="27">
        <f aca="true" t="shared" si="9" ref="C95:C158">C5/$C$92</f>
        <v>178.99824561403508</v>
      </c>
      <c r="D95" s="27">
        <f aca="true" t="shared" si="10" ref="D95:D158">D5/$D$92</f>
        <v>162.91666666666666</v>
      </c>
      <c r="E95" s="27">
        <f aca="true" t="shared" si="11" ref="E95:E158">E5/$E$92</f>
        <v>173.07142857142858</v>
      </c>
      <c r="F95" s="27">
        <f aca="true" t="shared" si="12" ref="F95:F158">F5/$F$92</f>
        <v>233.65714285714284</v>
      </c>
      <c r="G95" s="27">
        <f aca="true" t="shared" si="13" ref="G95:G158">G5/$G$92</f>
        <v>164.8768472906404</v>
      </c>
      <c r="H95" s="27">
        <f aca="true" t="shared" si="14" ref="H95:H158">H5/$H$92</f>
        <v>181.02325581395348</v>
      </c>
      <c r="I95" s="27">
        <f aca="true" t="shared" si="15" ref="I95:I158">I5/$I$92</f>
        <v>184.0102564102564</v>
      </c>
      <c r="J95" s="27">
        <f aca="true" t="shared" si="16" ref="J95:J158">J5/$J$92</f>
        <v>210.7608695652174</v>
      </c>
      <c r="K95" s="27">
        <f aca="true" t="shared" si="17" ref="K95:K158">K5/$K$92</f>
        <v>212.2076923076923</v>
      </c>
      <c r="L95" s="27">
        <f aca="true" t="shared" si="18" ref="L95:L158">L5/$L$92</f>
        <v>245.0531914893617</v>
      </c>
      <c r="M95" s="28">
        <f aca="true" t="shared" si="19" ref="M95:M158">(B5+C5+D5+E5+F5+G5+H5+I5+J5+K5+L5)/$M$92</f>
        <v>189.11164225134925</v>
      </c>
      <c r="N95" s="27">
        <f aca="true" t="shared" si="20" ref="N95:N158">N5/$N$92</f>
        <v>165.27</v>
      </c>
      <c r="O95" s="27">
        <f aca="true" t="shared" si="21" ref="O95:O158">O5/$O$92</f>
        <v>188.98333333333332</v>
      </c>
      <c r="P95" s="27">
        <f aca="true" t="shared" si="22" ref="P95:P158">P5/$P$92</f>
        <v>154.26388888888889</v>
      </c>
      <c r="Q95" s="27">
        <f aca="true" t="shared" si="23" ref="Q95:Q158">Q5/$Q$92</f>
        <v>167.75</v>
      </c>
      <c r="R95" s="27">
        <f aca="true" t="shared" si="24" ref="R95:R158">R5/$R$92</f>
        <v>206.0211267605634</v>
      </c>
      <c r="S95" s="27">
        <f aca="true" t="shared" si="25" ref="S95:S158">S5/$S$92</f>
        <v>174.78666666666666</v>
      </c>
      <c r="T95" s="27">
        <f aca="true" t="shared" si="26" ref="T95:T158">T5/$T$92</f>
        <v>155.06666666666666</v>
      </c>
      <c r="U95" s="27">
        <f aca="true" t="shared" si="27" ref="U95:U158">U5/$U$92</f>
        <v>162.175</v>
      </c>
      <c r="V95" s="29">
        <f>(N5+O5+P5+Q5+R5+S5+T5++U5)/$W$92</f>
        <v>174.08726752503577</v>
      </c>
    </row>
    <row r="96" spans="1:22" ht="23.25" customHeight="1" thickBot="1">
      <c r="A96" s="265" t="s">
        <v>25</v>
      </c>
      <c r="B96" s="26">
        <f t="shared" si="8"/>
        <v>0</v>
      </c>
      <c r="C96" s="27">
        <f t="shared" si="9"/>
        <v>0</v>
      </c>
      <c r="D96" s="27">
        <f t="shared" si="10"/>
        <v>0</v>
      </c>
      <c r="E96" s="27">
        <f t="shared" si="11"/>
        <v>0</v>
      </c>
      <c r="F96" s="27">
        <f t="shared" si="12"/>
        <v>0</v>
      </c>
      <c r="G96" s="27">
        <f t="shared" si="13"/>
        <v>0</v>
      </c>
      <c r="H96" s="27">
        <f t="shared" si="14"/>
        <v>0</v>
      </c>
      <c r="I96" s="27">
        <f t="shared" si="15"/>
        <v>0</v>
      </c>
      <c r="J96" s="27">
        <f t="shared" si="16"/>
        <v>0</v>
      </c>
      <c r="K96" s="27">
        <f t="shared" si="17"/>
        <v>0</v>
      </c>
      <c r="L96" s="27">
        <f t="shared" si="18"/>
        <v>0</v>
      </c>
      <c r="M96" s="28">
        <f t="shared" si="19"/>
        <v>0</v>
      </c>
      <c r="N96" s="27">
        <f t="shared" si="20"/>
        <v>0</v>
      </c>
      <c r="O96" s="27">
        <f t="shared" si="21"/>
        <v>0.4166666666666667</v>
      </c>
      <c r="P96" s="27">
        <f t="shared" si="22"/>
        <v>0</v>
      </c>
      <c r="Q96" s="27">
        <f t="shared" si="23"/>
        <v>0</v>
      </c>
      <c r="R96" s="27">
        <f t="shared" si="24"/>
        <v>0</v>
      </c>
      <c r="S96" s="27">
        <f t="shared" si="25"/>
        <v>0.6666666666666666</v>
      </c>
      <c r="T96" s="27">
        <f t="shared" si="26"/>
        <v>0</v>
      </c>
      <c r="U96" s="27">
        <f t="shared" si="27"/>
        <v>0.1875</v>
      </c>
      <c r="V96" s="29">
        <f aca="true" t="shared" si="28" ref="V96:V159">(N6+O6+P6+Q6+R6+S6+T6++U6)/$W$92</f>
        <v>0.12875536480686695</v>
      </c>
    </row>
    <row r="97" spans="1:22" ht="23.25" customHeight="1" thickBot="1">
      <c r="A97" s="265" t="s">
        <v>26</v>
      </c>
      <c r="B97" s="26">
        <f t="shared" si="8"/>
        <v>0</v>
      </c>
      <c r="C97" s="27">
        <f t="shared" si="9"/>
        <v>178.99824561403508</v>
      </c>
      <c r="D97" s="27">
        <f t="shared" si="10"/>
        <v>162.91666666666666</v>
      </c>
      <c r="E97" s="27">
        <f t="shared" si="11"/>
        <v>173.07142857142858</v>
      </c>
      <c r="F97" s="27">
        <f t="shared" si="12"/>
        <v>233.67142857142858</v>
      </c>
      <c r="G97" s="27">
        <f t="shared" si="13"/>
        <v>163.57142857142858</v>
      </c>
      <c r="H97" s="27">
        <f t="shared" si="14"/>
        <v>180.9593023255814</v>
      </c>
      <c r="I97" s="27">
        <f t="shared" si="15"/>
        <v>183.96410256410257</v>
      </c>
      <c r="J97" s="27">
        <f t="shared" si="16"/>
        <v>209.1304347826087</v>
      </c>
      <c r="K97" s="27">
        <f t="shared" si="17"/>
        <v>212.16923076923078</v>
      </c>
      <c r="L97" s="27">
        <f t="shared" si="18"/>
        <v>244.89361702127658</v>
      </c>
      <c r="M97" s="28">
        <f t="shared" si="19"/>
        <v>174.82097147262914</v>
      </c>
      <c r="N97" s="27">
        <f t="shared" si="20"/>
        <v>165.27</v>
      </c>
      <c r="O97" s="27">
        <f t="shared" si="21"/>
        <v>188.56666666666666</v>
      </c>
      <c r="P97" s="27">
        <f t="shared" si="22"/>
        <v>154.26388888888889</v>
      </c>
      <c r="Q97" s="27">
        <f t="shared" si="23"/>
        <v>167.75</v>
      </c>
      <c r="R97" s="27">
        <f t="shared" si="24"/>
        <v>206.0211267605634</v>
      </c>
      <c r="S97" s="27">
        <f t="shared" si="25"/>
        <v>174.12</v>
      </c>
      <c r="T97" s="27">
        <f t="shared" si="26"/>
        <v>154.33333333333334</v>
      </c>
      <c r="U97" s="27">
        <f t="shared" si="27"/>
        <v>161.9875</v>
      </c>
      <c r="V97" s="29">
        <f t="shared" si="28"/>
        <v>173.86409155937054</v>
      </c>
    </row>
    <row r="98" spans="1:22" ht="23.25" customHeight="1" thickBot="1">
      <c r="A98" s="262" t="s">
        <v>27</v>
      </c>
      <c r="B98" s="26">
        <f t="shared" si="8"/>
        <v>73.80733944954129</v>
      </c>
      <c r="C98" s="27">
        <f t="shared" si="9"/>
        <v>99.78947368421052</v>
      </c>
      <c r="D98" s="27">
        <f t="shared" si="10"/>
        <v>98.95833333333333</v>
      </c>
      <c r="E98" s="27">
        <f t="shared" si="11"/>
        <v>94.07142857142857</v>
      </c>
      <c r="F98" s="27">
        <f t="shared" si="12"/>
        <v>93.57142857142857</v>
      </c>
      <c r="G98" s="27">
        <f t="shared" si="13"/>
        <v>90.14778325123153</v>
      </c>
      <c r="H98" s="27">
        <f t="shared" si="14"/>
        <v>104.18604651162791</v>
      </c>
      <c r="I98" s="27">
        <f t="shared" si="15"/>
        <v>99.95384615384616</v>
      </c>
      <c r="J98" s="27">
        <f t="shared" si="16"/>
        <v>114.1304347826087</v>
      </c>
      <c r="K98" s="27">
        <f t="shared" si="17"/>
        <v>97.6923076923077</v>
      </c>
      <c r="L98" s="27">
        <f t="shared" si="18"/>
        <v>105.53191489361703</v>
      </c>
      <c r="M98" s="28">
        <f t="shared" si="19"/>
        <v>97.25289128758673</v>
      </c>
      <c r="N98" s="27">
        <f t="shared" si="20"/>
        <v>95.32</v>
      </c>
      <c r="O98" s="27">
        <f t="shared" si="21"/>
        <v>92.25</v>
      </c>
      <c r="P98" s="27">
        <f t="shared" si="22"/>
        <v>70.95833333333333</v>
      </c>
      <c r="Q98" s="27">
        <f t="shared" si="23"/>
        <v>85</v>
      </c>
      <c r="R98" s="27">
        <f t="shared" si="24"/>
        <v>79.5774647887324</v>
      </c>
      <c r="S98" s="27">
        <f t="shared" si="25"/>
        <v>85.73333333333333</v>
      </c>
      <c r="T98" s="27">
        <f t="shared" si="26"/>
        <v>91.66666666666667</v>
      </c>
      <c r="U98" s="27">
        <f t="shared" si="27"/>
        <v>90.1125</v>
      </c>
      <c r="V98" s="29">
        <f t="shared" si="28"/>
        <v>86.07296137339056</v>
      </c>
    </row>
    <row r="99" spans="1:22" ht="23.25" customHeight="1" thickBot="1">
      <c r="A99" s="262" t="s">
        <v>28</v>
      </c>
      <c r="B99" s="26">
        <f t="shared" si="8"/>
        <v>66.36697247706422</v>
      </c>
      <c r="C99" s="27">
        <f t="shared" si="9"/>
        <v>68.46315789473684</v>
      </c>
      <c r="D99" s="27">
        <f t="shared" si="10"/>
        <v>60.416666666666664</v>
      </c>
      <c r="E99" s="27">
        <f t="shared" si="11"/>
        <v>64.8</v>
      </c>
      <c r="F99" s="27">
        <f t="shared" si="12"/>
        <v>95</v>
      </c>
      <c r="G99" s="27">
        <f t="shared" si="13"/>
        <v>64.5320197044335</v>
      </c>
      <c r="H99" s="27">
        <f t="shared" si="14"/>
        <v>65.98837209302326</v>
      </c>
      <c r="I99" s="27">
        <f t="shared" si="15"/>
        <v>69.8</v>
      </c>
      <c r="J99" s="27">
        <f t="shared" si="16"/>
        <v>82.93478260869566</v>
      </c>
      <c r="K99" s="27">
        <f t="shared" si="17"/>
        <v>96.92307692307692</v>
      </c>
      <c r="L99" s="27">
        <f t="shared" si="18"/>
        <v>106.38297872340425</v>
      </c>
      <c r="M99" s="28">
        <f t="shared" si="19"/>
        <v>75.10855821125675</v>
      </c>
      <c r="N99" s="27">
        <f t="shared" si="20"/>
        <v>62.26</v>
      </c>
      <c r="O99" s="27">
        <f t="shared" si="21"/>
        <v>85.7</v>
      </c>
      <c r="P99" s="27">
        <f t="shared" si="22"/>
        <v>75.72222222222223</v>
      </c>
      <c r="Q99" s="27">
        <f t="shared" si="23"/>
        <v>63.75</v>
      </c>
      <c r="R99" s="27">
        <f t="shared" si="24"/>
        <v>99.15492957746478</v>
      </c>
      <c r="S99" s="27">
        <f t="shared" si="25"/>
        <v>64.85333333333334</v>
      </c>
      <c r="T99" s="27">
        <f t="shared" si="26"/>
        <v>52.55555555555556</v>
      </c>
      <c r="U99" s="27">
        <f t="shared" si="27"/>
        <v>62.275</v>
      </c>
      <c r="V99" s="29">
        <f t="shared" si="28"/>
        <v>72.35479256080114</v>
      </c>
    </row>
    <row r="100" spans="1:22" ht="23.25" customHeight="1" thickBot="1">
      <c r="A100" s="262" t="s">
        <v>29</v>
      </c>
      <c r="B100" s="26">
        <f t="shared" si="8"/>
        <v>0.01834862385321101</v>
      </c>
      <c r="C100" s="27">
        <f t="shared" si="9"/>
        <v>0.13157894736842105</v>
      </c>
      <c r="D100" s="27">
        <f t="shared" si="10"/>
        <v>0.8333333333333334</v>
      </c>
      <c r="E100" s="27">
        <f t="shared" si="11"/>
        <v>1.0285714285714285</v>
      </c>
      <c r="F100" s="27">
        <f t="shared" si="12"/>
        <v>0.4857142857142857</v>
      </c>
      <c r="G100" s="27">
        <f t="shared" si="13"/>
        <v>0.024630541871921183</v>
      </c>
      <c r="H100" s="27">
        <f t="shared" si="14"/>
        <v>0.06976744186046512</v>
      </c>
      <c r="I100" s="27">
        <f t="shared" si="15"/>
        <v>0.046153846153846156</v>
      </c>
      <c r="J100" s="27">
        <f t="shared" si="16"/>
        <v>0</v>
      </c>
      <c r="K100" s="27">
        <f t="shared" si="17"/>
        <v>0.015384615384615385</v>
      </c>
      <c r="L100" s="27">
        <f t="shared" si="18"/>
        <v>0.9574468085106383</v>
      </c>
      <c r="M100" s="28">
        <f t="shared" si="19"/>
        <v>0.2166538164996145</v>
      </c>
      <c r="N100" s="27">
        <f t="shared" si="20"/>
        <v>4.55</v>
      </c>
      <c r="O100" s="27">
        <f t="shared" si="21"/>
        <v>0.95</v>
      </c>
      <c r="P100" s="27">
        <f t="shared" si="22"/>
        <v>0.2222222222222222</v>
      </c>
      <c r="Q100" s="27">
        <f t="shared" si="23"/>
        <v>0</v>
      </c>
      <c r="R100" s="27">
        <f t="shared" si="24"/>
        <v>0.035211267605633804</v>
      </c>
      <c r="S100" s="27">
        <f t="shared" si="25"/>
        <v>2.066666666666667</v>
      </c>
      <c r="T100" s="27">
        <f t="shared" si="26"/>
        <v>0</v>
      </c>
      <c r="U100" s="27">
        <f t="shared" si="27"/>
        <v>0.375</v>
      </c>
      <c r="V100" s="29">
        <f t="shared" si="28"/>
        <v>1.0271816881258942</v>
      </c>
    </row>
    <row r="101" spans="1:22" ht="23.25" customHeight="1" thickBot="1">
      <c r="A101" s="262" t="s">
        <v>30</v>
      </c>
      <c r="B101" s="26">
        <f t="shared" si="8"/>
        <v>22.93577981651376</v>
      </c>
      <c r="C101" s="27">
        <f t="shared" si="9"/>
        <v>9.649122807017545</v>
      </c>
      <c r="D101" s="27">
        <f t="shared" si="10"/>
        <v>0</v>
      </c>
      <c r="E101" s="27">
        <f t="shared" si="11"/>
        <v>10.285714285714286</v>
      </c>
      <c r="F101" s="27">
        <f t="shared" si="12"/>
        <v>41.42857142857143</v>
      </c>
      <c r="G101" s="27">
        <f t="shared" si="13"/>
        <v>6.157635467980295</v>
      </c>
      <c r="H101" s="27">
        <f t="shared" si="14"/>
        <v>7.691860465116279</v>
      </c>
      <c r="I101" s="27">
        <f t="shared" si="15"/>
        <v>11.692307692307692</v>
      </c>
      <c r="J101" s="27">
        <f t="shared" si="16"/>
        <v>2.282608695652174</v>
      </c>
      <c r="K101" s="27">
        <f t="shared" si="17"/>
        <v>15.384615384615385</v>
      </c>
      <c r="L101" s="27">
        <f t="shared" si="18"/>
        <v>15.319148936170214</v>
      </c>
      <c r="M101" s="28">
        <f t="shared" si="19"/>
        <v>12.122590593677717</v>
      </c>
      <c r="N101" s="27">
        <f t="shared" si="20"/>
        <v>0.24</v>
      </c>
      <c r="O101" s="27">
        <f t="shared" si="21"/>
        <v>5</v>
      </c>
      <c r="P101" s="27">
        <f t="shared" si="22"/>
        <v>6.666666666666667</v>
      </c>
      <c r="Q101" s="27">
        <f t="shared" si="23"/>
        <v>14.5</v>
      </c>
      <c r="R101" s="27">
        <f t="shared" si="24"/>
        <v>21.830985915492956</v>
      </c>
      <c r="S101" s="27">
        <f t="shared" si="25"/>
        <v>16</v>
      </c>
      <c r="T101" s="27">
        <f t="shared" si="26"/>
        <v>7.033333333333333</v>
      </c>
      <c r="U101" s="27">
        <f t="shared" si="27"/>
        <v>9.0125</v>
      </c>
      <c r="V101" s="29">
        <f t="shared" si="28"/>
        <v>10.898426323319027</v>
      </c>
    </row>
    <row r="102" spans="1:22" ht="23.25" customHeight="1" thickBot="1">
      <c r="A102" s="262" t="s">
        <v>31</v>
      </c>
      <c r="B102" s="26">
        <f t="shared" si="8"/>
        <v>2.7522935779816513</v>
      </c>
      <c r="C102" s="27">
        <f t="shared" si="9"/>
        <v>0.9649122807017544</v>
      </c>
      <c r="D102" s="27">
        <f t="shared" si="10"/>
        <v>2.7083333333333335</v>
      </c>
      <c r="E102" s="27">
        <f t="shared" si="11"/>
        <v>2.7857142857142856</v>
      </c>
      <c r="F102" s="27">
        <f t="shared" si="12"/>
        <v>3.142857142857143</v>
      </c>
      <c r="G102" s="27">
        <f t="shared" si="13"/>
        <v>3.3842364532019706</v>
      </c>
      <c r="H102" s="27">
        <f t="shared" si="14"/>
        <v>2.441860465116279</v>
      </c>
      <c r="I102" s="27">
        <f t="shared" si="15"/>
        <v>2.471794871794872</v>
      </c>
      <c r="J102" s="27">
        <f t="shared" si="16"/>
        <v>9.782608695652174</v>
      </c>
      <c r="K102" s="27">
        <f t="shared" si="17"/>
        <v>2.8846153846153846</v>
      </c>
      <c r="L102" s="27">
        <f t="shared" si="18"/>
        <v>16.70212765957447</v>
      </c>
      <c r="M102" s="28">
        <f t="shared" si="19"/>
        <v>4.15497301464919</v>
      </c>
      <c r="N102" s="27">
        <f t="shared" si="20"/>
        <v>2.9</v>
      </c>
      <c r="O102" s="27">
        <f t="shared" si="21"/>
        <v>4.566666666666666</v>
      </c>
      <c r="P102" s="27">
        <f t="shared" si="22"/>
        <v>0</v>
      </c>
      <c r="Q102" s="27">
        <f t="shared" si="23"/>
        <v>4.5</v>
      </c>
      <c r="R102" s="27">
        <f t="shared" si="24"/>
        <v>5.28169014084507</v>
      </c>
      <c r="S102" s="27">
        <f t="shared" si="25"/>
        <v>5.333333333333333</v>
      </c>
      <c r="T102" s="27">
        <f t="shared" si="26"/>
        <v>3.3333333333333335</v>
      </c>
      <c r="U102" s="27">
        <f t="shared" si="27"/>
        <v>0</v>
      </c>
      <c r="V102" s="29">
        <f t="shared" si="28"/>
        <v>3.396280400572246</v>
      </c>
    </row>
    <row r="103" spans="1:22" ht="23.25" customHeight="1" thickBot="1">
      <c r="A103" s="262" t="s">
        <v>32</v>
      </c>
      <c r="B103" s="26">
        <f t="shared" si="8"/>
        <v>0</v>
      </c>
      <c r="C103" s="27">
        <f t="shared" si="9"/>
        <v>0</v>
      </c>
      <c r="D103" s="27">
        <f t="shared" si="10"/>
        <v>0</v>
      </c>
      <c r="E103" s="27">
        <f t="shared" si="11"/>
        <v>0.1</v>
      </c>
      <c r="F103" s="27">
        <f t="shared" si="12"/>
        <v>0.014285714285714285</v>
      </c>
      <c r="G103" s="27">
        <f t="shared" si="13"/>
        <v>0.23645320197044334</v>
      </c>
      <c r="H103" s="27">
        <f t="shared" si="14"/>
        <v>0.5813953488372093</v>
      </c>
      <c r="I103" s="27">
        <f t="shared" si="15"/>
        <v>0</v>
      </c>
      <c r="J103" s="27">
        <f t="shared" si="16"/>
        <v>0</v>
      </c>
      <c r="K103" s="27">
        <f t="shared" si="17"/>
        <v>0.4230769230769231</v>
      </c>
      <c r="L103" s="27">
        <f t="shared" si="18"/>
        <v>0</v>
      </c>
      <c r="M103" s="28">
        <f t="shared" si="19"/>
        <v>0.16268311488049345</v>
      </c>
      <c r="N103" s="27">
        <f t="shared" si="20"/>
        <v>0</v>
      </c>
      <c r="O103" s="27">
        <f t="shared" si="21"/>
        <v>0.1</v>
      </c>
      <c r="P103" s="27">
        <f t="shared" si="22"/>
        <v>0.6944444444444444</v>
      </c>
      <c r="Q103" s="27">
        <f t="shared" si="23"/>
        <v>0</v>
      </c>
      <c r="R103" s="27">
        <f t="shared" si="24"/>
        <v>0.14084507042253522</v>
      </c>
      <c r="S103" s="27">
        <f t="shared" si="25"/>
        <v>0.13333333333333333</v>
      </c>
      <c r="T103" s="27">
        <f t="shared" si="26"/>
        <v>0.07777777777777778</v>
      </c>
      <c r="U103" s="27">
        <f t="shared" si="27"/>
        <v>0.1875</v>
      </c>
      <c r="V103" s="29">
        <f t="shared" si="28"/>
        <v>0.15450643776824036</v>
      </c>
    </row>
    <row r="104" spans="1:22" ht="23.25" customHeight="1" thickBot="1">
      <c r="A104" s="265" t="s">
        <v>33</v>
      </c>
      <c r="B104" s="26">
        <f t="shared" si="8"/>
        <v>0</v>
      </c>
      <c r="C104" s="27">
        <f t="shared" si="9"/>
        <v>0</v>
      </c>
      <c r="D104" s="27">
        <f t="shared" si="10"/>
        <v>0</v>
      </c>
      <c r="E104" s="27">
        <f t="shared" si="11"/>
        <v>0</v>
      </c>
      <c r="F104" s="27">
        <f t="shared" si="12"/>
        <v>0</v>
      </c>
      <c r="G104" s="27">
        <f t="shared" si="13"/>
        <v>0.39408866995073893</v>
      </c>
      <c r="H104" s="27">
        <f t="shared" si="14"/>
        <v>0.06395348837209303</v>
      </c>
      <c r="I104" s="27">
        <f t="shared" si="15"/>
        <v>0.046153846153846156</v>
      </c>
      <c r="J104" s="27">
        <f t="shared" si="16"/>
        <v>1.6304347826086956</v>
      </c>
      <c r="K104" s="27">
        <f t="shared" si="17"/>
        <v>0.038461538461538464</v>
      </c>
      <c r="L104" s="27">
        <f t="shared" si="18"/>
        <v>0.1595744680851064</v>
      </c>
      <c r="M104" s="28">
        <f t="shared" si="19"/>
        <v>0.2081727062451812</v>
      </c>
      <c r="N104" s="27">
        <f t="shared" si="20"/>
        <v>0</v>
      </c>
      <c r="O104" s="27">
        <f t="shared" si="21"/>
        <v>0</v>
      </c>
      <c r="P104" s="27">
        <f t="shared" si="22"/>
        <v>0</v>
      </c>
      <c r="Q104" s="27">
        <f t="shared" si="23"/>
        <v>0</v>
      </c>
      <c r="R104" s="27">
        <f t="shared" si="24"/>
        <v>0</v>
      </c>
      <c r="S104" s="27">
        <f t="shared" si="25"/>
        <v>0.4</v>
      </c>
      <c r="T104" s="27">
        <f t="shared" si="26"/>
        <v>0.7333333333333333</v>
      </c>
      <c r="U104" s="27">
        <f t="shared" si="27"/>
        <v>0.025</v>
      </c>
      <c r="V104" s="29">
        <f t="shared" si="28"/>
        <v>0.1402002861230329</v>
      </c>
    </row>
    <row r="105" spans="1:22" ht="23.25" customHeight="1" thickBot="1">
      <c r="A105" s="265" t="s">
        <v>34</v>
      </c>
      <c r="B105" s="26">
        <f t="shared" si="8"/>
        <v>0</v>
      </c>
      <c r="C105" s="27">
        <f t="shared" si="9"/>
        <v>0</v>
      </c>
      <c r="D105" s="27">
        <f t="shared" si="10"/>
        <v>0</v>
      </c>
      <c r="E105" s="27">
        <f t="shared" si="11"/>
        <v>0</v>
      </c>
      <c r="F105" s="27">
        <f t="shared" si="12"/>
        <v>0</v>
      </c>
      <c r="G105" s="27">
        <f t="shared" si="13"/>
        <v>0</v>
      </c>
      <c r="H105" s="27">
        <f t="shared" si="14"/>
        <v>0</v>
      </c>
      <c r="I105" s="27">
        <f t="shared" si="15"/>
        <v>0</v>
      </c>
      <c r="J105" s="27">
        <f t="shared" si="16"/>
        <v>0</v>
      </c>
      <c r="K105" s="27">
        <f t="shared" si="17"/>
        <v>0</v>
      </c>
      <c r="L105" s="27">
        <f t="shared" si="18"/>
        <v>0</v>
      </c>
      <c r="M105" s="28">
        <f t="shared" si="19"/>
        <v>0</v>
      </c>
      <c r="N105" s="27">
        <f t="shared" si="20"/>
        <v>0</v>
      </c>
      <c r="O105" s="27">
        <f t="shared" si="21"/>
        <v>0</v>
      </c>
      <c r="P105" s="27">
        <f t="shared" si="22"/>
        <v>0</v>
      </c>
      <c r="Q105" s="27">
        <f t="shared" si="23"/>
        <v>0</v>
      </c>
      <c r="R105" s="27">
        <f t="shared" si="24"/>
        <v>0</v>
      </c>
      <c r="S105" s="27">
        <f t="shared" si="25"/>
        <v>0</v>
      </c>
      <c r="T105" s="27">
        <f t="shared" si="26"/>
        <v>0</v>
      </c>
      <c r="U105" s="27">
        <f t="shared" si="27"/>
        <v>0</v>
      </c>
      <c r="V105" s="29">
        <f t="shared" si="28"/>
        <v>0</v>
      </c>
    </row>
    <row r="106" spans="1:22" ht="23.25" customHeight="1" thickBot="1">
      <c r="A106" s="268" t="s">
        <v>35</v>
      </c>
      <c r="B106" s="26">
        <f t="shared" si="8"/>
        <v>0</v>
      </c>
      <c r="C106" s="27">
        <f t="shared" si="9"/>
        <v>0</v>
      </c>
      <c r="D106" s="27">
        <f t="shared" si="10"/>
        <v>4.791666666666667</v>
      </c>
      <c r="E106" s="27">
        <f t="shared" si="11"/>
        <v>3.5714285714285716</v>
      </c>
      <c r="F106" s="27">
        <f t="shared" si="12"/>
        <v>4.571428571428571</v>
      </c>
      <c r="G106" s="27">
        <f t="shared" si="13"/>
        <v>0.270935960591133</v>
      </c>
      <c r="H106" s="27">
        <f t="shared" si="14"/>
        <v>2.2325581395348837</v>
      </c>
      <c r="I106" s="27">
        <f t="shared" si="15"/>
        <v>0.06666666666666667</v>
      </c>
      <c r="J106" s="27">
        <f t="shared" si="16"/>
        <v>0</v>
      </c>
      <c r="K106" s="27">
        <f t="shared" si="17"/>
        <v>12.307692307692308</v>
      </c>
      <c r="L106" s="27">
        <f t="shared" si="18"/>
        <v>4.553191489361702</v>
      </c>
      <c r="M106" s="28">
        <f t="shared" si="19"/>
        <v>2.5289128758673862</v>
      </c>
      <c r="N106" s="27">
        <f t="shared" si="20"/>
        <v>3.82</v>
      </c>
      <c r="O106" s="27">
        <f t="shared" si="21"/>
        <v>6.516666666666667</v>
      </c>
      <c r="P106" s="27">
        <f t="shared" si="22"/>
        <v>0</v>
      </c>
      <c r="Q106" s="27">
        <f t="shared" si="23"/>
        <v>0</v>
      </c>
      <c r="R106" s="27">
        <f t="shared" si="24"/>
        <v>6.007042253521127</v>
      </c>
      <c r="S106" s="27">
        <f t="shared" si="25"/>
        <v>6.453333333333333</v>
      </c>
      <c r="T106" s="27">
        <f t="shared" si="26"/>
        <v>2.6666666666666665</v>
      </c>
      <c r="U106" s="27">
        <f t="shared" si="27"/>
        <v>0.35</v>
      </c>
      <c r="V106" s="29">
        <f t="shared" si="28"/>
        <v>3.4020028612303292</v>
      </c>
    </row>
    <row r="107" spans="1:22" ht="23.25" customHeight="1" thickBot="1">
      <c r="A107" s="265" t="s">
        <v>36</v>
      </c>
      <c r="B107" s="26">
        <f t="shared" si="8"/>
        <v>0</v>
      </c>
      <c r="C107" s="27">
        <f t="shared" si="9"/>
        <v>0</v>
      </c>
      <c r="D107" s="27">
        <f t="shared" si="10"/>
        <v>0</v>
      </c>
      <c r="E107" s="27">
        <f t="shared" si="11"/>
        <v>0</v>
      </c>
      <c r="F107" s="27">
        <f t="shared" si="12"/>
        <v>0</v>
      </c>
      <c r="G107" s="27">
        <f t="shared" si="13"/>
        <v>0</v>
      </c>
      <c r="H107" s="27">
        <f t="shared" si="14"/>
        <v>0</v>
      </c>
      <c r="I107" s="27">
        <f t="shared" si="15"/>
        <v>0</v>
      </c>
      <c r="J107" s="27">
        <f t="shared" si="16"/>
        <v>0</v>
      </c>
      <c r="K107" s="27">
        <f t="shared" si="17"/>
        <v>0</v>
      </c>
      <c r="L107" s="27">
        <f t="shared" si="18"/>
        <v>0</v>
      </c>
      <c r="M107" s="28">
        <f t="shared" si="19"/>
        <v>0</v>
      </c>
      <c r="N107" s="27">
        <f t="shared" si="20"/>
        <v>0</v>
      </c>
      <c r="O107" s="27">
        <f t="shared" si="21"/>
        <v>0</v>
      </c>
      <c r="P107" s="27">
        <f t="shared" si="22"/>
        <v>0</v>
      </c>
      <c r="Q107" s="27">
        <f t="shared" si="23"/>
        <v>0</v>
      </c>
      <c r="R107" s="27">
        <f t="shared" si="24"/>
        <v>0</v>
      </c>
      <c r="S107" s="27">
        <f t="shared" si="25"/>
        <v>0</v>
      </c>
      <c r="T107" s="27">
        <f t="shared" si="26"/>
        <v>0</v>
      </c>
      <c r="U107" s="27">
        <f t="shared" si="27"/>
        <v>0</v>
      </c>
      <c r="V107" s="29">
        <f t="shared" si="28"/>
        <v>0</v>
      </c>
    </row>
    <row r="108" spans="1:22" ht="23.25" customHeight="1" thickBot="1">
      <c r="A108" s="265" t="s">
        <v>37</v>
      </c>
      <c r="B108" s="26">
        <f t="shared" si="8"/>
        <v>0</v>
      </c>
      <c r="C108" s="27">
        <f t="shared" si="9"/>
        <v>0</v>
      </c>
      <c r="D108" s="27">
        <f t="shared" si="10"/>
        <v>0</v>
      </c>
      <c r="E108" s="27">
        <f t="shared" si="11"/>
        <v>0</v>
      </c>
      <c r="F108" s="27">
        <f t="shared" si="12"/>
        <v>0</v>
      </c>
      <c r="G108" s="27">
        <f t="shared" si="13"/>
        <v>0</v>
      </c>
      <c r="H108" s="27">
        <f t="shared" si="14"/>
        <v>0</v>
      </c>
      <c r="I108" s="27">
        <f t="shared" si="15"/>
        <v>0</v>
      </c>
      <c r="J108" s="27">
        <f t="shared" si="16"/>
        <v>0</v>
      </c>
      <c r="K108" s="27">
        <f t="shared" si="17"/>
        <v>0</v>
      </c>
      <c r="L108" s="27">
        <f t="shared" si="18"/>
        <v>0</v>
      </c>
      <c r="M108" s="28">
        <f t="shared" si="19"/>
        <v>0</v>
      </c>
      <c r="N108" s="27">
        <f t="shared" si="20"/>
        <v>0</v>
      </c>
      <c r="O108" s="27">
        <f t="shared" si="21"/>
        <v>0</v>
      </c>
      <c r="P108" s="27">
        <f t="shared" si="22"/>
        <v>0</v>
      </c>
      <c r="Q108" s="27">
        <f t="shared" si="23"/>
        <v>0</v>
      </c>
      <c r="R108" s="27">
        <f t="shared" si="24"/>
        <v>0</v>
      </c>
      <c r="S108" s="27">
        <f t="shared" si="25"/>
        <v>0</v>
      </c>
      <c r="T108" s="27">
        <f t="shared" si="26"/>
        <v>0</v>
      </c>
      <c r="U108" s="27">
        <f t="shared" si="27"/>
        <v>0</v>
      </c>
      <c r="V108" s="29">
        <f t="shared" si="28"/>
        <v>0</v>
      </c>
    </row>
    <row r="109" spans="1:22" ht="23.25" customHeight="1" thickBot="1">
      <c r="A109" s="267" t="s">
        <v>38</v>
      </c>
      <c r="B109" s="26">
        <f t="shared" si="8"/>
        <v>0</v>
      </c>
      <c r="C109" s="27">
        <f t="shared" si="9"/>
        <v>0</v>
      </c>
      <c r="D109" s="27">
        <f t="shared" si="10"/>
        <v>0</v>
      </c>
      <c r="E109" s="27">
        <f t="shared" si="11"/>
        <v>0</v>
      </c>
      <c r="F109" s="27">
        <f t="shared" si="12"/>
        <v>4</v>
      </c>
      <c r="G109" s="27">
        <f t="shared" si="13"/>
        <v>0.07389162561576355</v>
      </c>
      <c r="H109" s="27">
        <f t="shared" si="14"/>
        <v>2.2325581395348837</v>
      </c>
      <c r="I109" s="27">
        <f t="shared" si="15"/>
        <v>0.06666666666666667</v>
      </c>
      <c r="J109" s="27">
        <f t="shared" si="16"/>
        <v>2.4130434782608696</v>
      </c>
      <c r="K109" s="27">
        <f t="shared" si="17"/>
        <v>12.523076923076923</v>
      </c>
      <c r="L109" s="27">
        <f t="shared" si="18"/>
        <v>4.361702127659575</v>
      </c>
      <c r="M109" s="28">
        <f t="shared" si="19"/>
        <v>2.276021588280648</v>
      </c>
      <c r="N109" s="27">
        <f t="shared" si="20"/>
        <v>3.82</v>
      </c>
      <c r="O109" s="27">
        <f t="shared" si="21"/>
        <v>6.516666666666667</v>
      </c>
      <c r="P109" s="27">
        <f t="shared" si="22"/>
        <v>0</v>
      </c>
      <c r="Q109" s="27">
        <f t="shared" si="23"/>
        <v>0</v>
      </c>
      <c r="R109" s="27">
        <f t="shared" si="24"/>
        <v>5.654929577464789</v>
      </c>
      <c r="S109" s="27">
        <f t="shared" si="25"/>
        <v>6.453333333333333</v>
      </c>
      <c r="T109" s="27">
        <f t="shared" si="26"/>
        <v>2.6555555555555554</v>
      </c>
      <c r="U109" s="27">
        <f t="shared" si="27"/>
        <v>0.25</v>
      </c>
      <c r="V109" s="29">
        <f t="shared" si="28"/>
        <v>3.3175965665236054</v>
      </c>
    </row>
    <row r="110" spans="1:22" ht="23.25" customHeight="1" thickBot="1">
      <c r="A110" s="267" t="s">
        <v>160</v>
      </c>
      <c r="B110" s="26">
        <f t="shared" si="8"/>
        <v>0</v>
      </c>
      <c r="C110" s="27">
        <f t="shared" si="9"/>
        <v>0</v>
      </c>
      <c r="D110" s="27">
        <f t="shared" si="10"/>
        <v>0</v>
      </c>
      <c r="E110" s="27">
        <f t="shared" si="11"/>
        <v>3.5714285714285716</v>
      </c>
      <c r="F110" s="27">
        <f t="shared" si="12"/>
        <v>0</v>
      </c>
      <c r="G110" s="27">
        <f t="shared" si="13"/>
        <v>0.07389162561576355</v>
      </c>
      <c r="H110" s="27">
        <f t="shared" si="14"/>
        <v>1.5232558139534884</v>
      </c>
      <c r="I110" s="27">
        <f t="shared" si="15"/>
        <v>0.06666666666666667</v>
      </c>
      <c r="J110" s="27">
        <f t="shared" si="16"/>
        <v>0.782608695652174</v>
      </c>
      <c r="K110" s="27">
        <f t="shared" si="17"/>
        <v>9.446153846153846</v>
      </c>
      <c r="L110" s="27">
        <f t="shared" si="18"/>
        <v>1.1702127659574468</v>
      </c>
      <c r="M110" s="28">
        <f t="shared" si="19"/>
        <v>1.5034695451040863</v>
      </c>
      <c r="N110" s="27">
        <f t="shared" si="20"/>
        <v>1.36</v>
      </c>
      <c r="O110" s="27">
        <f t="shared" si="21"/>
        <v>0.5166666666666667</v>
      </c>
      <c r="P110" s="27">
        <f t="shared" si="22"/>
        <v>0</v>
      </c>
      <c r="Q110" s="27">
        <f t="shared" si="23"/>
        <v>0</v>
      </c>
      <c r="R110" s="27">
        <f t="shared" si="24"/>
        <v>2.1971830985915495</v>
      </c>
      <c r="S110" s="27">
        <f t="shared" si="25"/>
        <v>1.52</v>
      </c>
      <c r="T110" s="27">
        <f t="shared" si="26"/>
        <v>2.6555555555555554</v>
      </c>
      <c r="U110" s="27">
        <f t="shared" si="27"/>
        <v>0.25</v>
      </c>
      <c r="V110" s="29">
        <f t="shared" si="28"/>
        <v>1.2188841201716738</v>
      </c>
    </row>
    <row r="111" spans="1:22" ht="23.25" customHeight="1" thickBot="1">
      <c r="A111" s="267" t="s">
        <v>161</v>
      </c>
      <c r="B111" s="26">
        <f t="shared" si="8"/>
        <v>0</v>
      </c>
      <c r="C111" s="27">
        <f t="shared" si="9"/>
        <v>0</v>
      </c>
      <c r="D111" s="27">
        <f t="shared" si="10"/>
        <v>4.791666666666667</v>
      </c>
      <c r="E111" s="27">
        <f t="shared" si="11"/>
        <v>0</v>
      </c>
      <c r="F111" s="27">
        <f t="shared" si="12"/>
        <v>4</v>
      </c>
      <c r="G111" s="27">
        <f t="shared" si="13"/>
        <v>0</v>
      </c>
      <c r="H111" s="27">
        <f t="shared" si="14"/>
        <v>0</v>
      </c>
      <c r="I111" s="27">
        <f t="shared" si="15"/>
        <v>0</v>
      </c>
      <c r="J111" s="27">
        <f t="shared" si="16"/>
        <v>0</v>
      </c>
      <c r="K111" s="27">
        <f t="shared" si="17"/>
        <v>2.3076923076923075</v>
      </c>
      <c r="L111" s="27">
        <f t="shared" si="18"/>
        <v>3.1914893617021276</v>
      </c>
      <c r="M111" s="28">
        <f t="shared" si="19"/>
        <v>0.8558211256746338</v>
      </c>
      <c r="N111" s="27">
        <f t="shared" si="20"/>
        <v>1.99</v>
      </c>
      <c r="O111" s="27">
        <f t="shared" si="21"/>
        <v>6</v>
      </c>
      <c r="P111" s="27">
        <f t="shared" si="22"/>
        <v>0</v>
      </c>
      <c r="Q111" s="27">
        <f t="shared" si="23"/>
        <v>0</v>
      </c>
      <c r="R111" s="27">
        <f t="shared" si="24"/>
        <v>3.028169014084507</v>
      </c>
      <c r="S111" s="27">
        <f t="shared" si="25"/>
        <v>4.933333333333334</v>
      </c>
      <c r="T111" s="27">
        <f t="shared" si="26"/>
        <v>0</v>
      </c>
      <c r="U111" s="27">
        <f t="shared" si="27"/>
        <v>0</v>
      </c>
      <c r="V111" s="29">
        <f t="shared" si="28"/>
        <v>1.944206008583691</v>
      </c>
    </row>
    <row r="112" spans="1:22" ht="23.25" customHeight="1" thickBot="1">
      <c r="A112" s="267" t="s">
        <v>162</v>
      </c>
      <c r="B112" s="26">
        <f t="shared" si="8"/>
        <v>0</v>
      </c>
      <c r="C112" s="27">
        <f t="shared" si="9"/>
        <v>0</v>
      </c>
      <c r="D112" s="27">
        <f t="shared" si="10"/>
        <v>0</v>
      </c>
      <c r="E112" s="27">
        <f t="shared" si="11"/>
        <v>0</v>
      </c>
      <c r="F112" s="27">
        <f t="shared" si="12"/>
        <v>0</v>
      </c>
      <c r="G112" s="27">
        <f t="shared" si="13"/>
        <v>0</v>
      </c>
      <c r="H112" s="27">
        <f t="shared" si="14"/>
        <v>0.7093023255813954</v>
      </c>
      <c r="I112" s="27">
        <f t="shared" si="15"/>
        <v>0</v>
      </c>
      <c r="J112" s="27">
        <f t="shared" si="16"/>
        <v>0</v>
      </c>
      <c r="K112" s="27">
        <f t="shared" si="17"/>
        <v>0.7692307692307693</v>
      </c>
      <c r="L112" s="27">
        <f t="shared" si="18"/>
        <v>0</v>
      </c>
      <c r="M112" s="28">
        <f t="shared" si="19"/>
        <v>0.17116422513492677</v>
      </c>
      <c r="N112" s="27">
        <f t="shared" si="20"/>
        <v>0.47</v>
      </c>
      <c r="O112" s="27">
        <f t="shared" si="21"/>
        <v>0</v>
      </c>
      <c r="P112" s="27">
        <f t="shared" si="22"/>
        <v>0</v>
      </c>
      <c r="Q112" s="27">
        <f t="shared" si="23"/>
        <v>0</v>
      </c>
      <c r="R112" s="27">
        <f t="shared" si="24"/>
        <v>0.4295774647887324</v>
      </c>
      <c r="S112" s="27">
        <f t="shared" si="25"/>
        <v>0</v>
      </c>
      <c r="T112" s="27">
        <f t="shared" si="26"/>
        <v>0.011111111111111112</v>
      </c>
      <c r="U112" s="27">
        <f t="shared" si="27"/>
        <v>0</v>
      </c>
      <c r="V112" s="29">
        <f t="shared" si="28"/>
        <v>0.15593705293276108</v>
      </c>
    </row>
    <row r="113" spans="1:22" ht="23.25" customHeight="1" thickBot="1">
      <c r="A113" s="267" t="s">
        <v>163</v>
      </c>
      <c r="B113" s="26">
        <f t="shared" si="8"/>
        <v>0</v>
      </c>
      <c r="C113" s="27">
        <f t="shared" si="9"/>
        <v>0</v>
      </c>
      <c r="D113" s="27">
        <f t="shared" si="10"/>
        <v>0</v>
      </c>
      <c r="E113" s="27">
        <f t="shared" si="11"/>
        <v>0</v>
      </c>
      <c r="F113" s="27">
        <f t="shared" si="12"/>
        <v>0</v>
      </c>
      <c r="G113" s="27">
        <f t="shared" si="13"/>
        <v>0</v>
      </c>
      <c r="H113" s="27">
        <f t="shared" si="14"/>
        <v>0</v>
      </c>
      <c r="I113" s="27">
        <f t="shared" si="15"/>
        <v>0</v>
      </c>
      <c r="J113" s="27">
        <f t="shared" si="16"/>
        <v>0</v>
      </c>
      <c r="K113" s="27">
        <f t="shared" si="17"/>
        <v>0</v>
      </c>
      <c r="L113" s="27">
        <f t="shared" si="18"/>
        <v>0</v>
      </c>
      <c r="M113" s="28">
        <f t="shared" si="19"/>
        <v>0</v>
      </c>
      <c r="N113" s="27">
        <f t="shared" si="20"/>
        <v>0</v>
      </c>
      <c r="O113" s="27">
        <f t="shared" si="21"/>
        <v>0</v>
      </c>
      <c r="P113" s="27">
        <f t="shared" si="22"/>
        <v>0</v>
      </c>
      <c r="Q113" s="27">
        <f t="shared" si="23"/>
        <v>0</v>
      </c>
      <c r="R113" s="27">
        <f t="shared" si="24"/>
        <v>0</v>
      </c>
      <c r="S113" s="27">
        <f t="shared" si="25"/>
        <v>0</v>
      </c>
      <c r="T113" s="27">
        <f t="shared" si="26"/>
        <v>0</v>
      </c>
      <c r="U113" s="27">
        <f t="shared" si="27"/>
        <v>0</v>
      </c>
      <c r="V113" s="29">
        <f t="shared" si="28"/>
        <v>0</v>
      </c>
    </row>
    <row r="114" spans="1:22" ht="23.25" customHeight="1" thickBot="1">
      <c r="A114" s="268" t="s">
        <v>39</v>
      </c>
      <c r="B114" s="26">
        <f t="shared" si="8"/>
        <v>0.06422018348623854</v>
      </c>
      <c r="C114" s="27">
        <f t="shared" si="9"/>
        <v>0</v>
      </c>
      <c r="D114" s="27">
        <f t="shared" si="10"/>
        <v>0</v>
      </c>
      <c r="E114" s="27">
        <f t="shared" si="11"/>
        <v>0.14285714285714285</v>
      </c>
      <c r="F114" s="27">
        <f t="shared" si="12"/>
        <v>0.17142857142857143</v>
      </c>
      <c r="G114" s="27">
        <f t="shared" si="13"/>
        <v>0.1724137931034483</v>
      </c>
      <c r="H114" s="27">
        <f t="shared" si="14"/>
        <v>0.011627906976744186</v>
      </c>
      <c r="I114" s="27">
        <f t="shared" si="15"/>
        <v>0.06153846153846154</v>
      </c>
      <c r="J114" s="27">
        <f t="shared" si="16"/>
        <v>0.010869565217391304</v>
      </c>
      <c r="K114" s="27">
        <f t="shared" si="17"/>
        <v>0.15384615384615385</v>
      </c>
      <c r="L114" s="27">
        <f t="shared" si="18"/>
        <v>0.10638297872340426</v>
      </c>
      <c r="M114" s="28">
        <f t="shared" si="19"/>
        <v>0.08404009252120277</v>
      </c>
      <c r="N114" s="27">
        <f t="shared" si="20"/>
        <v>0.06</v>
      </c>
      <c r="O114" s="27">
        <f t="shared" si="21"/>
        <v>0.016666666666666666</v>
      </c>
      <c r="P114" s="27">
        <f t="shared" si="22"/>
        <v>0.06944444444444445</v>
      </c>
      <c r="Q114" s="27">
        <f t="shared" si="23"/>
        <v>0</v>
      </c>
      <c r="R114" s="27">
        <f t="shared" si="24"/>
        <v>0.07042253521126761</v>
      </c>
      <c r="S114" s="27">
        <f t="shared" si="25"/>
        <v>0</v>
      </c>
      <c r="T114" s="27">
        <f t="shared" si="26"/>
        <v>0.011111111111111112</v>
      </c>
      <c r="U114" s="27">
        <f t="shared" si="27"/>
        <v>0.125</v>
      </c>
      <c r="V114" s="29">
        <f t="shared" si="28"/>
        <v>0.04721030042918455</v>
      </c>
    </row>
    <row r="115" spans="1:22" ht="23.25" customHeight="1" thickBot="1">
      <c r="A115" s="265" t="s">
        <v>40</v>
      </c>
      <c r="B115" s="26">
        <f t="shared" si="8"/>
        <v>0.06422018348623854</v>
      </c>
      <c r="C115" s="27">
        <f t="shared" si="9"/>
        <v>0</v>
      </c>
      <c r="D115" s="27">
        <f t="shared" si="10"/>
        <v>0</v>
      </c>
      <c r="E115" s="27">
        <f t="shared" si="11"/>
        <v>0.14285714285714285</v>
      </c>
      <c r="F115" s="27">
        <f t="shared" si="12"/>
        <v>0.17142857142857143</v>
      </c>
      <c r="G115" s="27">
        <f t="shared" si="13"/>
        <v>0.1477832512315271</v>
      </c>
      <c r="H115" s="27">
        <f t="shared" si="14"/>
        <v>0.011627906976744186</v>
      </c>
      <c r="I115" s="27">
        <f t="shared" si="15"/>
        <v>0.06153846153846154</v>
      </c>
      <c r="J115" s="27">
        <f t="shared" si="16"/>
        <v>0.010869565217391304</v>
      </c>
      <c r="K115" s="27">
        <f t="shared" si="17"/>
        <v>0.15384615384615385</v>
      </c>
      <c r="L115" s="27">
        <f t="shared" si="18"/>
        <v>0.10638297872340426</v>
      </c>
      <c r="M115" s="28">
        <f t="shared" si="19"/>
        <v>0.08018504240555127</v>
      </c>
      <c r="N115" s="27">
        <f t="shared" si="20"/>
        <v>0.06</v>
      </c>
      <c r="O115" s="27">
        <f t="shared" si="21"/>
        <v>0.016666666666666666</v>
      </c>
      <c r="P115" s="27">
        <f t="shared" si="22"/>
        <v>0.06944444444444445</v>
      </c>
      <c r="Q115" s="27">
        <f t="shared" si="23"/>
        <v>0</v>
      </c>
      <c r="R115" s="27">
        <f t="shared" si="24"/>
        <v>0.07042253521126761</v>
      </c>
      <c r="S115" s="27">
        <f t="shared" si="25"/>
        <v>0</v>
      </c>
      <c r="T115" s="27">
        <f t="shared" si="26"/>
        <v>0.011111111111111112</v>
      </c>
      <c r="U115" s="27">
        <f t="shared" si="27"/>
        <v>0.125</v>
      </c>
      <c r="V115" s="29">
        <f t="shared" si="28"/>
        <v>0.04721030042918455</v>
      </c>
    </row>
    <row r="116" spans="1:22" ht="23.25" customHeight="1" thickBot="1">
      <c r="A116" s="265" t="s">
        <v>41</v>
      </c>
      <c r="B116" s="26">
        <f t="shared" si="8"/>
        <v>0</v>
      </c>
      <c r="C116" s="27">
        <f t="shared" si="9"/>
        <v>0</v>
      </c>
      <c r="D116" s="27">
        <f t="shared" si="10"/>
        <v>0</v>
      </c>
      <c r="E116" s="27">
        <f t="shared" si="11"/>
        <v>0</v>
      </c>
      <c r="F116" s="27">
        <f t="shared" si="12"/>
        <v>0</v>
      </c>
      <c r="G116" s="27">
        <f t="shared" si="13"/>
        <v>0</v>
      </c>
      <c r="H116" s="27">
        <f t="shared" si="14"/>
        <v>0</v>
      </c>
      <c r="I116" s="27">
        <f t="shared" si="15"/>
        <v>0</v>
      </c>
      <c r="J116" s="27">
        <f t="shared" si="16"/>
        <v>0</v>
      </c>
      <c r="K116" s="27">
        <f t="shared" si="17"/>
        <v>0</v>
      </c>
      <c r="L116" s="27">
        <f t="shared" si="18"/>
        <v>0</v>
      </c>
      <c r="M116" s="28">
        <f t="shared" si="19"/>
        <v>0</v>
      </c>
      <c r="N116" s="27">
        <f t="shared" si="20"/>
        <v>0</v>
      </c>
      <c r="O116" s="27">
        <f t="shared" si="21"/>
        <v>0</v>
      </c>
      <c r="P116" s="27">
        <f t="shared" si="22"/>
        <v>0</v>
      </c>
      <c r="Q116" s="27">
        <f t="shared" si="23"/>
        <v>0</v>
      </c>
      <c r="R116" s="27">
        <f t="shared" si="24"/>
        <v>0</v>
      </c>
      <c r="S116" s="27">
        <f t="shared" si="25"/>
        <v>0</v>
      </c>
      <c r="T116" s="27">
        <f t="shared" si="26"/>
        <v>0</v>
      </c>
      <c r="U116" s="27">
        <f t="shared" si="27"/>
        <v>0</v>
      </c>
      <c r="V116" s="29">
        <f t="shared" si="28"/>
        <v>0</v>
      </c>
    </row>
    <row r="117" spans="1:22" ht="23.25" customHeight="1" thickBot="1">
      <c r="A117" s="268" t="s">
        <v>42</v>
      </c>
      <c r="B117" s="26">
        <f t="shared" si="8"/>
        <v>43.88990825688074</v>
      </c>
      <c r="C117" s="27">
        <f t="shared" si="9"/>
        <v>89.67543859649123</v>
      </c>
      <c r="D117" s="27">
        <f t="shared" si="10"/>
        <v>72.20833333333333</v>
      </c>
      <c r="E117" s="27">
        <f t="shared" si="11"/>
        <v>66.07142857142857</v>
      </c>
      <c r="F117" s="27">
        <f t="shared" si="12"/>
        <v>79.1</v>
      </c>
      <c r="G117" s="27">
        <f t="shared" si="13"/>
        <v>59.004926108374384</v>
      </c>
      <c r="H117" s="27">
        <f t="shared" si="14"/>
        <v>70.26744186046511</v>
      </c>
      <c r="I117" s="27">
        <f t="shared" si="15"/>
        <v>68.70769230769231</v>
      </c>
      <c r="J117" s="27">
        <f t="shared" si="16"/>
        <v>71.26086956521739</v>
      </c>
      <c r="K117" s="27">
        <f t="shared" si="17"/>
        <v>71.32307692307693</v>
      </c>
      <c r="L117" s="27">
        <f t="shared" si="18"/>
        <v>94.88297872340425</v>
      </c>
      <c r="M117" s="28">
        <f t="shared" si="19"/>
        <v>70.04163454124904</v>
      </c>
      <c r="N117" s="27">
        <f t="shared" si="20"/>
        <v>88.33</v>
      </c>
      <c r="O117" s="27">
        <f t="shared" si="21"/>
        <v>132.06666666666666</v>
      </c>
      <c r="P117" s="27">
        <f t="shared" si="22"/>
        <v>267.55555555555554</v>
      </c>
      <c r="Q117" s="27">
        <f t="shared" si="23"/>
        <v>87.1625</v>
      </c>
      <c r="R117" s="27">
        <f t="shared" si="24"/>
        <v>109.0774647887324</v>
      </c>
      <c r="S117" s="27">
        <f t="shared" si="25"/>
        <v>180.58666666666667</v>
      </c>
      <c r="T117" s="27">
        <f t="shared" si="26"/>
        <v>93.06666666666666</v>
      </c>
      <c r="U117" s="27">
        <f t="shared" si="27"/>
        <v>147.375</v>
      </c>
      <c r="V117" s="29">
        <f t="shared" si="28"/>
        <v>131.89270386266094</v>
      </c>
    </row>
    <row r="118" spans="1:22" ht="23.25" customHeight="1" thickBot="1">
      <c r="A118" s="262" t="s">
        <v>164</v>
      </c>
      <c r="B118" s="26">
        <f t="shared" si="8"/>
        <v>9.238532110091743</v>
      </c>
      <c r="C118" s="27">
        <f t="shared" si="9"/>
        <v>17.350877192982455</v>
      </c>
      <c r="D118" s="27">
        <f t="shared" si="10"/>
        <v>14.8125</v>
      </c>
      <c r="E118" s="27">
        <f t="shared" si="11"/>
        <v>14.8</v>
      </c>
      <c r="F118" s="27">
        <f t="shared" si="12"/>
        <v>14.8</v>
      </c>
      <c r="G118" s="27">
        <f t="shared" si="13"/>
        <v>14.807881773399014</v>
      </c>
      <c r="H118" s="27">
        <f t="shared" si="14"/>
        <v>14.80813953488372</v>
      </c>
      <c r="I118" s="27">
        <f t="shared" si="15"/>
        <v>14.805128205128206</v>
      </c>
      <c r="J118" s="27">
        <f t="shared" si="16"/>
        <v>14.804347826086957</v>
      </c>
      <c r="K118" s="27">
        <f t="shared" si="17"/>
        <v>14.807692307692308</v>
      </c>
      <c r="L118" s="27">
        <f t="shared" si="18"/>
        <v>14.861702127659575</v>
      </c>
      <c r="M118" s="28">
        <f t="shared" si="19"/>
        <v>14.565921356977642</v>
      </c>
      <c r="N118" s="27">
        <f t="shared" si="20"/>
        <v>17.5</v>
      </c>
      <c r="O118" s="27">
        <f t="shared" si="21"/>
        <v>17.5</v>
      </c>
      <c r="P118" s="27">
        <f t="shared" si="22"/>
        <v>17.02777777777778</v>
      </c>
      <c r="Q118" s="27">
        <f t="shared" si="23"/>
        <v>17.5125</v>
      </c>
      <c r="R118" s="27">
        <f t="shared" si="24"/>
        <v>20.098591549295776</v>
      </c>
      <c r="S118" s="27">
        <f t="shared" si="25"/>
        <v>17.506666666666668</v>
      </c>
      <c r="T118" s="27">
        <f t="shared" si="26"/>
        <v>17.511111111111113</v>
      </c>
      <c r="U118" s="27">
        <f t="shared" si="27"/>
        <v>17.5125</v>
      </c>
      <c r="V118" s="29">
        <f t="shared" si="28"/>
        <v>17.984263233190273</v>
      </c>
    </row>
    <row r="119" spans="1:22" ht="23.25" customHeight="1" thickBot="1">
      <c r="A119" s="262" t="s">
        <v>43</v>
      </c>
      <c r="B119" s="26">
        <f t="shared" si="8"/>
        <v>34.65137614678899</v>
      </c>
      <c r="C119" s="27">
        <f t="shared" si="9"/>
        <v>69.58771929824562</v>
      </c>
      <c r="D119" s="27">
        <f t="shared" si="10"/>
        <v>51.145833333333336</v>
      </c>
      <c r="E119" s="27">
        <f t="shared" si="11"/>
        <v>51.27142857142857</v>
      </c>
      <c r="F119" s="27">
        <f t="shared" si="12"/>
        <v>63.385714285714286</v>
      </c>
      <c r="G119" s="27">
        <f t="shared" si="13"/>
        <v>44.19704433497537</v>
      </c>
      <c r="H119" s="27">
        <f t="shared" si="14"/>
        <v>55.4593023255814</v>
      </c>
      <c r="I119" s="27">
        <f t="shared" si="15"/>
        <v>53.9025641025641</v>
      </c>
      <c r="J119" s="27">
        <f t="shared" si="16"/>
        <v>56.45652173913044</v>
      </c>
      <c r="K119" s="27">
        <f t="shared" si="17"/>
        <v>56.3</v>
      </c>
      <c r="L119" s="27">
        <f t="shared" si="18"/>
        <v>71.34042553191489</v>
      </c>
      <c r="M119" s="28">
        <f t="shared" si="19"/>
        <v>54.30377794911334</v>
      </c>
      <c r="N119" s="27">
        <f t="shared" si="20"/>
        <v>70.83</v>
      </c>
      <c r="O119" s="27">
        <f t="shared" si="21"/>
        <v>86.56666666666666</v>
      </c>
      <c r="P119" s="27">
        <f t="shared" si="22"/>
        <v>250.52777777777777</v>
      </c>
      <c r="Q119" s="27">
        <f t="shared" si="23"/>
        <v>69.65</v>
      </c>
      <c r="R119" s="27">
        <f t="shared" si="24"/>
        <v>88.19014084507042</v>
      </c>
      <c r="S119" s="27">
        <f t="shared" si="25"/>
        <v>163.08</v>
      </c>
      <c r="T119" s="27">
        <f t="shared" si="26"/>
        <v>75.55555555555556</v>
      </c>
      <c r="U119" s="27">
        <f t="shared" si="27"/>
        <v>129.8625</v>
      </c>
      <c r="V119" s="29">
        <f t="shared" si="28"/>
        <v>111.3447782546495</v>
      </c>
    </row>
    <row r="120" spans="1:22" ht="23.25" customHeight="1" thickBot="1">
      <c r="A120" s="265" t="s">
        <v>44</v>
      </c>
      <c r="B120" s="26">
        <f t="shared" si="8"/>
        <v>0</v>
      </c>
      <c r="C120" s="27">
        <f t="shared" si="9"/>
        <v>0.8421052631578947</v>
      </c>
      <c r="D120" s="27">
        <f t="shared" si="10"/>
        <v>0</v>
      </c>
      <c r="E120" s="27">
        <f t="shared" si="11"/>
        <v>0</v>
      </c>
      <c r="F120" s="27">
        <f t="shared" si="12"/>
        <v>0.9142857142857143</v>
      </c>
      <c r="G120" s="27">
        <f t="shared" si="13"/>
        <v>0</v>
      </c>
      <c r="H120" s="27">
        <f t="shared" si="14"/>
        <v>0</v>
      </c>
      <c r="I120" s="27">
        <f t="shared" si="15"/>
        <v>0</v>
      </c>
      <c r="J120" s="27">
        <f t="shared" si="16"/>
        <v>0</v>
      </c>
      <c r="K120" s="27">
        <f t="shared" si="17"/>
        <v>0.2153846153846154</v>
      </c>
      <c r="L120" s="27">
        <f t="shared" si="18"/>
        <v>0</v>
      </c>
      <c r="M120" s="28">
        <f t="shared" si="19"/>
        <v>0.14494988434849654</v>
      </c>
      <c r="N120" s="27">
        <f t="shared" si="20"/>
        <v>0</v>
      </c>
      <c r="O120" s="27">
        <f t="shared" si="21"/>
        <v>0</v>
      </c>
      <c r="P120" s="27">
        <f t="shared" si="22"/>
        <v>0</v>
      </c>
      <c r="Q120" s="27">
        <f t="shared" si="23"/>
        <v>0</v>
      </c>
      <c r="R120" s="27">
        <f t="shared" si="24"/>
        <v>0.7887323943661971</v>
      </c>
      <c r="S120" s="27">
        <f t="shared" si="25"/>
        <v>0</v>
      </c>
      <c r="T120" s="27">
        <f t="shared" si="26"/>
        <v>0</v>
      </c>
      <c r="U120" s="27">
        <f t="shared" si="27"/>
        <v>0</v>
      </c>
      <c r="V120" s="29">
        <f t="shared" si="28"/>
        <v>0.16022889842632332</v>
      </c>
    </row>
    <row r="121" spans="1:22" ht="23.25" customHeight="1" thickBot="1">
      <c r="A121" s="262" t="s">
        <v>45</v>
      </c>
      <c r="B121" s="26">
        <f t="shared" si="8"/>
        <v>0</v>
      </c>
      <c r="C121" s="27">
        <f t="shared" si="9"/>
        <v>0.5263157894736842</v>
      </c>
      <c r="D121" s="27">
        <f t="shared" si="10"/>
        <v>0</v>
      </c>
      <c r="E121" s="27">
        <f t="shared" si="11"/>
        <v>0</v>
      </c>
      <c r="F121" s="27">
        <f t="shared" si="12"/>
        <v>0</v>
      </c>
      <c r="G121" s="27">
        <f t="shared" si="13"/>
        <v>0</v>
      </c>
      <c r="H121" s="27">
        <f t="shared" si="14"/>
        <v>0</v>
      </c>
      <c r="I121" s="27">
        <f t="shared" si="15"/>
        <v>0</v>
      </c>
      <c r="J121" s="27">
        <f t="shared" si="16"/>
        <v>0</v>
      </c>
      <c r="K121" s="27">
        <f t="shared" si="17"/>
        <v>0</v>
      </c>
      <c r="L121" s="27">
        <f t="shared" si="18"/>
        <v>8.680851063829786</v>
      </c>
      <c r="M121" s="28">
        <f t="shared" si="19"/>
        <v>0.6754047802621435</v>
      </c>
      <c r="N121" s="27">
        <f t="shared" si="20"/>
        <v>0</v>
      </c>
      <c r="O121" s="27">
        <f t="shared" si="21"/>
        <v>28</v>
      </c>
      <c r="P121" s="27">
        <f t="shared" si="22"/>
        <v>0</v>
      </c>
      <c r="Q121" s="27">
        <f t="shared" si="23"/>
        <v>0</v>
      </c>
      <c r="R121" s="27">
        <f t="shared" si="24"/>
        <v>0</v>
      </c>
      <c r="S121" s="27">
        <f t="shared" si="25"/>
        <v>0</v>
      </c>
      <c r="T121" s="27">
        <f t="shared" si="26"/>
        <v>0</v>
      </c>
      <c r="U121" s="27">
        <f t="shared" si="27"/>
        <v>0</v>
      </c>
      <c r="V121" s="29">
        <f t="shared" si="28"/>
        <v>2.40343347639485</v>
      </c>
    </row>
    <row r="122" spans="1:22" ht="23.25" customHeight="1" thickBot="1">
      <c r="A122" s="266" t="s">
        <v>46</v>
      </c>
      <c r="B122" s="327">
        <f t="shared" si="8"/>
        <v>209.8348623853211</v>
      </c>
      <c r="C122" s="328">
        <f t="shared" si="9"/>
        <v>270.2894736842105</v>
      </c>
      <c r="D122" s="328">
        <f t="shared" si="10"/>
        <v>233.66666666666666</v>
      </c>
      <c r="E122" s="328">
        <f t="shared" si="11"/>
        <v>242.85714285714286</v>
      </c>
      <c r="F122" s="328">
        <f t="shared" si="12"/>
        <v>317.5</v>
      </c>
      <c r="G122" s="328">
        <f t="shared" si="13"/>
        <v>224.32512315270935</v>
      </c>
      <c r="H122" s="328">
        <f t="shared" si="14"/>
        <v>253.53488372093022</v>
      </c>
      <c r="I122" s="328">
        <f t="shared" si="15"/>
        <v>252.84615384615384</v>
      </c>
      <c r="J122" s="328">
        <f t="shared" si="16"/>
        <v>282.8152173913044</v>
      </c>
      <c r="K122" s="328">
        <f t="shared" si="17"/>
        <v>297.3615384615385</v>
      </c>
      <c r="L122" s="328">
        <f t="shared" si="18"/>
        <v>344.59574468085106</v>
      </c>
      <c r="M122" s="329">
        <f t="shared" si="19"/>
        <v>261.869699306091</v>
      </c>
      <c r="N122" s="328">
        <f t="shared" si="20"/>
        <v>257.48</v>
      </c>
      <c r="O122" s="328">
        <f t="shared" si="21"/>
        <v>327.5833333333333</v>
      </c>
      <c r="P122" s="328">
        <f t="shared" si="22"/>
        <v>421.8888888888889</v>
      </c>
      <c r="Q122" s="328">
        <f t="shared" si="23"/>
        <v>254.9125</v>
      </c>
      <c r="R122" s="328">
        <f t="shared" si="24"/>
        <v>321.17605633802816</v>
      </c>
      <c r="S122" s="328">
        <f t="shared" si="25"/>
        <v>362.2266666666667</v>
      </c>
      <c r="T122" s="328">
        <f t="shared" si="26"/>
        <v>250.8111111111111</v>
      </c>
      <c r="U122" s="328">
        <f t="shared" si="27"/>
        <v>310.275</v>
      </c>
      <c r="V122" s="29">
        <f t="shared" si="28"/>
        <v>309.50071530758225</v>
      </c>
    </row>
    <row r="123" spans="1:22" ht="23.25" customHeight="1" thickBot="1">
      <c r="A123" s="263" t="s">
        <v>47</v>
      </c>
      <c r="B123" s="26">
        <f t="shared" si="8"/>
        <v>38.63302752293578</v>
      </c>
      <c r="C123" s="27">
        <f t="shared" si="9"/>
        <v>32.95614035087719</v>
      </c>
      <c r="D123" s="27">
        <f t="shared" si="10"/>
        <v>39.0625</v>
      </c>
      <c r="E123" s="27">
        <f t="shared" si="11"/>
        <v>37.142857142857146</v>
      </c>
      <c r="F123" s="27">
        <f t="shared" si="12"/>
        <v>47.57142857142857</v>
      </c>
      <c r="G123" s="27">
        <f t="shared" si="13"/>
        <v>33.97536945812808</v>
      </c>
      <c r="H123" s="27">
        <f t="shared" si="14"/>
        <v>38.18604651162791</v>
      </c>
      <c r="I123" s="27">
        <f t="shared" si="15"/>
        <v>37.3948717948718</v>
      </c>
      <c r="J123" s="27">
        <f t="shared" si="16"/>
        <v>46.77173913043478</v>
      </c>
      <c r="K123" s="27">
        <f t="shared" si="17"/>
        <v>41.03846153846154</v>
      </c>
      <c r="L123" s="27">
        <f t="shared" si="18"/>
        <v>54.41489361702128</v>
      </c>
      <c r="M123" s="28">
        <f t="shared" si="19"/>
        <v>39.53970701619121</v>
      </c>
      <c r="N123" s="27">
        <f t="shared" si="20"/>
        <v>39.78</v>
      </c>
      <c r="O123" s="27">
        <f t="shared" si="21"/>
        <v>43.8</v>
      </c>
      <c r="P123" s="27">
        <f t="shared" si="22"/>
        <v>48.52777777777778</v>
      </c>
      <c r="Q123" s="27">
        <f t="shared" si="23"/>
        <v>42.875</v>
      </c>
      <c r="R123" s="27">
        <f t="shared" si="24"/>
        <v>39.014084507042256</v>
      </c>
      <c r="S123" s="27">
        <f t="shared" si="25"/>
        <v>50.2</v>
      </c>
      <c r="T123" s="27">
        <f t="shared" si="26"/>
        <v>37.855555555555554</v>
      </c>
      <c r="U123" s="27">
        <f t="shared" si="27"/>
        <v>11.275</v>
      </c>
      <c r="V123" s="29">
        <f t="shared" si="28"/>
        <v>38.832618025751074</v>
      </c>
    </row>
    <row r="124" spans="1:22" ht="23.25" customHeight="1" thickBot="1">
      <c r="A124" s="262" t="s">
        <v>48</v>
      </c>
      <c r="B124" s="26">
        <f t="shared" si="8"/>
        <v>23.55045871559633</v>
      </c>
      <c r="C124" s="27">
        <f t="shared" si="9"/>
        <v>19.29824561403509</v>
      </c>
      <c r="D124" s="27">
        <f t="shared" si="10"/>
        <v>27.083333333333332</v>
      </c>
      <c r="E124" s="27">
        <f t="shared" si="11"/>
        <v>28.771428571428572</v>
      </c>
      <c r="F124" s="27">
        <f t="shared" si="12"/>
        <v>28.571428571428573</v>
      </c>
      <c r="G124" s="27">
        <f t="shared" si="13"/>
        <v>26.00985221674877</v>
      </c>
      <c r="H124" s="27">
        <f t="shared" si="14"/>
        <v>28.8546511627907</v>
      </c>
      <c r="I124" s="27">
        <f t="shared" si="15"/>
        <v>28.543589743589745</v>
      </c>
      <c r="J124" s="27">
        <f t="shared" si="16"/>
        <v>36.01086956521739</v>
      </c>
      <c r="K124" s="27">
        <f t="shared" si="17"/>
        <v>0</v>
      </c>
      <c r="L124" s="27">
        <f t="shared" si="18"/>
        <v>37.234042553191486</v>
      </c>
      <c r="M124" s="28">
        <f t="shared" si="19"/>
        <v>25.214340786430224</v>
      </c>
      <c r="N124" s="27">
        <f t="shared" si="20"/>
        <v>28.2</v>
      </c>
      <c r="O124" s="27">
        <f t="shared" si="21"/>
        <v>31.416666666666668</v>
      </c>
      <c r="P124" s="27">
        <f t="shared" si="22"/>
        <v>8.125</v>
      </c>
      <c r="Q124" s="27">
        <f t="shared" si="23"/>
        <v>30.625</v>
      </c>
      <c r="R124" s="27">
        <f t="shared" si="24"/>
        <v>29.577464788732396</v>
      </c>
      <c r="S124" s="27">
        <f t="shared" si="25"/>
        <v>29.12</v>
      </c>
      <c r="T124" s="27">
        <f t="shared" si="26"/>
        <v>29.68888888888889</v>
      </c>
      <c r="U124" s="27">
        <f t="shared" si="27"/>
        <v>1.275</v>
      </c>
      <c r="V124" s="29">
        <f t="shared" si="28"/>
        <v>24.17453505007153</v>
      </c>
    </row>
    <row r="125" spans="1:22" ht="23.25" customHeight="1" thickBot="1">
      <c r="A125" s="262" t="s">
        <v>49</v>
      </c>
      <c r="B125" s="26">
        <f t="shared" si="8"/>
        <v>1.5596330275229358</v>
      </c>
      <c r="C125" s="27">
        <f t="shared" si="9"/>
        <v>1.0526315789473684</v>
      </c>
      <c r="D125" s="27">
        <f t="shared" si="10"/>
        <v>1.6666666666666667</v>
      </c>
      <c r="E125" s="27">
        <f t="shared" si="11"/>
        <v>0.7142857142857143</v>
      </c>
      <c r="F125" s="27">
        <f t="shared" si="12"/>
        <v>2.4285714285714284</v>
      </c>
      <c r="G125" s="27">
        <f t="shared" si="13"/>
        <v>0.541871921182266</v>
      </c>
      <c r="H125" s="27">
        <f t="shared" si="14"/>
        <v>0.5523255813953488</v>
      </c>
      <c r="I125" s="27">
        <f t="shared" si="15"/>
        <v>0.23076923076923078</v>
      </c>
      <c r="J125" s="27">
        <f t="shared" si="16"/>
        <v>0.2717391304347826</v>
      </c>
      <c r="K125" s="27">
        <f t="shared" si="17"/>
        <v>0.9230769230769231</v>
      </c>
      <c r="L125" s="27">
        <f t="shared" si="18"/>
        <v>0.5319148936170213</v>
      </c>
      <c r="M125" s="28">
        <f t="shared" si="19"/>
        <v>0.7979953739398612</v>
      </c>
      <c r="N125" s="27">
        <f t="shared" si="20"/>
        <v>2.75</v>
      </c>
      <c r="O125" s="27">
        <f t="shared" si="21"/>
        <v>1.9166666666666667</v>
      </c>
      <c r="P125" s="27">
        <f t="shared" si="22"/>
        <v>2.0833333333333335</v>
      </c>
      <c r="Q125" s="27">
        <f t="shared" si="23"/>
        <v>1</v>
      </c>
      <c r="R125" s="27">
        <f t="shared" si="24"/>
        <v>1.1971830985915493</v>
      </c>
      <c r="S125" s="27">
        <f t="shared" si="25"/>
        <v>3.466666666666667</v>
      </c>
      <c r="T125" s="27">
        <f t="shared" si="26"/>
        <v>0.8888888888888888</v>
      </c>
      <c r="U125" s="27">
        <f t="shared" si="27"/>
        <v>1.125</v>
      </c>
      <c r="V125" s="29">
        <f t="shared" si="28"/>
        <v>1.7453505007153076</v>
      </c>
    </row>
    <row r="126" spans="1:22" ht="23.25" customHeight="1" thickBot="1">
      <c r="A126" s="262" t="s">
        <v>50</v>
      </c>
      <c r="B126" s="26">
        <f t="shared" si="8"/>
        <v>5.504587155963303</v>
      </c>
      <c r="C126" s="27">
        <f t="shared" si="9"/>
        <v>1.7543859649122806</v>
      </c>
      <c r="D126" s="27">
        <f t="shared" si="10"/>
        <v>1.0416666666666667</v>
      </c>
      <c r="E126" s="27">
        <f t="shared" si="11"/>
        <v>0.5714285714285714</v>
      </c>
      <c r="F126" s="27">
        <f t="shared" si="12"/>
        <v>1.4285714285714286</v>
      </c>
      <c r="G126" s="27">
        <f t="shared" si="13"/>
        <v>0.7389162561576355</v>
      </c>
      <c r="H126" s="27">
        <f t="shared" si="14"/>
        <v>0.23255813953488372</v>
      </c>
      <c r="I126" s="27">
        <f t="shared" si="15"/>
        <v>1.7435897435897436</v>
      </c>
      <c r="J126" s="27">
        <f t="shared" si="16"/>
        <v>0.7608695652173914</v>
      </c>
      <c r="K126" s="27">
        <f t="shared" si="17"/>
        <v>0.9230769230769231</v>
      </c>
      <c r="L126" s="27">
        <f t="shared" si="18"/>
        <v>1.0638297872340425</v>
      </c>
      <c r="M126" s="28">
        <f t="shared" si="19"/>
        <v>1.3955281418658443</v>
      </c>
      <c r="N126" s="27">
        <f t="shared" si="20"/>
        <v>0.03</v>
      </c>
      <c r="O126" s="27">
        <f t="shared" si="21"/>
        <v>0.6166666666666667</v>
      </c>
      <c r="P126" s="27">
        <f t="shared" si="22"/>
        <v>0.8333333333333334</v>
      </c>
      <c r="Q126" s="27">
        <f t="shared" si="23"/>
        <v>1.25</v>
      </c>
      <c r="R126" s="27">
        <f t="shared" si="24"/>
        <v>1.0211267605633803</v>
      </c>
      <c r="S126" s="27">
        <f t="shared" si="25"/>
        <v>0</v>
      </c>
      <c r="T126" s="27">
        <f t="shared" si="26"/>
        <v>0.6666666666666666</v>
      </c>
      <c r="U126" s="27">
        <f t="shared" si="27"/>
        <v>0.375</v>
      </c>
      <c r="V126" s="29">
        <f t="shared" si="28"/>
        <v>0.6223175965665236</v>
      </c>
    </row>
    <row r="127" spans="1:22" ht="23.25" customHeight="1" thickBot="1">
      <c r="A127" s="262" t="s">
        <v>51</v>
      </c>
      <c r="B127" s="26">
        <f t="shared" si="8"/>
        <v>0.27522935779816515</v>
      </c>
      <c r="C127" s="27">
        <f t="shared" si="9"/>
        <v>0.21929824561403508</v>
      </c>
      <c r="D127" s="27">
        <f t="shared" si="10"/>
        <v>0.10416666666666667</v>
      </c>
      <c r="E127" s="27">
        <f t="shared" si="11"/>
        <v>0.2857142857142857</v>
      </c>
      <c r="F127" s="27">
        <f t="shared" si="12"/>
        <v>0.2857142857142857</v>
      </c>
      <c r="G127" s="27">
        <f t="shared" si="13"/>
        <v>0.2955665024630542</v>
      </c>
      <c r="H127" s="27">
        <f t="shared" si="14"/>
        <v>0.05813953488372093</v>
      </c>
      <c r="I127" s="27">
        <f t="shared" si="15"/>
        <v>0.11282051282051282</v>
      </c>
      <c r="J127" s="27">
        <f t="shared" si="16"/>
        <v>0.16304347826086957</v>
      </c>
      <c r="K127" s="27">
        <f t="shared" si="17"/>
        <v>0.11538461538461539</v>
      </c>
      <c r="L127" s="27">
        <f t="shared" si="18"/>
        <v>0.1595744680851064</v>
      </c>
      <c r="M127" s="28">
        <f t="shared" si="19"/>
        <v>0.18272937548188126</v>
      </c>
      <c r="N127" s="27">
        <f t="shared" si="20"/>
        <v>0.2</v>
      </c>
      <c r="O127" s="27">
        <f t="shared" si="21"/>
        <v>0.23333333333333334</v>
      </c>
      <c r="P127" s="27">
        <f t="shared" si="22"/>
        <v>0.4166666666666667</v>
      </c>
      <c r="Q127" s="27">
        <f t="shared" si="23"/>
        <v>0.25</v>
      </c>
      <c r="R127" s="27">
        <f t="shared" si="24"/>
        <v>0.1056338028169014</v>
      </c>
      <c r="S127" s="27">
        <f t="shared" si="25"/>
        <v>0.3333333333333333</v>
      </c>
      <c r="T127" s="27">
        <f t="shared" si="26"/>
        <v>0.16666666666666666</v>
      </c>
      <c r="U127" s="27">
        <f t="shared" si="27"/>
        <v>0.1875</v>
      </c>
      <c r="V127" s="29">
        <f t="shared" si="28"/>
        <v>0.22031473533619456</v>
      </c>
    </row>
    <row r="128" spans="1:22" ht="23.25" customHeight="1" thickBot="1">
      <c r="A128" s="262" t="s">
        <v>52</v>
      </c>
      <c r="B128" s="26">
        <f t="shared" si="8"/>
        <v>0.3669724770642202</v>
      </c>
      <c r="C128" s="27">
        <f t="shared" si="9"/>
        <v>0.2807017543859649</v>
      </c>
      <c r="D128" s="27">
        <f t="shared" si="10"/>
        <v>0.20833333333333334</v>
      </c>
      <c r="E128" s="27">
        <f t="shared" si="11"/>
        <v>0.08571428571428572</v>
      </c>
      <c r="F128" s="27">
        <f t="shared" si="12"/>
        <v>0.14285714285714285</v>
      </c>
      <c r="G128" s="27">
        <f t="shared" si="13"/>
        <v>0.059113300492610835</v>
      </c>
      <c r="H128" s="27">
        <f t="shared" si="14"/>
        <v>0.1744186046511628</v>
      </c>
      <c r="I128" s="27">
        <f t="shared" si="15"/>
        <v>0.2153846153846154</v>
      </c>
      <c r="J128" s="27">
        <f t="shared" si="16"/>
        <v>0</v>
      </c>
      <c r="K128" s="27">
        <f t="shared" si="17"/>
        <v>0.23076923076923078</v>
      </c>
      <c r="L128" s="27">
        <f t="shared" si="18"/>
        <v>0.10638297872340426</v>
      </c>
      <c r="M128" s="28">
        <f t="shared" si="19"/>
        <v>0.17116422513492677</v>
      </c>
      <c r="N128" s="27">
        <f t="shared" si="20"/>
        <v>0.2</v>
      </c>
      <c r="O128" s="27">
        <f t="shared" si="21"/>
        <v>1.1333333333333333</v>
      </c>
      <c r="P128" s="27">
        <f t="shared" si="22"/>
        <v>1.25</v>
      </c>
      <c r="Q128" s="27">
        <f t="shared" si="23"/>
        <v>0.375</v>
      </c>
      <c r="R128" s="27">
        <f t="shared" si="24"/>
        <v>0.14084507042253522</v>
      </c>
      <c r="S128" s="27">
        <f t="shared" si="25"/>
        <v>0.9333333333333333</v>
      </c>
      <c r="T128" s="27">
        <f t="shared" si="26"/>
        <v>0.2222222222222222</v>
      </c>
      <c r="U128" s="27">
        <f t="shared" si="27"/>
        <v>0.375</v>
      </c>
      <c r="V128" s="29">
        <f t="shared" si="28"/>
        <v>0.4978540772532189</v>
      </c>
    </row>
    <row r="129" spans="1:22" ht="23.25" customHeight="1" thickBot="1">
      <c r="A129" s="262" t="s">
        <v>53</v>
      </c>
      <c r="B129" s="26">
        <f t="shared" si="8"/>
        <v>0.9174311926605505</v>
      </c>
      <c r="C129" s="27">
        <f t="shared" si="9"/>
        <v>0.6140350877192983</v>
      </c>
      <c r="D129" s="27">
        <f t="shared" si="10"/>
        <v>0.625</v>
      </c>
      <c r="E129" s="27">
        <f t="shared" si="11"/>
        <v>0.14285714285714285</v>
      </c>
      <c r="F129" s="27">
        <f t="shared" si="12"/>
        <v>1.1428571428571428</v>
      </c>
      <c r="G129" s="27">
        <f t="shared" si="13"/>
        <v>0.541871921182266</v>
      </c>
      <c r="H129" s="27">
        <f t="shared" si="14"/>
        <v>1.1627906976744187</v>
      </c>
      <c r="I129" s="27">
        <f t="shared" si="15"/>
        <v>0.46153846153846156</v>
      </c>
      <c r="J129" s="27">
        <f t="shared" si="16"/>
        <v>1.5217391304347827</v>
      </c>
      <c r="K129" s="27">
        <f t="shared" si="17"/>
        <v>0.3076923076923077</v>
      </c>
      <c r="L129" s="27">
        <f t="shared" si="18"/>
        <v>0.425531914893617</v>
      </c>
      <c r="M129" s="28">
        <f t="shared" si="19"/>
        <v>0.7016191210485736</v>
      </c>
      <c r="N129" s="27">
        <f t="shared" si="20"/>
        <v>0.5</v>
      </c>
      <c r="O129" s="27">
        <f t="shared" si="21"/>
        <v>0.31666666666666665</v>
      </c>
      <c r="P129" s="27">
        <f t="shared" si="22"/>
        <v>1.9444444444444444</v>
      </c>
      <c r="Q129" s="27">
        <f t="shared" si="23"/>
        <v>0.625</v>
      </c>
      <c r="R129" s="27">
        <f t="shared" si="24"/>
        <v>0.6338028169014085</v>
      </c>
      <c r="S129" s="27">
        <f t="shared" si="25"/>
        <v>1.4</v>
      </c>
      <c r="T129" s="27">
        <f t="shared" si="26"/>
        <v>0.4444444444444444</v>
      </c>
      <c r="U129" s="27">
        <f t="shared" si="27"/>
        <v>0.75</v>
      </c>
      <c r="V129" s="29">
        <f t="shared" si="28"/>
        <v>0.7925608011444921</v>
      </c>
    </row>
    <row r="130" spans="1:22" ht="23.25" customHeight="1" thickBot="1">
      <c r="A130" s="262" t="s">
        <v>54</v>
      </c>
      <c r="B130" s="26">
        <f t="shared" si="8"/>
        <v>3.376146788990826</v>
      </c>
      <c r="C130" s="27">
        <f t="shared" si="9"/>
        <v>2.8947368421052633</v>
      </c>
      <c r="D130" s="27">
        <f t="shared" si="10"/>
        <v>3.125</v>
      </c>
      <c r="E130" s="27">
        <f t="shared" si="11"/>
        <v>2.5714285714285716</v>
      </c>
      <c r="F130" s="27">
        <f t="shared" si="12"/>
        <v>5</v>
      </c>
      <c r="G130" s="27">
        <f t="shared" si="13"/>
        <v>3.0541871921182264</v>
      </c>
      <c r="H130" s="27">
        <f t="shared" si="14"/>
        <v>3.372093023255814</v>
      </c>
      <c r="I130" s="27">
        <f t="shared" si="15"/>
        <v>3.58974358974359</v>
      </c>
      <c r="J130" s="27">
        <f t="shared" si="16"/>
        <v>3.9130434782608696</v>
      </c>
      <c r="K130" s="27">
        <f t="shared" si="17"/>
        <v>4.076923076923077</v>
      </c>
      <c r="L130" s="27">
        <f t="shared" si="18"/>
        <v>3.1914893617021276</v>
      </c>
      <c r="M130" s="28">
        <f t="shared" si="19"/>
        <v>3.4448727833461836</v>
      </c>
      <c r="N130" s="27">
        <f t="shared" si="20"/>
        <v>2.1</v>
      </c>
      <c r="O130" s="27">
        <f t="shared" si="21"/>
        <v>4.666666666666667</v>
      </c>
      <c r="P130" s="27">
        <f t="shared" si="22"/>
        <v>2.0833333333333335</v>
      </c>
      <c r="Q130" s="27">
        <f t="shared" si="23"/>
        <v>4.375</v>
      </c>
      <c r="R130" s="27">
        <f t="shared" si="24"/>
        <v>2.112676056338028</v>
      </c>
      <c r="S130" s="27">
        <f t="shared" si="25"/>
        <v>2.6</v>
      </c>
      <c r="T130" s="27">
        <f t="shared" si="26"/>
        <v>2.7777777777777777</v>
      </c>
      <c r="U130" s="27">
        <f t="shared" si="27"/>
        <v>1.9375</v>
      </c>
      <c r="V130" s="29">
        <f t="shared" si="28"/>
        <v>2.703862660944206</v>
      </c>
    </row>
    <row r="131" spans="1:24" ht="23.25" customHeight="1" thickBot="1">
      <c r="A131" s="262" t="s">
        <v>166</v>
      </c>
      <c r="B131" s="26">
        <f t="shared" si="8"/>
        <v>0</v>
      </c>
      <c r="C131" s="27">
        <f t="shared" si="9"/>
        <v>0.8771929824561403</v>
      </c>
      <c r="D131" s="27">
        <f t="shared" si="10"/>
        <v>0</v>
      </c>
      <c r="E131" s="27">
        <f t="shared" si="11"/>
        <v>0</v>
      </c>
      <c r="F131" s="27">
        <f t="shared" si="12"/>
        <v>5</v>
      </c>
      <c r="G131" s="27">
        <f t="shared" si="13"/>
        <v>0</v>
      </c>
      <c r="H131" s="27">
        <f t="shared" si="14"/>
        <v>0</v>
      </c>
      <c r="I131" s="27">
        <f t="shared" si="15"/>
        <v>0</v>
      </c>
      <c r="J131" s="27">
        <f t="shared" si="16"/>
        <v>0</v>
      </c>
      <c r="K131" s="27">
        <f t="shared" si="17"/>
        <v>0</v>
      </c>
      <c r="L131" s="27">
        <f t="shared" si="18"/>
        <v>0</v>
      </c>
      <c r="M131" s="28">
        <f t="shared" si="19"/>
        <v>0.3469545104086353</v>
      </c>
      <c r="N131" s="27">
        <f t="shared" si="20"/>
        <v>0.9</v>
      </c>
      <c r="O131" s="27">
        <f t="shared" si="21"/>
        <v>0</v>
      </c>
      <c r="P131" s="27">
        <f t="shared" si="22"/>
        <v>0</v>
      </c>
      <c r="Q131" s="27">
        <f t="shared" si="23"/>
        <v>0</v>
      </c>
      <c r="R131" s="27">
        <f t="shared" si="24"/>
        <v>0</v>
      </c>
      <c r="S131" s="27">
        <f t="shared" si="25"/>
        <v>0</v>
      </c>
      <c r="T131" s="27">
        <f t="shared" si="26"/>
        <v>0</v>
      </c>
      <c r="U131" s="27">
        <f t="shared" si="27"/>
        <v>0</v>
      </c>
      <c r="V131" s="29">
        <f t="shared" si="28"/>
        <v>0.12875536480686695</v>
      </c>
      <c r="X131" s="4"/>
    </row>
    <row r="132" spans="1:24" ht="23.25" customHeight="1" thickBot="1">
      <c r="A132" s="262" t="s">
        <v>167</v>
      </c>
      <c r="B132" s="26">
        <f t="shared" si="8"/>
        <v>0</v>
      </c>
      <c r="C132" s="27">
        <f t="shared" si="9"/>
        <v>0</v>
      </c>
      <c r="D132" s="27">
        <f t="shared" si="10"/>
        <v>1.0416666666666667</v>
      </c>
      <c r="E132" s="27">
        <f t="shared" si="11"/>
        <v>0.42857142857142855</v>
      </c>
      <c r="F132" s="27">
        <f t="shared" si="12"/>
        <v>0</v>
      </c>
      <c r="G132" s="27">
        <f t="shared" si="13"/>
        <v>0.4433497536945813</v>
      </c>
      <c r="H132" s="27">
        <f t="shared" si="14"/>
        <v>0</v>
      </c>
      <c r="I132" s="27">
        <f t="shared" si="15"/>
        <v>2.123076923076923</v>
      </c>
      <c r="J132" s="27">
        <f t="shared" si="16"/>
        <v>0.32608695652173914</v>
      </c>
      <c r="K132" s="27">
        <f t="shared" si="17"/>
        <v>1.5384615384615385</v>
      </c>
      <c r="L132" s="27">
        <f t="shared" si="18"/>
        <v>0.6382978723404256</v>
      </c>
      <c r="M132" s="28">
        <f t="shared" si="19"/>
        <v>0.6738627602158828</v>
      </c>
      <c r="N132" s="27">
        <f t="shared" si="20"/>
        <v>0.4</v>
      </c>
      <c r="O132" s="27">
        <f t="shared" si="21"/>
        <v>0.8333333333333334</v>
      </c>
      <c r="P132" s="27">
        <f t="shared" si="22"/>
        <v>26.23611111111111</v>
      </c>
      <c r="Q132" s="27">
        <f t="shared" si="23"/>
        <v>1.25</v>
      </c>
      <c r="R132" s="27">
        <f t="shared" si="24"/>
        <v>1.408450704225352</v>
      </c>
      <c r="S132" s="27">
        <f t="shared" si="25"/>
        <v>0</v>
      </c>
      <c r="T132" s="27">
        <f t="shared" si="26"/>
        <v>0.5777777777777777</v>
      </c>
      <c r="U132" s="27">
        <f t="shared" si="27"/>
        <v>2.5</v>
      </c>
      <c r="V132" s="29">
        <f t="shared" si="28"/>
        <v>3.620886981402003</v>
      </c>
      <c r="W132" s="30"/>
      <c r="X132" s="31"/>
    </row>
    <row r="133" spans="1:22" ht="23.25" customHeight="1" thickBot="1">
      <c r="A133" s="262" t="s">
        <v>55</v>
      </c>
      <c r="B133" s="26">
        <f t="shared" si="8"/>
        <v>3.0825688073394497</v>
      </c>
      <c r="C133" s="27">
        <f t="shared" si="9"/>
        <v>5.701754385964913</v>
      </c>
      <c r="D133" s="27">
        <f t="shared" si="10"/>
        <v>4.166666666666667</v>
      </c>
      <c r="E133" s="27">
        <f t="shared" si="11"/>
        <v>3.5714285714285716</v>
      </c>
      <c r="F133" s="27">
        <f t="shared" si="12"/>
        <v>3.5714285714285716</v>
      </c>
      <c r="G133" s="27">
        <f t="shared" si="13"/>
        <v>2.29064039408867</v>
      </c>
      <c r="H133" s="27">
        <f t="shared" si="14"/>
        <v>3.7790697674418605</v>
      </c>
      <c r="I133" s="27">
        <f t="shared" si="15"/>
        <v>0.37435897435897436</v>
      </c>
      <c r="J133" s="27">
        <f t="shared" si="16"/>
        <v>3.8043478260869565</v>
      </c>
      <c r="K133" s="27">
        <f t="shared" si="17"/>
        <v>3.6923076923076925</v>
      </c>
      <c r="L133" s="27">
        <f t="shared" si="18"/>
        <v>11.063829787234043</v>
      </c>
      <c r="M133" s="28">
        <f t="shared" si="19"/>
        <v>3.6576715497301464</v>
      </c>
      <c r="N133" s="27">
        <f t="shared" si="20"/>
        <v>4.5</v>
      </c>
      <c r="O133" s="27">
        <f t="shared" si="21"/>
        <v>2.6666666666666665</v>
      </c>
      <c r="P133" s="27">
        <f t="shared" si="22"/>
        <v>5.555555555555555</v>
      </c>
      <c r="Q133" s="27">
        <f t="shared" si="23"/>
        <v>3.125</v>
      </c>
      <c r="R133" s="27">
        <f t="shared" si="24"/>
        <v>2.816901408450704</v>
      </c>
      <c r="S133" s="27">
        <f t="shared" si="25"/>
        <v>12.346666666666666</v>
      </c>
      <c r="T133" s="27">
        <f t="shared" si="26"/>
        <v>2.422222222222222</v>
      </c>
      <c r="U133" s="27">
        <f t="shared" si="27"/>
        <v>2.75</v>
      </c>
      <c r="V133" s="29">
        <f t="shared" si="28"/>
        <v>4.32618025751073</v>
      </c>
    </row>
    <row r="134" spans="1:22" ht="23.25" customHeight="1" thickBot="1">
      <c r="A134" s="263" t="s">
        <v>56</v>
      </c>
      <c r="B134" s="26">
        <f t="shared" si="8"/>
        <v>14.486238532110091</v>
      </c>
      <c r="C134" s="27">
        <f t="shared" si="9"/>
        <v>32.01754385964912</v>
      </c>
      <c r="D134" s="27">
        <f t="shared" si="10"/>
        <v>21.458333333333332</v>
      </c>
      <c r="E134" s="27">
        <f t="shared" si="11"/>
        <v>20.214285714285715</v>
      </c>
      <c r="F134" s="27">
        <f t="shared" si="12"/>
        <v>9.285714285714286</v>
      </c>
      <c r="G134" s="27">
        <f t="shared" si="13"/>
        <v>17.305418719211822</v>
      </c>
      <c r="H134" s="27">
        <f t="shared" si="14"/>
        <v>23.953488372093023</v>
      </c>
      <c r="I134" s="27">
        <f t="shared" si="15"/>
        <v>19.128205128205128</v>
      </c>
      <c r="J134" s="27">
        <f t="shared" si="16"/>
        <v>30.97826086956522</v>
      </c>
      <c r="K134" s="27">
        <f t="shared" si="17"/>
        <v>25</v>
      </c>
      <c r="L134" s="27">
        <f t="shared" si="18"/>
        <v>30.74468085106383</v>
      </c>
      <c r="M134" s="28">
        <f t="shared" si="19"/>
        <v>22.110254433307635</v>
      </c>
      <c r="N134" s="27">
        <f t="shared" si="20"/>
        <v>18.34</v>
      </c>
      <c r="O134" s="27">
        <f t="shared" si="21"/>
        <v>24.783333333333335</v>
      </c>
      <c r="P134" s="27">
        <f t="shared" si="22"/>
        <v>15.277777777777779</v>
      </c>
      <c r="Q134" s="27">
        <f t="shared" si="23"/>
        <v>16.25</v>
      </c>
      <c r="R134" s="27">
        <f t="shared" si="24"/>
        <v>17.887323943661972</v>
      </c>
      <c r="S134" s="27">
        <f t="shared" si="25"/>
        <v>11.026666666666667</v>
      </c>
      <c r="T134" s="27">
        <f t="shared" si="26"/>
        <v>26.844444444444445</v>
      </c>
      <c r="U134" s="27">
        <f t="shared" si="27"/>
        <v>24.3625</v>
      </c>
      <c r="V134" s="29">
        <f t="shared" si="28"/>
        <v>19.24606580829757</v>
      </c>
    </row>
    <row r="135" spans="1:22" ht="23.25" customHeight="1" thickBot="1">
      <c r="A135" s="262" t="s">
        <v>57</v>
      </c>
      <c r="B135" s="26">
        <f t="shared" si="8"/>
        <v>6.256880733944954</v>
      </c>
      <c r="C135" s="27">
        <f t="shared" si="9"/>
        <v>13.596491228070175</v>
      </c>
      <c r="D135" s="27">
        <f t="shared" si="10"/>
        <v>18.958333333333332</v>
      </c>
      <c r="E135" s="27">
        <f t="shared" si="11"/>
        <v>6.071428571428571</v>
      </c>
      <c r="F135" s="27">
        <f t="shared" si="12"/>
        <v>7.857142857142857</v>
      </c>
      <c r="G135" s="27">
        <f t="shared" si="13"/>
        <v>6.738916256157635</v>
      </c>
      <c r="H135" s="27">
        <f t="shared" si="14"/>
        <v>8.720930232558139</v>
      </c>
      <c r="I135" s="27">
        <f t="shared" si="15"/>
        <v>7.046153846153846</v>
      </c>
      <c r="J135" s="27">
        <f t="shared" si="16"/>
        <v>13.043478260869565</v>
      </c>
      <c r="K135" s="27">
        <f t="shared" si="17"/>
        <v>24.23076923076923</v>
      </c>
      <c r="L135" s="27">
        <f t="shared" si="18"/>
        <v>20.425531914893618</v>
      </c>
      <c r="M135" s="28">
        <f t="shared" si="19"/>
        <v>11.279105628373168</v>
      </c>
      <c r="N135" s="27">
        <f t="shared" si="20"/>
        <v>17.44</v>
      </c>
      <c r="O135" s="27">
        <f t="shared" si="21"/>
        <v>16.433333333333334</v>
      </c>
      <c r="P135" s="27">
        <f t="shared" si="22"/>
        <v>5.555555555555555</v>
      </c>
      <c r="Q135" s="27">
        <f t="shared" si="23"/>
        <v>7.875</v>
      </c>
      <c r="R135" s="27">
        <f t="shared" si="24"/>
        <v>6.056338028169014</v>
      </c>
      <c r="S135" s="27">
        <f t="shared" si="25"/>
        <v>8.826666666666666</v>
      </c>
      <c r="T135" s="27">
        <f t="shared" si="26"/>
        <v>10.766666666666667</v>
      </c>
      <c r="U135" s="27">
        <f t="shared" si="27"/>
        <v>7.825</v>
      </c>
      <c r="V135" s="29">
        <f t="shared" si="28"/>
        <v>9.838340486409155</v>
      </c>
    </row>
    <row r="136" spans="1:22" ht="23.25" customHeight="1" thickBot="1">
      <c r="A136" s="262" t="s">
        <v>58</v>
      </c>
      <c r="B136" s="26">
        <f t="shared" si="8"/>
        <v>2.770642201834862</v>
      </c>
      <c r="C136" s="27">
        <f t="shared" si="9"/>
        <v>10.964912280701755</v>
      </c>
      <c r="D136" s="27">
        <f t="shared" si="10"/>
        <v>0</v>
      </c>
      <c r="E136" s="27">
        <f t="shared" si="11"/>
        <v>12.857142857142858</v>
      </c>
      <c r="F136" s="27">
        <f t="shared" si="12"/>
        <v>0</v>
      </c>
      <c r="G136" s="27">
        <f t="shared" si="13"/>
        <v>7.857142857142857</v>
      </c>
      <c r="H136" s="27">
        <f t="shared" si="14"/>
        <v>10.755813953488373</v>
      </c>
      <c r="I136" s="27">
        <f t="shared" si="15"/>
        <v>6.769230769230769</v>
      </c>
      <c r="J136" s="27">
        <f t="shared" si="16"/>
        <v>12.5</v>
      </c>
      <c r="K136" s="27">
        <f t="shared" si="17"/>
        <v>0.11538461538461539</v>
      </c>
      <c r="L136" s="27">
        <f t="shared" si="18"/>
        <v>6.914893617021277</v>
      </c>
      <c r="M136" s="28">
        <f t="shared" si="19"/>
        <v>6.963762528912876</v>
      </c>
      <c r="N136" s="27">
        <f t="shared" si="20"/>
        <v>0.2</v>
      </c>
      <c r="O136" s="27">
        <f t="shared" si="21"/>
        <v>7.416666666666667</v>
      </c>
      <c r="P136" s="27">
        <f t="shared" si="22"/>
        <v>6.25</v>
      </c>
      <c r="Q136" s="27">
        <f t="shared" si="23"/>
        <v>7</v>
      </c>
      <c r="R136" s="27">
        <f t="shared" si="24"/>
        <v>7.183098591549296</v>
      </c>
      <c r="S136" s="27">
        <f t="shared" si="25"/>
        <v>0.3333333333333333</v>
      </c>
      <c r="T136" s="27">
        <f t="shared" si="26"/>
        <v>12.911111111111111</v>
      </c>
      <c r="U136" s="27">
        <f t="shared" si="27"/>
        <v>11.7875</v>
      </c>
      <c r="V136" s="29">
        <f t="shared" si="28"/>
        <v>6.61659513590844</v>
      </c>
    </row>
    <row r="137" spans="1:22" ht="23.25" customHeight="1" thickBot="1">
      <c r="A137" s="262" t="s">
        <v>59</v>
      </c>
      <c r="B137" s="26">
        <f t="shared" si="8"/>
        <v>2.3944954128440368</v>
      </c>
      <c r="C137" s="27">
        <f t="shared" si="9"/>
        <v>3.0701754385964914</v>
      </c>
      <c r="D137" s="27">
        <f t="shared" si="10"/>
        <v>2.5</v>
      </c>
      <c r="E137" s="27">
        <f t="shared" si="11"/>
        <v>1.2857142857142858</v>
      </c>
      <c r="F137" s="27">
        <f t="shared" si="12"/>
        <v>1.4285714285714286</v>
      </c>
      <c r="G137" s="27">
        <f t="shared" si="13"/>
        <v>2.70935960591133</v>
      </c>
      <c r="H137" s="27">
        <f t="shared" si="14"/>
        <v>4.476744186046512</v>
      </c>
      <c r="I137" s="27">
        <f t="shared" si="15"/>
        <v>5.312820512820513</v>
      </c>
      <c r="J137" s="27">
        <f t="shared" si="16"/>
        <v>5.434782608695652</v>
      </c>
      <c r="K137" s="27">
        <f t="shared" si="17"/>
        <v>0.6538461538461539</v>
      </c>
      <c r="L137" s="27">
        <f t="shared" si="18"/>
        <v>3.404255319148936</v>
      </c>
      <c r="M137" s="28">
        <f t="shared" si="19"/>
        <v>3.2243639167309177</v>
      </c>
      <c r="N137" s="27">
        <f t="shared" si="20"/>
        <v>0.7</v>
      </c>
      <c r="O137" s="27">
        <f t="shared" si="21"/>
        <v>0.9333333333333333</v>
      </c>
      <c r="P137" s="27">
        <f t="shared" si="22"/>
        <v>3.4722222222222223</v>
      </c>
      <c r="Q137" s="27">
        <f t="shared" si="23"/>
        <v>1.375</v>
      </c>
      <c r="R137" s="27">
        <f t="shared" si="24"/>
        <v>4.647887323943662</v>
      </c>
      <c r="S137" s="27">
        <f t="shared" si="25"/>
        <v>1.8666666666666667</v>
      </c>
      <c r="T137" s="27">
        <f t="shared" si="26"/>
        <v>3.1666666666666665</v>
      </c>
      <c r="U137" s="27">
        <f t="shared" si="27"/>
        <v>4.75</v>
      </c>
      <c r="V137" s="29">
        <f t="shared" si="28"/>
        <v>2.7911301859799713</v>
      </c>
    </row>
    <row r="138" spans="1:22" ht="23.25" customHeight="1" thickBot="1">
      <c r="A138" s="262" t="s">
        <v>168</v>
      </c>
      <c r="B138" s="26">
        <f t="shared" si="8"/>
        <v>3.0642201834862384</v>
      </c>
      <c r="C138" s="27">
        <f t="shared" si="9"/>
        <v>4.385964912280702</v>
      </c>
      <c r="D138" s="27">
        <f t="shared" si="10"/>
        <v>0</v>
      </c>
      <c r="E138" s="27">
        <f t="shared" si="11"/>
        <v>0</v>
      </c>
      <c r="F138" s="27">
        <f t="shared" si="12"/>
        <v>0</v>
      </c>
      <c r="G138" s="27">
        <f t="shared" si="13"/>
        <v>0</v>
      </c>
      <c r="H138" s="27">
        <f t="shared" si="14"/>
        <v>0</v>
      </c>
      <c r="I138" s="27">
        <f t="shared" si="15"/>
        <v>0</v>
      </c>
      <c r="J138" s="27">
        <f t="shared" si="16"/>
        <v>0</v>
      </c>
      <c r="K138" s="27">
        <f t="shared" si="17"/>
        <v>0</v>
      </c>
      <c r="L138" s="27">
        <f t="shared" si="18"/>
        <v>0</v>
      </c>
      <c r="M138" s="28">
        <f t="shared" si="19"/>
        <v>0.6430223592906708</v>
      </c>
      <c r="N138" s="27">
        <f t="shared" si="20"/>
        <v>0</v>
      </c>
      <c r="O138" s="27">
        <f t="shared" si="21"/>
        <v>0</v>
      </c>
      <c r="P138" s="27">
        <f t="shared" si="22"/>
        <v>0</v>
      </c>
      <c r="Q138" s="27">
        <f t="shared" si="23"/>
        <v>0</v>
      </c>
      <c r="R138" s="27">
        <f t="shared" si="24"/>
        <v>0</v>
      </c>
      <c r="S138" s="27">
        <f t="shared" si="25"/>
        <v>0</v>
      </c>
      <c r="T138" s="27">
        <f t="shared" si="26"/>
        <v>0</v>
      </c>
      <c r="U138" s="27">
        <f t="shared" si="27"/>
        <v>0</v>
      </c>
      <c r="V138" s="29">
        <f t="shared" si="28"/>
        <v>0</v>
      </c>
    </row>
    <row r="139" spans="1:22" ht="23.25" customHeight="1" thickBot="1">
      <c r="A139" s="263" t="s">
        <v>60</v>
      </c>
      <c r="B139" s="26">
        <f t="shared" si="8"/>
        <v>0</v>
      </c>
      <c r="C139" s="27">
        <f t="shared" si="9"/>
        <v>0</v>
      </c>
      <c r="D139" s="27">
        <f t="shared" si="10"/>
        <v>0</v>
      </c>
      <c r="E139" s="27">
        <f t="shared" si="11"/>
        <v>0</v>
      </c>
      <c r="F139" s="27">
        <f t="shared" si="12"/>
        <v>0</v>
      </c>
      <c r="G139" s="27">
        <f t="shared" si="13"/>
        <v>0</v>
      </c>
      <c r="H139" s="27">
        <f t="shared" si="14"/>
        <v>0</v>
      </c>
      <c r="I139" s="27">
        <f t="shared" si="15"/>
        <v>0</v>
      </c>
      <c r="J139" s="27">
        <f t="shared" si="16"/>
        <v>0</v>
      </c>
      <c r="K139" s="27">
        <f t="shared" si="17"/>
        <v>0</v>
      </c>
      <c r="L139" s="27">
        <f t="shared" si="18"/>
        <v>0</v>
      </c>
      <c r="M139" s="28">
        <f t="shared" si="19"/>
        <v>0</v>
      </c>
      <c r="N139" s="27">
        <f t="shared" si="20"/>
        <v>0</v>
      </c>
      <c r="O139" s="27">
        <f t="shared" si="21"/>
        <v>0</v>
      </c>
      <c r="P139" s="27">
        <f t="shared" si="22"/>
        <v>0</v>
      </c>
      <c r="Q139" s="27">
        <f t="shared" si="23"/>
        <v>0</v>
      </c>
      <c r="R139" s="27">
        <f t="shared" si="24"/>
        <v>0</v>
      </c>
      <c r="S139" s="27">
        <f t="shared" si="25"/>
        <v>0</v>
      </c>
      <c r="T139" s="27">
        <f t="shared" si="26"/>
        <v>0</v>
      </c>
      <c r="U139" s="27">
        <f t="shared" si="27"/>
        <v>0</v>
      </c>
      <c r="V139" s="29">
        <f t="shared" si="28"/>
        <v>0</v>
      </c>
    </row>
    <row r="140" spans="1:22" ht="23.25" customHeight="1" thickBot="1">
      <c r="A140" s="263" t="s">
        <v>61</v>
      </c>
      <c r="B140" s="26">
        <f t="shared" si="8"/>
        <v>0</v>
      </c>
      <c r="C140" s="27">
        <f t="shared" si="9"/>
        <v>0</v>
      </c>
      <c r="D140" s="27">
        <f t="shared" si="10"/>
        <v>0</v>
      </c>
      <c r="E140" s="27">
        <f t="shared" si="11"/>
        <v>0</v>
      </c>
      <c r="F140" s="27">
        <f t="shared" si="12"/>
        <v>0</v>
      </c>
      <c r="G140" s="27">
        <f t="shared" si="13"/>
        <v>0</v>
      </c>
      <c r="H140" s="27">
        <f t="shared" si="14"/>
        <v>0</v>
      </c>
      <c r="I140" s="27">
        <f t="shared" si="15"/>
        <v>0</v>
      </c>
      <c r="J140" s="27">
        <f t="shared" si="16"/>
        <v>0</v>
      </c>
      <c r="K140" s="27">
        <f t="shared" si="17"/>
        <v>0</v>
      </c>
      <c r="L140" s="27">
        <f t="shared" si="18"/>
        <v>0</v>
      </c>
      <c r="M140" s="28">
        <f t="shared" si="19"/>
        <v>0</v>
      </c>
      <c r="N140" s="27">
        <f t="shared" si="20"/>
        <v>0.1</v>
      </c>
      <c r="O140" s="27">
        <f t="shared" si="21"/>
        <v>0</v>
      </c>
      <c r="P140" s="27">
        <f t="shared" si="22"/>
        <v>0</v>
      </c>
      <c r="Q140" s="27">
        <f t="shared" si="23"/>
        <v>0</v>
      </c>
      <c r="R140" s="27">
        <f t="shared" si="24"/>
        <v>0</v>
      </c>
      <c r="S140" s="27">
        <f t="shared" si="25"/>
        <v>0</v>
      </c>
      <c r="T140" s="27">
        <f t="shared" si="26"/>
        <v>0</v>
      </c>
      <c r="U140" s="27">
        <f t="shared" si="27"/>
        <v>-0.125</v>
      </c>
      <c r="V140" s="29">
        <f t="shared" si="28"/>
        <v>0</v>
      </c>
    </row>
    <row r="141" spans="1:22" ht="23.25" customHeight="1" thickBot="1">
      <c r="A141" s="263" t="s">
        <v>62</v>
      </c>
      <c r="B141" s="26">
        <f t="shared" si="8"/>
        <v>8.440366972477063</v>
      </c>
      <c r="C141" s="27">
        <f t="shared" si="9"/>
        <v>1.2719298245614035</v>
      </c>
      <c r="D141" s="27">
        <f t="shared" si="10"/>
        <v>12.5</v>
      </c>
      <c r="E141" s="27">
        <f t="shared" si="11"/>
        <v>5.571428571428571</v>
      </c>
      <c r="F141" s="27">
        <f t="shared" si="12"/>
        <v>4.742857142857143</v>
      </c>
      <c r="G141" s="27">
        <f t="shared" si="13"/>
        <v>3.768472906403941</v>
      </c>
      <c r="H141" s="27">
        <f t="shared" si="14"/>
        <v>3.372093023255814</v>
      </c>
      <c r="I141" s="27">
        <f t="shared" si="15"/>
        <v>17.025641025641026</v>
      </c>
      <c r="J141" s="27">
        <f t="shared" si="16"/>
        <v>5.978260869565218</v>
      </c>
      <c r="K141" s="27">
        <f t="shared" si="17"/>
        <v>12.184615384615384</v>
      </c>
      <c r="L141" s="27">
        <f t="shared" si="18"/>
        <v>3.1914893617021276</v>
      </c>
      <c r="M141" s="28">
        <f t="shared" si="19"/>
        <v>7.3138010794140325</v>
      </c>
      <c r="N141" s="27">
        <f t="shared" si="20"/>
        <v>4.49</v>
      </c>
      <c r="O141" s="27">
        <f t="shared" si="21"/>
        <v>9.583333333333334</v>
      </c>
      <c r="P141" s="27">
        <f t="shared" si="22"/>
        <v>1.4583333333333333</v>
      </c>
      <c r="Q141" s="27">
        <f t="shared" si="23"/>
        <v>11.25</v>
      </c>
      <c r="R141" s="27">
        <f t="shared" si="24"/>
        <v>5.070422535211268</v>
      </c>
      <c r="S141" s="27">
        <f t="shared" si="25"/>
        <v>4.933333333333334</v>
      </c>
      <c r="T141" s="27">
        <f t="shared" si="26"/>
        <v>2.8444444444444446</v>
      </c>
      <c r="U141" s="27">
        <f t="shared" si="27"/>
        <v>5.375</v>
      </c>
      <c r="V141" s="29">
        <f t="shared" si="28"/>
        <v>5.443490701001431</v>
      </c>
    </row>
    <row r="142" spans="1:22" ht="23.25" customHeight="1" thickBot="1">
      <c r="A142" s="264" t="s">
        <v>63</v>
      </c>
      <c r="B142" s="26">
        <f t="shared" si="8"/>
        <v>3.669724770642202</v>
      </c>
      <c r="C142" s="27">
        <f t="shared" si="9"/>
        <v>0.43859649122807015</v>
      </c>
      <c r="D142" s="27">
        <f t="shared" si="10"/>
        <v>0</v>
      </c>
      <c r="E142" s="27">
        <f t="shared" si="11"/>
        <v>3.5714285714285716</v>
      </c>
      <c r="F142" s="27">
        <f t="shared" si="12"/>
        <v>2.857142857142857</v>
      </c>
      <c r="G142" s="27">
        <f t="shared" si="13"/>
        <v>2.7635467980295565</v>
      </c>
      <c r="H142" s="27">
        <f t="shared" si="14"/>
        <v>0.872093023255814</v>
      </c>
      <c r="I142" s="27">
        <f t="shared" si="15"/>
        <v>15.897435897435898</v>
      </c>
      <c r="J142" s="27">
        <f t="shared" si="16"/>
        <v>3.2065217391304346</v>
      </c>
      <c r="K142" s="27">
        <f t="shared" si="17"/>
        <v>10.646153846153846</v>
      </c>
      <c r="L142" s="27">
        <f t="shared" si="18"/>
        <v>1.1702127659574468</v>
      </c>
      <c r="M142" s="28">
        <f t="shared" si="19"/>
        <v>5.0115651503469545</v>
      </c>
      <c r="N142" s="27">
        <f t="shared" si="20"/>
        <v>0.99</v>
      </c>
      <c r="O142" s="27">
        <f t="shared" si="21"/>
        <v>6.833333333333333</v>
      </c>
      <c r="P142" s="27">
        <f t="shared" si="22"/>
        <v>0</v>
      </c>
      <c r="Q142" s="27">
        <f t="shared" si="23"/>
        <v>6.25</v>
      </c>
      <c r="R142" s="27">
        <f t="shared" si="24"/>
        <v>3.028169014084507</v>
      </c>
      <c r="S142" s="27">
        <f t="shared" si="25"/>
        <v>1.3333333333333333</v>
      </c>
      <c r="T142" s="27">
        <f t="shared" si="26"/>
        <v>0.8888888888888888</v>
      </c>
      <c r="U142" s="27">
        <f t="shared" si="27"/>
        <v>4.1875</v>
      </c>
      <c r="V142" s="29">
        <f t="shared" si="28"/>
        <v>2.7954220314735334</v>
      </c>
    </row>
    <row r="143" spans="1:22" ht="23.25" customHeight="1" thickBot="1">
      <c r="A143" s="264" t="s">
        <v>169</v>
      </c>
      <c r="B143" s="26">
        <f t="shared" si="8"/>
        <v>4.587155963302752</v>
      </c>
      <c r="C143" s="27">
        <f t="shared" si="9"/>
        <v>0.7017543859649122</v>
      </c>
      <c r="D143" s="27">
        <f t="shared" si="10"/>
        <v>0</v>
      </c>
      <c r="E143" s="27">
        <f t="shared" si="11"/>
        <v>1.9285714285714286</v>
      </c>
      <c r="F143" s="27">
        <f t="shared" si="12"/>
        <v>1.7142857142857142</v>
      </c>
      <c r="G143" s="27">
        <f t="shared" si="13"/>
        <v>0.8571428571428571</v>
      </c>
      <c r="H143" s="27">
        <f t="shared" si="14"/>
        <v>2.4127906976744184</v>
      </c>
      <c r="I143" s="27">
        <f t="shared" si="15"/>
        <v>1.1025641025641026</v>
      </c>
      <c r="J143" s="27">
        <f t="shared" si="16"/>
        <v>2.5543478260869565</v>
      </c>
      <c r="K143" s="27">
        <f t="shared" si="17"/>
        <v>1</v>
      </c>
      <c r="L143" s="27">
        <f t="shared" si="18"/>
        <v>1.9148936170212767</v>
      </c>
      <c r="M143" s="28">
        <f t="shared" si="19"/>
        <v>1.6838858905165768</v>
      </c>
      <c r="N143" s="27">
        <f t="shared" si="20"/>
        <v>2</v>
      </c>
      <c r="O143" s="27">
        <f t="shared" si="21"/>
        <v>2.4166666666666665</v>
      </c>
      <c r="P143" s="27">
        <f t="shared" si="22"/>
        <v>1.1805555555555556</v>
      </c>
      <c r="Q143" s="27">
        <f t="shared" si="23"/>
        <v>2.5</v>
      </c>
      <c r="R143" s="27">
        <f t="shared" si="24"/>
        <v>1.9014084507042253</v>
      </c>
      <c r="S143" s="27">
        <f t="shared" si="25"/>
        <v>2.933333333333333</v>
      </c>
      <c r="T143" s="27">
        <f t="shared" si="26"/>
        <v>1.3333333333333333</v>
      </c>
      <c r="U143" s="27">
        <f t="shared" si="27"/>
        <v>1.0625</v>
      </c>
      <c r="V143" s="29">
        <f t="shared" si="28"/>
        <v>1.8955650929899857</v>
      </c>
    </row>
    <row r="144" spans="1:22" ht="23.25" customHeight="1" thickBot="1">
      <c r="A144" s="264" t="s">
        <v>133</v>
      </c>
      <c r="B144" s="26">
        <f t="shared" si="8"/>
        <v>0.1834862385321101</v>
      </c>
      <c r="C144" s="27">
        <f t="shared" si="9"/>
        <v>0.13157894736842105</v>
      </c>
      <c r="D144" s="27">
        <f t="shared" si="10"/>
        <v>0</v>
      </c>
      <c r="E144" s="27">
        <f t="shared" si="11"/>
        <v>0.07142857142857142</v>
      </c>
      <c r="F144" s="27">
        <f t="shared" si="12"/>
        <v>0.17142857142857143</v>
      </c>
      <c r="G144" s="27">
        <f t="shared" si="13"/>
        <v>0.1477832512315271</v>
      </c>
      <c r="H144" s="27">
        <f t="shared" si="14"/>
        <v>0.0872093023255814</v>
      </c>
      <c r="I144" s="27">
        <f t="shared" si="15"/>
        <v>0.02564102564102564</v>
      </c>
      <c r="J144" s="27">
        <f t="shared" si="16"/>
        <v>0.21739130434782608</v>
      </c>
      <c r="K144" s="27">
        <f t="shared" si="17"/>
        <v>0.5384615384615384</v>
      </c>
      <c r="L144" s="27">
        <f t="shared" si="18"/>
        <v>0.10638297872340426</v>
      </c>
      <c r="M144" s="28">
        <f t="shared" si="19"/>
        <v>0.15574402467232074</v>
      </c>
      <c r="N144" s="27">
        <f t="shared" si="20"/>
        <v>1.5</v>
      </c>
      <c r="O144" s="27">
        <f t="shared" si="21"/>
        <v>0.3333333333333333</v>
      </c>
      <c r="P144" s="27">
        <f t="shared" si="22"/>
        <v>0.2777777777777778</v>
      </c>
      <c r="Q144" s="27">
        <f t="shared" si="23"/>
        <v>2.5</v>
      </c>
      <c r="R144" s="27">
        <f t="shared" si="24"/>
        <v>0.14084507042253522</v>
      </c>
      <c r="S144" s="27">
        <f t="shared" si="25"/>
        <v>0.6666666666666666</v>
      </c>
      <c r="T144" s="27">
        <f t="shared" si="26"/>
        <v>0.6222222222222222</v>
      </c>
      <c r="U144" s="27">
        <f t="shared" si="27"/>
        <v>0.125</v>
      </c>
      <c r="V144" s="29">
        <f t="shared" si="28"/>
        <v>0.7525035765379113</v>
      </c>
    </row>
    <row r="145" spans="1:22" ht="23.25" customHeight="1" thickBot="1">
      <c r="A145" s="263" t="s">
        <v>64</v>
      </c>
      <c r="B145" s="26">
        <f t="shared" si="8"/>
        <v>0.8715596330275229</v>
      </c>
      <c r="C145" s="27">
        <f t="shared" si="9"/>
        <v>1.2280701754385965</v>
      </c>
      <c r="D145" s="27">
        <f t="shared" si="10"/>
        <v>2.0833333333333335</v>
      </c>
      <c r="E145" s="27">
        <f t="shared" si="11"/>
        <v>0.7142857142857143</v>
      </c>
      <c r="F145" s="27">
        <f t="shared" si="12"/>
        <v>2.142857142857143</v>
      </c>
      <c r="G145" s="27">
        <f t="shared" si="13"/>
        <v>0.7389162561576355</v>
      </c>
      <c r="H145" s="27">
        <f t="shared" si="14"/>
        <v>0.3488372093023256</v>
      </c>
      <c r="I145" s="27">
        <f t="shared" si="15"/>
        <v>0.49743589743589745</v>
      </c>
      <c r="J145" s="27">
        <f t="shared" si="16"/>
        <v>1.0326086956521738</v>
      </c>
      <c r="K145" s="27">
        <f t="shared" si="17"/>
        <v>0.7692307692307693</v>
      </c>
      <c r="L145" s="27">
        <f t="shared" si="18"/>
        <v>0.851063829787234</v>
      </c>
      <c r="M145" s="28">
        <f t="shared" si="19"/>
        <v>0.8612181958365459</v>
      </c>
      <c r="N145" s="27">
        <f t="shared" si="20"/>
        <v>1.3</v>
      </c>
      <c r="O145" s="27">
        <f t="shared" si="21"/>
        <v>1.2166666666666666</v>
      </c>
      <c r="P145" s="27">
        <f t="shared" si="22"/>
        <v>2.5</v>
      </c>
      <c r="Q145" s="27">
        <f t="shared" si="23"/>
        <v>0.4375</v>
      </c>
      <c r="R145" s="27">
        <f t="shared" si="24"/>
        <v>1.1971830985915493</v>
      </c>
      <c r="S145" s="27">
        <f t="shared" si="25"/>
        <v>1.7333333333333334</v>
      </c>
      <c r="T145" s="27">
        <f t="shared" si="26"/>
        <v>0.4444444444444444</v>
      </c>
      <c r="U145" s="27">
        <f t="shared" si="27"/>
        <v>0.625</v>
      </c>
      <c r="V145" s="29">
        <f t="shared" si="28"/>
        <v>1.155937052932761</v>
      </c>
    </row>
    <row r="146" spans="1:22" ht="23.25" customHeight="1" thickBot="1">
      <c r="A146" s="263" t="s">
        <v>65</v>
      </c>
      <c r="B146" s="26">
        <f t="shared" si="8"/>
        <v>0.13761467889908258</v>
      </c>
      <c r="C146" s="27">
        <f t="shared" si="9"/>
        <v>0.13157894736842105</v>
      </c>
      <c r="D146" s="27">
        <f t="shared" si="10"/>
        <v>0.3541666666666667</v>
      </c>
      <c r="E146" s="27">
        <f t="shared" si="11"/>
        <v>0.014285714285714285</v>
      </c>
      <c r="F146" s="27">
        <f t="shared" si="12"/>
        <v>1.1428571428571428</v>
      </c>
      <c r="G146" s="27">
        <f t="shared" si="13"/>
        <v>0.024630541871921183</v>
      </c>
      <c r="H146" s="27">
        <f t="shared" si="14"/>
        <v>0.01744186046511628</v>
      </c>
      <c r="I146" s="27">
        <f t="shared" si="15"/>
        <v>0.041025641025641026</v>
      </c>
      <c r="J146" s="27">
        <f t="shared" si="16"/>
        <v>0</v>
      </c>
      <c r="K146" s="27">
        <f t="shared" si="17"/>
        <v>0.06153846153846154</v>
      </c>
      <c r="L146" s="27">
        <f t="shared" si="18"/>
        <v>0.10638297872340426</v>
      </c>
      <c r="M146" s="28">
        <f t="shared" si="19"/>
        <v>0.12490362374710871</v>
      </c>
      <c r="N146" s="27">
        <f t="shared" si="20"/>
        <v>0.25</v>
      </c>
      <c r="O146" s="27">
        <f t="shared" si="21"/>
        <v>0.08333333333333333</v>
      </c>
      <c r="P146" s="27">
        <f t="shared" si="22"/>
        <v>0.2777777777777778</v>
      </c>
      <c r="Q146" s="27">
        <f t="shared" si="23"/>
        <v>0.05</v>
      </c>
      <c r="R146" s="27">
        <f t="shared" si="24"/>
        <v>0.1056338028169014</v>
      </c>
      <c r="S146" s="27">
        <f t="shared" si="25"/>
        <v>1.0666666666666667</v>
      </c>
      <c r="T146" s="27">
        <f t="shared" si="26"/>
        <v>0.044444444444444446</v>
      </c>
      <c r="U146" s="27">
        <f t="shared" si="27"/>
        <v>0.0875</v>
      </c>
      <c r="V146" s="29">
        <f t="shared" si="28"/>
        <v>0.22889842632331903</v>
      </c>
    </row>
    <row r="147" spans="1:22" ht="23.25" customHeight="1" thickBot="1">
      <c r="A147" s="263" t="s">
        <v>66</v>
      </c>
      <c r="B147" s="26">
        <f t="shared" si="8"/>
        <v>16.93577981651376</v>
      </c>
      <c r="C147" s="27">
        <f t="shared" si="9"/>
        <v>29.017543859649123</v>
      </c>
      <c r="D147" s="27">
        <f t="shared" si="10"/>
        <v>10.208333333333334</v>
      </c>
      <c r="E147" s="27">
        <f t="shared" si="11"/>
        <v>8.642857142857142</v>
      </c>
      <c r="F147" s="27">
        <f t="shared" si="12"/>
        <v>16.52857142857143</v>
      </c>
      <c r="G147" s="27">
        <f t="shared" si="13"/>
        <v>11.876847290640393</v>
      </c>
      <c r="H147" s="27">
        <f t="shared" si="14"/>
        <v>6.511627906976744</v>
      </c>
      <c r="I147" s="27">
        <f t="shared" si="15"/>
        <v>5.9282051282051285</v>
      </c>
      <c r="J147" s="27">
        <f t="shared" si="16"/>
        <v>7.608695652173913</v>
      </c>
      <c r="K147" s="27">
        <f t="shared" si="17"/>
        <v>9.615384615384615</v>
      </c>
      <c r="L147" s="27">
        <f t="shared" si="18"/>
        <v>16.43617021276596</v>
      </c>
      <c r="M147" s="28">
        <f t="shared" si="19"/>
        <v>12.018504240555128</v>
      </c>
      <c r="N147" s="27">
        <f t="shared" si="20"/>
        <v>12.8</v>
      </c>
      <c r="O147" s="27">
        <f t="shared" si="21"/>
        <v>11.133333333333333</v>
      </c>
      <c r="P147" s="27">
        <f t="shared" si="22"/>
        <v>51.94444444444444</v>
      </c>
      <c r="Q147" s="27">
        <f t="shared" si="23"/>
        <v>10</v>
      </c>
      <c r="R147" s="27">
        <f t="shared" si="24"/>
        <v>15.119718309859154</v>
      </c>
      <c r="S147" s="27">
        <f t="shared" si="25"/>
        <v>25.893333333333334</v>
      </c>
      <c r="T147" s="27">
        <f t="shared" si="26"/>
        <v>5.411111111111111</v>
      </c>
      <c r="U147" s="27">
        <f t="shared" si="27"/>
        <v>57.1375</v>
      </c>
      <c r="V147" s="29">
        <f t="shared" si="28"/>
        <v>22.367668097281832</v>
      </c>
    </row>
    <row r="148" spans="1:22" ht="23.25" customHeight="1" thickBot="1">
      <c r="A148" s="262" t="s">
        <v>67</v>
      </c>
      <c r="B148" s="26">
        <f t="shared" si="8"/>
        <v>1.3761467889908257</v>
      </c>
      <c r="C148" s="27">
        <f t="shared" si="9"/>
        <v>0.5964912280701754</v>
      </c>
      <c r="D148" s="27">
        <f t="shared" si="10"/>
        <v>2.2916666666666665</v>
      </c>
      <c r="E148" s="27">
        <f t="shared" si="11"/>
        <v>0.8571428571428571</v>
      </c>
      <c r="F148" s="27">
        <f t="shared" si="12"/>
        <v>1</v>
      </c>
      <c r="G148" s="27">
        <f t="shared" si="13"/>
        <v>0.5665024630541872</v>
      </c>
      <c r="H148" s="27">
        <f t="shared" si="14"/>
        <v>0.5813953488372093</v>
      </c>
      <c r="I148" s="27">
        <f t="shared" si="15"/>
        <v>0.5128205128205128</v>
      </c>
      <c r="J148" s="27">
        <f t="shared" si="16"/>
        <v>0.7608695652173914</v>
      </c>
      <c r="K148" s="27">
        <f t="shared" si="17"/>
        <v>0.5769230769230769</v>
      </c>
      <c r="L148" s="27">
        <f t="shared" si="18"/>
        <v>0.6914893617021277</v>
      </c>
      <c r="M148" s="28">
        <f t="shared" si="19"/>
        <v>0.7579028527370856</v>
      </c>
      <c r="N148" s="27">
        <f t="shared" si="20"/>
        <v>1.4</v>
      </c>
      <c r="O148" s="27">
        <f t="shared" si="21"/>
        <v>2.2</v>
      </c>
      <c r="P148" s="27">
        <f t="shared" si="22"/>
        <v>2.0694444444444446</v>
      </c>
      <c r="Q148" s="27">
        <f t="shared" si="23"/>
        <v>0.875</v>
      </c>
      <c r="R148" s="27">
        <f t="shared" si="24"/>
        <v>1.1056338028169015</v>
      </c>
      <c r="S148" s="27">
        <f t="shared" si="25"/>
        <v>1.6133333333333333</v>
      </c>
      <c r="T148" s="27">
        <f t="shared" si="26"/>
        <v>1.1444444444444444</v>
      </c>
      <c r="U148" s="27">
        <f t="shared" si="27"/>
        <v>0.6875</v>
      </c>
      <c r="V148" s="29">
        <f t="shared" si="28"/>
        <v>1.3261802575107295</v>
      </c>
    </row>
    <row r="149" spans="1:23" ht="23.25" customHeight="1" thickBot="1">
      <c r="A149" s="262" t="s">
        <v>68</v>
      </c>
      <c r="B149" s="26">
        <f t="shared" si="8"/>
        <v>0.22935779816513763</v>
      </c>
      <c r="C149" s="27">
        <f t="shared" si="9"/>
        <v>0</v>
      </c>
      <c r="D149" s="27">
        <f t="shared" si="10"/>
        <v>0</v>
      </c>
      <c r="E149" s="27">
        <f t="shared" si="11"/>
        <v>0</v>
      </c>
      <c r="F149" s="27">
        <f t="shared" si="12"/>
        <v>0.1</v>
      </c>
      <c r="G149" s="27">
        <f t="shared" si="13"/>
        <v>0.22660098522167488</v>
      </c>
      <c r="H149" s="27">
        <f t="shared" si="14"/>
        <v>0</v>
      </c>
      <c r="I149" s="27">
        <f t="shared" si="15"/>
        <v>0.22564102564102564</v>
      </c>
      <c r="J149" s="27">
        <f t="shared" si="16"/>
        <v>0.06521739130434782</v>
      </c>
      <c r="K149" s="27">
        <f t="shared" si="17"/>
        <v>0</v>
      </c>
      <c r="L149" s="27">
        <f t="shared" si="18"/>
        <v>0</v>
      </c>
      <c r="M149" s="28">
        <f t="shared" si="19"/>
        <v>0.09868928296067848</v>
      </c>
      <c r="N149" s="27">
        <f t="shared" si="20"/>
        <v>0.9</v>
      </c>
      <c r="O149" s="27">
        <f t="shared" si="21"/>
        <v>0.5</v>
      </c>
      <c r="P149" s="27">
        <f t="shared" si="22"/>
        <v>20.833333333333332</v>
      </c>
      <c r="Q149" s="27">
        <f t="shared" si="23"/>
        <v>0.05</v>
      </c>
      <c r="R149" s="27">
        <f t="shared" si="24"/>
        <v>3.8028169014084505</v>
      </c>
      <c r="S149" s="27">
        <f t="shared" si="25"/>
        <v>0.26666666666666666</v>
      </c>
      <c r="T149" s="27">
        <f t="shared" si="26"/>
        <v>0</v>
      </c>
      <c r="U149" s="27">
        <f t="shared" si="27"/>
        <v>0.125</v>
      </c>
      <c r="V149" s="29">
        <f t="shared" si="28"/>
        <v>3.1387696709585122</v>
      </c>
      <c r="W149" s="32"/>
    </row>
    <row r="150" spans="1:22" ht="23.25" customHeight="1" thickBot="1">
      <c r="A150" s="262" t="s">
        <v>69</v>
      </c>
      <c r="B150" s="26">
        <f t="shared" si="8"/>
        <v>0</v>
      </c>
      <c r="C150" s="27">
        <f t="shared" si="9"/>
        <v>0</v>
      </c>
      <c r="D150" s="27">
        <f t="shared" si="10"/>
        <v>0</v>
      </c>
      <c r="E150" s="27">
        <f t="shared" si="11"/>
        <v>0</v>
      </c>
      <c r="F150" s="27">
        <f t="shared" si="12"/>
        <v>0</v>
      </c>
      <c r="G150" s="27">
        <f t="shared" si="13"/>
        <v>0</v>
      </c>
      <c r="H150" s="27">
        <f t="shared" si="14"/>
        <v>0</v>
      </c>
      <c r="I150" s="27">
        <f t="shared" si="15"/>
        <v>0</v>
      </c>
      <c r="J150" s="27">
        <f t="shared" si="16"/>
        <v>0</v>
      </c>
      <c r="K150" s="27">
        <f t="shared" si="17"/>
        <v>0</v>
      </c>
      <c r="L150" s="27">
        <f t="shared" si="18"/>
        <v>0</v>
      </c>
      <c r="M150" s="28">
        <f t="shared" si="19"/>
        <v>0</v>
      </c>
      <c r="N150" s="27">
        <f t="shared" si="20"/>
        <v>0</v>
      </c>
      <c r="O150" s="27">
        <f t="shared" si="21"/>
        <v>0</v>
      </c>
      <c r="P150" s="27">
        <f t="shared" si="22"/>
        <v>0</v>
      </c>
      <c r="Q150" s="27">
        <f t="shared" si="23"/>
        <v>0</v>
      </c>
      <c r="R150" s="27">
        <f t="shared" si="24"/>
        <v>0</v>
      </c>
      <c r="S150" s="27">
        <f t="shared" si="25"/>
        <v>8.746666666666666</v>
      </c>
      <c r="T150" s="27">
        <f t="shared" si="26"/>
        <v>0</v>
      </c>
      <c r="U150" s="27">
        <f t="shared" si="27"/>
        <v>0</v>
      </c>
      <c r="V150" s="29">
        <f t="shared" si="28"/>
        <v>0.9384835479256081</v>
      </c>
    </row>
    <row r="151" spans="1:22" ht="23.25" customHeight="1" thickBot="1">
      <c r="A151" s="262" t="s">
        <v>70</v>
      </c>
      <c r="B151" s="26">
        <f t="shared" si="8"/>
        <v>2.7522935779816513</v>
      </c>
      <c r="C151" s="27">
        <f t="shared" si="9"/>
        <v>3.1578947368421053</v>
      </c>
      <c r="D151" s="27">
        <f t="shared" si="10"/>
        <v>0</v>
      </c>
      <c r="E151" s="27">
        <f t="shared" si="11"/>
        <v>0</v>
      </c>
      <c r="F151" s="27">
        <f t="shared" si="12"/>
        <v>1.8571428571428572</v>
      </c>
      <c r="G151" s="27">
        <f t="shared" si="13"/>
        <v>6.758620689655173</v>
      </c>
      <c r="H151" s="27">
        <f t="shared" si="14"/>
        <v>0</v>
      </c>
      <c r="I151" s="27">
        <f t="shared" si="15"/>
        <v>0</v>
      </c>
      <c r="J151" s="27">
        <f t="shared" si="16"/>
        <v>0</v>
      </c>
      <c r="K151" s="27">
        <f t="shared" si="17"/>
        <v>0</v>
      </c>
      <c r="L151" s="27">
        <f t="shared" si="18"/>
        <v>0</v>
      </c>
      <c r="M151" s="28">
        <f t="shared" si="19"/>
        <v>1.6669236700077101</v>
      </c>
      <c r="N151" s="27">
        <f t="shared" si="20"/>
        <v>0.4</v>
      </c>
      <c r="O151" s="27">
        <f t="shared" si="21"/>
        <v>0</v>
      </c>
      <c r="P151" s="27">
        <f t="shared" si="22"/>
        <v>3.4722222222222223</v>
      </c>
      <c r="Q151" s="27">
        <f t="shared" si="23"/>
        <v>0.825</v>
      </c>
      <c r="R151" s="27">
        <f t="shared" si="24"/>
        <v>0</v>
      </c>
      <c r="S151" s="27">
        <f t="shared" si="25"/>
        <v>5.426666666666667</v>
      </c>
      <c r="T151" s="27">
        <f t="shared" si="26"/>
        <v>0</v>
      </c>
      <c r="U151" s="27">
        <f t="shared" si="27"/>
        <v>0</v>
      </c>
      <c r="V151" s="29">
        <f t="shared" si="28"/>
        <v>1.0915593705293276</v>
      </c>
    </row>
    <row r="152" spans="1:22" ht="23.25" customHeight="1" thickBot="1">
      <c r="A152" s="262" t="s">
        <v>71</v>
      </c>
      <c r="B152" s="26">
        <f t="shared" si="8"/>
        <v>1.5688073394495412</v>
      </c>
      <c r="C152" s="27">
        <f t="shared" si="9"/>
        <v>16.666666666666668</v>
      </c>
      <c r="D152" s="27">
        <f t="shared" si="10"/>
        <v>0</v>
      </c>
      <c r="E152" s="27">
        <f t="shared" si="11"/>
        <v>0</v>
      </c>
      <c r="F152" s="27">
        <f t="shared" si="12"/>
        <v>0</v>
      </c>
      <c r="G152" s="27">
        <f t="shared" si="13"/>
        <v>0</v>
      </c>
      <c r="H152" s="27">
        <f t="shared" si="14"/>
        <v>0</v>
      </c>
      <c r="I152" s="27">
        <f t="shared" si="15"/>
        <v>0</v>
      </c>
      <c r="J152" s="27">
        <f t="shared" si="16"/>
        <v>0</v>
      </c>
      <c r="K152" s="27">
        <f t="shared" si="17"/>
        <v>0</v>
      </c>
      <c r="L152" s="27">
        <f t="shared" si="18"/>
        <v>0</v>
      </c>
      <c r="M152" s="28">
        <f t="shared" si="19"/>
        <v>1.5967617579028528</v>
      </c>
      <c r="N152" s="27">
        <f t="shared" si="20"/>
        <v>2.7</v>
      </c>
      <c r="O152" s="27">
        <f t="shared" si="21"/>
        <v>0</v>
      </c>
      <c r="P152" s="27">
        <f t="shared" si="22"/>
        <v>14.458333333333334</v>
      </c>
      <c r="Q152" s="27">
        <f t="shared" si="23"/>
        <v>0</v>
      </c>
      <c r="R152" s="27">
        <f t="shared" si="24"/>
        <v>0</v>
      </c>
      <c r="S152" s="27">
        <f t="shared" si="25"/>
        <v>0</v>
      </c>
      <c r="T152" s="27">
        <f t="shared" si="26"/>
        <v>0</v>
      </c>
      <c r="U152" s="27">
        <f t="shared" si="27"/>
        <v>50.125</v>
      </c>
      <c r="V152" s="29">
        <f t="shared" si="28"/>
        <v>7.612303290414879</v>
      </c>
    </row>
    <row r="153" spans="1:22" ht="23.25" customHeight="1" thickBot="1">
      <c r="A153" s="262" t="s">
        <v>170</v>
      </c>
      <c r="B153" s="26">
        <f t="shared" si="8"/>
        <v>1.834862385321101</v>
      </c>
      <c r="C153" s="27">
        <f t="shared" si="9"/>
        <v>0.8771929824561403</v>
      </c>
      <c r="D153" s="27">
        <f t="shared" si="10"/>
        <v>1.0416666666666667</v>
      </c>
      <c r="E153" s="27">
        <f t="shared" si="11"/>
        <v>0.9285714285714286</v>
      </c>
      <c r="F153" s="27">
        <f t="shared" si="12"/>
        <v>1.4285714285714286</v>
      </c>
      <c r="G153" s="27">
        <f t="shared" si="13"/>
        <v>0.4630541871921182</v>
      </c>
      <c r="H153" s="27">
        <f t="shared" si="14"/>
        <v>1.2790697674418605</v>
      </c>
      <c r="I153" s="27">
        <f t="shared" si="15"/>
        <v>1.3487179487179488</v>
      </c>
      <c r="J153" s="27">
        <f t="shared" si="16"/>
        <v>0.9782608695652174</v>
      </c>
      <c r="K153" s="27">
        <f t="shared" si="17"/>
        <v>4.230769230769231</v>
      </c>
      <c r="L153" s="27">
        <f t="shared" si="18"/>
        <v>6.0638297872340425</v>
      </c>
      <c r="M153" s="28">
        <f t="shared" si="19"/>
        <v>1.774865073245952</v>
      </c>
      <c r="N153" s="27">
        <f t="shared" si="20"/>
        <v>0.9</v>
      </c>
      <c r="O153" s="27">
        <f t="shared" si="21"/>
        <v>0.6</v>
      </c>
      <c r="P153" s="27">
        <f t="shared" si="22"/>
        <v>1.3888888888888888</v>
      </c>
      <c r="Q153" s="27">
        <f t="shared" si="23"/>
        <v>1.25</v>
      </c>
      <c r="R153" s="27">
        <f t="shared" si="24"/>
        <v>2.816901408450704</v>
      </c>
      <c r="S153" s="27">
        <f t="shared" si="25"/>
        <v>0.6666666666666666</v>
      </c>
      <c r="T153" s="27">
        <f t="shared" si="26"/>
        <v>0.6888888888888889</v>
      </c>
      <c r="U153" s="27">
        <f t="shared" si="27"/>
        <v>1</v>
      </c>
      <c r="V153" s="29">
        <f t="shared" si="28"/>
        <v>1.3133047210300428</v>
      </c>
    </row>
    <row r="154" spans="1:22" ht="23.25" customHeight="1" thickBot="1">
      <c r="A154" s="262" t="s">
        <v>72</v>
      </c>
      <c r="B154" s="26">
        <f t="shared" si="8"/>
        <v>1.3761467889908257</v>
      </c>
      <c r="C154" s="27">
        <f t="shared" si="9"/>
        <v>1.3157894736842106</v>
      </c>
      <c r="D154" s="27">
        <f t="shared" si="10"/>
        <v>1.875</v>
      </c>
      <c r="E154" s="27">
        <f t="shared" si="11"/>
        <v>1.1428571428571428</v>
      </c>
      <c r="F154" s="27">
        <f t="shared" si="12"/>
        <v>0.7142857142857143</v>
      </c>
      <c r="G154" s="27">
        <f t="shared" si="13"/>
        <v>1.2315270935960592</v>
      </c>
      <c r="H154" s="27">
        <f t="shared" si="14"/>
        <v>0.872093023255814</v>
      </c>
      <c r="I154" s="27">
        <f t="shared" si="15"/>
        <v>1.4820512820512821</v>
      </c>
      <c r="J154" s="27">
        <f t="shared" si="16"/>
        <v>3.5869565217391304</v>
      </c>
      <c r="K154" s="27">
        <f t="shared" si="17"/>
        <v>1.5</v>
      </c>
      <c r="L154" s="27">
        <f t="shared" si="18"/>
        <v>3.617021276595745</v>
      </c>
      <c r="M154" s="28">
        <f t="shared" si="19"/>
        <v>1.5990747879722436</v>
      </c>
      <c r="N154" s="27">
        <f t="shared" si="20"/>
        <v>2</v>
      </c>
      <c r="O154" s="27">
        <f t="shared" si="21"/>
        <v>2.25</v>
      </c>
      <c r="P154" s="27">
        <f t="shared" si="22"/>
        <v>1.6666666666666667</v>
      </c>
      <c r="Q154" s="27">
        <f t="shared" si="23"/>
        <v>1.875</v>
      </c>
      <c r="R154" s="27">
        <f t="shared" si="24"/>
        <v>1.408450704225352</v>
      </c>
      <c r="S154" s="27">
        <f t="shared" si="25"/>
        <v>1.7066666666666668</v>
      </c>
      <c r="T154" s="27">
        <f t="shared" si="26"/>
        <v>0.6</v>
      </c>
      <c r="U154" s="27">
        <f t="shared" si="27"/>
        <v>2.3375</v>
      </c>
      <c r="V154" s="29">
        <f t="shared" si="28"/>
        <v>1.6795422031473533</v>
      </c>
    </row>
    <row r="155" spans="1:22" ht="23.25" customHeight="1" thickBot="1">
      <c r="A155" s="262" t="s">
        <v>73</v>
      </c>
      <c r="B155" s="26">
        <f t="shared" si="8"/>
        <v>7.798165137614679</v>
      </c>
      <c r="C155" s="27">
        <f t="shared" si="9"/>
        <v>6.4035087719298245</v>
      </c>
      <c r="D155" s="27">
        <f t="shared" si="10"/>
        <v>3.8541666666666665</v>
      </c>
      <c r="E155" s="27">
        <f t="shared" si="11"/>
        <v>5.714285714285714</v>
      </c>
      <c r="F155" s="27">
        <f t="shared" si="12"/>
        <v>11.428571428571429</v>
      </c>
      <c r="G155" s="27">
        <f t="shared" si="13"/>
        <v>2.6305418719211824</v>
      </c>
      <c r="H155" s="27">
        <f t="shared" si="14"/>
        <v>3.7790697674418605</v>
      </c>
      <c r="I155" s="27">
        <f t="shared" si="15"/>
        <v>2.358974358974359</v>
      </c>
      <c r="J155" s="27">
        <f t="shared" si="16"/>
        <v>2.217391304347826</v>
      </c>
      <c r="K155" s="27">
        <f t="shared" si="17"/>
        <v>3.230769230769231</v>
      </c>
      <c r="L155" s="27">
        <f t="shared" si="18"/>
        <v>6.0638297872340425</v>
      </c>
      <c r="M155" s="28">
        <f t="shared" si="19"/>
        <v>4.474171164225135</v>
      </c>
      <c r="N155" s="27">
        <f t="shared" si="20"/>
        <v>4.25</v>
      </c>
      <c r="O155" s="27">
        <f t="shared" si="21"/>
        <v>5.583333333333333</v>
      </c>
      <c r="P155" s="27">
        <f t="shared" si="22"/>
        <v>8.055555555555555</v>
      </c>
      <c r="Q155" s="27">
        <f t="shared" si="23"/>
        <v>5.125</v>
      </c>
      <c r="R155" s="27">
        <f t="shared" si="24"/>
        <v>5.915492957746479</v>
      </c>
      <c r="S155" s="27">
        <f t="shared" si="25"/>
        <v>7.466666666666667</v>
      </c>
      <c r="T155" s="27">
        <f t="shared" si="26"/>
        <v>2.977777777777778</v>
      </c>
      <c r="U155" s="27">
        <f t="shared" si="27"/>
        <v>2.8625</v>
      </c>
      <c r="V155" s="29">
        <f t="shared" si="28"/>
        <v>5.217453505007153</v>
      </c>
    </row>
    <row r="156" spans="1:22" ht="23.25" customHeight="1" thickBot="1">
      <c r="A156" s="262" t="s">
        <v>171</v>
      </c>
      <c r="B156" s="26">
        <f t="shared" si="8"/>
        <v>0</v>
      </c>
      <c r="C156" s="27">
        <f t="shared" si="9"/>
        <v>0</v>
      </c>
      <c r="D156" s="27">
        <f t="shared" si="10"/>
        <v>0</v>
      </c>
      <c r="E156" s="27">
        <f t="shared" si="11"/>
        <v>0</v>
      </c>
      <c r="F156" s="27">
        <f t="shared" si="12"/>
        <v>0</v>
      </c>
      <c r="G156" s="27">
        <f t="shared" si="13"/>
        <v>0</v>
      </c>
      <c r="H156" s="27">
        <f t="shared" si="14"/>
        <v>0</v>
      </c>
      <c r="I156" s="27">
        <f t="shared" si="15"/>
        <v>0</v>
      </c>
      <c r="J156" s="27">
        <f t="shared" si="16"/>
        <v>0</v>
      </c>
      <c r="K156" s="27">
        <f t="shared" si="17"/>
        <v>0.07692307692307693</v>
      </c>
      <c r="L156" s="27">
        <f t="shared" si="18"/>
        <v>0</v>
      </c>
      <c r="M156" s="28">
        <f t="shared" si="19"/>
        <v>0.007710100231303007</v>
      </c>
      <c r="N156" s="27">
        <f t="shared" si="20"/>
        <v>0.25</v>
      </c>
      <c r="O156" s="27">
        <f t="shared" si="21"/>
        <v>0</v>
      </c>
      <c r="P156" s="27">
        <f t="shared" si="22"/>
        <v>0</v>
      </c>
      <c r="Q156" s="27">
        <f t="shared" si="23"/>
        <v>0</v>
      </c>
      <c r="R156" s="27">
        <f t="shared" si="24"/>
        <v>0.07042253521126761</v>
      </c>
      <c r="S156" s="27">
        <f t="shared" si="25"/>
        <v>0</v>
      </c>
      <c r="T156" s="27">
        <f t="shared" si="26"/>
        <v>0</v>
      </c>
      <c r="U156" s="27">
        <f t="shared" si="27"/>
        <v>0</v>
      </c>
      <c r="V156" s="29">
        <f t="shared" si="28"/>
        <v>0.05007153075822604</v>
      </c>
    </row>
    <row r="157" spans="1:22" ht="23.25" customHeight="1" thickBot="1">
      <c r="A157" s="263" t="s">
        <v>74</v>
      </c>
      <c r="B157" s="26">
        <f t="shared" si="8"/>
        <v>173.90825688073394</v>
      </c>
      <c r="C157" s="27">
        <f t="shared" si="9"/>
        <v>206.63333333333333</v>
      </c>
      <c r="D157" s="27">
        <f t="shared" si="10"/>
        <v>135.41666666666666</v>
      </c>
      <c r="E157" s="27">
        <f t="shared" si="11"/>
        <v>160.3</v>
      </c>
      <c r="F157" s="27">
        <f t="shared" si="12"/>
        <v>223</v>
      </c>
      <c r="G157" s="27">
        <f t="shared" si="13"/>
        <v>159.61083743842366</v>
      </c>
      <c r="H157" s="27">
        <f t="shared" si="14"/>
        <v>169.07558139534885</v>
      </c>
      <c r="I157" s="27">
        <f t="shared" si="15"/>
        <v>163.32820512820513</v>
      </c>
      <c r="J157" s="27">
        <f t="shared" si="16"/>
        <v>181.29347826086956</v>
      </c>
      <c r="K157" s="27">
        <f t="shared" si="17"/>
        <v>195.2153846153846</v>
      </c>
      <c r="L157" s="27">
        <f t="shared" si="18"/>
        <v>228.4255319148936</v>
      </c>
      <c r="M157" s="28">
        <f t="shared" si="19"/>
        <v>179.416499614495</v>
      </c>
      <c r="N157" s="27">
        <f t="shared" si="20"/>
        <v>187.31</v>
      </c>
      <c r="O157" s="27">
        <f t="shared" si="21"/>
        <v>231.9</v>
      </c>
      <c r="P157" s="27">
        <f t="shared" si="22"/>
        <v>281.4583333333333</v>
      </c>
      <c r="Q157" s="27">
        <f t="shared" si="23"/>
        <v>186.4</v>
      </c>
      <c r="R157" s="27">
        <f t="shared" si="24"/>
        <v>224.8943661971831</v>
      </c>
      <c r="S157" s="27">
        <f t="shared" si="25"/>
        <v>247.73333333333332</v>
      </c>
      <c r="T157" s="27">
        <f t="shared" si="26"/>
        <v>191.11111111111111</v>
      </c>
      <c r="U157" s="27">
        <f t="shared" si="27"/>
        <v>195.85</v>
      </c>
      <c r="V157" s="29">
        <f t="shared" si="28"/>
        <v>216.3161659513591</v>
      </c>
    </row>
    <row r="158" spans="1:22" ht="23.25" customHeight="1" thickBot="1">
      <c r="A158" s="262" t="s">
        <v>75</v>
      </c>
      <c r="B158" s="26">
        <f t="shared" si="8"/>
        <v>130.8440366972477</v>
      </c>
      <c r="C158" s="27">
        <f t="shared" si="9"/>
        <v>152.89473684210526</v>
      </c>
      <c r="D158" s="27">
        <f t="shared" si="10"/>
        <v>97.91666666666667</v>
      </c>
      <c r="E158" s="27">
        <f t="shared" si="11"/>
        <v>117.27142857142857</v>
      </c>
      <c r="F158" s="27">
        <f t="shared" si="12"/>
        <v>164.57142857142858</v>
      </c>
      <c r="G158" s="27">
        <f t="shared" si="13"/>
        <v>117.06896551724138</v>
      </c>
      <c r="H158" s="27">
        <f t="shared" si="14"/>
        <v>124.30813953488372</v>
      </c>
      <c r="I158" s="27">
        <f t="shared" si="15"/>
        <v>119.6923076923077</v>
      </c>
      <c r="J158" s="27">
        <f t="shared" si="16"/>
        <v>131.52173913043478</v>
      </c>
      <c r="K158" s="27">
        <f t="shared" si="17"/>
        <v>144.06153846153848</v>
      </c>
      <c r="L158" s="27">
        <f t="shared" si="18"/>
        <v>166.19148936170214</v>
      </c>
      <c r="M158" s="28">
        <f t="shared" si="19"/>
        <v>131.88666152659985</v>
      </c>
      <c r="N158" s="27">
        <f t="shared" si="20"/>
        <v>137.37</v>
      </c>
      <c r="O158" s="27">
        <f t="shared" si="21"/>
        <v>169.06666666666666</v>
      </c>
      <c r="P158" s="27">
        <f t="shared" si="22"/>
        <v>211.80555555555554</v>
      </c>
      <c r="Q158" s="27">
        <f t="shared" si="23"/>
        <v>135.875</v>
      </c>
      <c r="R158" s="27">
        <f t="shared" si="24"/>
        <v>164.91549295774647</v>
      </c>
      <c r="S158" s="27">
        <f t="shared" si="25"/>
        <v>180.4</v>
      </c>
      <c r="T158" s="27">
        <f t="shared" si="26"/>
        <v>140.22222222222223</v>
      </c>
      <c r="U158" s="27">
        <f t="shared" si="27"/>
        <v>142.1625</v>
      </c>
      <c r="V158" s="29">
        <f t="shared" si="28"/>
        <v>158.71530758226038</v>
      </c>
    </row>
    <row r="159" spans="1:22" ht="23.25" customHeight="1" thickBot="1">
      <c r="A159" s="262" t="s">
        <v>76</v>
      </c>
      <c r="B159" s="26">
        <f aca="true" t="shared" si="29" ref="B159:B179">B69/$B$92</f>
        <v>124.53211009174312</v>
      </c>
      <c r="C159" s="27">
        <f aca="true" t="shared" si="30" ref="C159:C179">C69/$C$92</f>
        <v>152.89473684210526</v>
      </c>
      <c r="D159" s="27">
        <f aca="true" t="shared" si="31" ref="D159:D179">D69/$D$92</f>
        <v>97.91666666666667</v>
      </c>
      <c r="E159" s="27">
        <f aca="true" t="shared" si="32" ref="E159:E179">E69/$E$92</f>
        <v>116.28571428571429</v>
      </c>
      <c r="F159" s="27">
        <f aca="true" t="shared" si="33" ref="F159:F179">F69/$F$92</f>
        <v>162.71428571428572</v>
      </c>
      <c r="G159" s="27">
        <f aca="true" t="shared" si="34" ref="G159:G179">G69/$G$92</f>
        <v>116.5320197044335</v>
      </c>
      <c r="H159" s="27">
        <f aca="true" t="shared" si="35" ref="H159:H179">H69/$H$92</f>
        <v>123.1453488372093</v>
      </c>
      <c r="I159" s="27">
        <f aca="true" t="shared" si="36" ref="I159:I179">I69/$I$92</f>
        <v>118.92307692307692</v>
      </c>
      <c r="J159" s="27">
        <f aca="true" t="shared" si="37" ref="J159:J179">J69/$J$92</f>
        <v>129.8913043478261</v>
      </c>
      <c r="K159" s="27">
        <f aca="true" t="shared" si="38" ref="K159:K179">K69/$K$92</f>
        <v>143.07692307692307</v>
      </c>
      <c r="L159" s="27">
        <f aca="true" t="shared" si="39" ref="L159:L179">L69/$L$92</f>
        <v>163.85106382978722</v>
      </c>
      <c r="M159" s="28">
        <f aca="true" t="shared" si="40" ref="M159:M179">(B69+C69+D69+E69+F69+G69+H69+I69+J69+K69+L69)/$M$92</f>
        <v>130.46491904394756</v>
      </c>
      <c r="N159" s="27">
        <f aca="true" t="shared" si="41" ref="N159:N179">N69/$N$92</f>
        <v>134.37</v>
      </c>
      <c r="O159" s="27">
        <f aca="true" t="shared" si="42" ref="O159:O179">O69/$O$92</f>
        <v>168.4</v>
      </c>
      <c r="P159" s="27">
        <f aca="true" t="shared" si="43" ref="P159:P179">P69/$P$92</f>
        <v>208.33333333333334</v>
      </c>
      <c r="Q159" s="27">
        <f aca="true" t="shared" si="44" ref="Q159:Q179">Q69/$Q$92</f>
        <v>132.125</v>
      </c>
      <c r="R159" s="27">
        <f aca="true" t="shared" si="45" ref="R159:R179">R69/$R$92</f>
        <v>163.50704225352112</v>
      </c>
      <c r="S159" s="27">
        <f aca="true" t="shared" si="46" ref="S159:S179">S69/$S$92</f>
        <v>174.93333333333334</v>
      </c>
      <c r="T159" s="27">
        <f aca="true" t="shared" si="47" ref="T159:T179">T69/$T$92</f>
        <v>139.33333333333334</v>
      </c>
      <c r="U159" s="27">
        <f aca="true" t="shared" si="48" ref="U159:U179">U69/$U$92</f>
        <v>140.475</v>
      </c>
      <c r="V159" s="29">
        <f t="shared" si="28"/>
        <v>156.26180257510728</v>
      </c>
    </row>
    <row r="160" spans="1:22" ht="23.25" customHeight="1" thickBot="1">
      <c r="A160" s="262" t="s">
        <v>172</v>
      </c>
      <c r="B160" s="26">
        <f t="shared" si="29"/>
        <v>122.59633027522936</v>
      </c>
      <c r="C160" s="27">
        <f t="shared" si="30"/>
        <v>152.89473684210526</v>
      </c>
      <c r="D160" s="27">
        <f t="shared" si="31"/>
        <v>97.91666666666667</v>
      </c>
      <c r="E160" s="27">
        <f t="shared" si="32"/>
        <v>115.91428571428571</v>
      </c>
      <c r="F160" s="27">
        <f t="shared" si="33"/>
        <v>160.71428571428572</v>
      </c>
      <c r="G160" s="27">
        <f t="shared" si="34"/>
        <v>116.20689655172414</v>
      </c>
      <c r="H160" s="27">
        <f t="shared" si="35"/>
        <v>122.44767441860465</v>
      </c>
      <c r="I160" s="27">
        <f t="shared" si="36"/>
        <v>118.2051282051282</v>
      </c>
      <c r="J160" s="27">
        <f t="shared" si="37"/>
        <v>128.5326086956522</v>
      </c>
      <c r="K160" s="27">
        <f t="shared" si="38"/>
        <v>141.98461538461538</v>
      </c>
      <c r="L160" s="27">
        <f t="shared" si="39"/>
        <v>162.7872340425532</v>
      </c>
      <c r="M160" s="28">
        <f t="shared" si="40"/>
        <v>129.63993831919814</v>
      </c>
      <c r="N160" s="27">
        <f t="shared" si="41"/>
        <v>133.37</v>
      </c>
      <c r="O160" s="27">
        <f t="shared" si="42"/>
        <v>167.6</v>
      </c>
      <c r="P160" s="27">
        <f t="shared" si="43"/>
        <v>204.86111111111111</v>
      </c>
      <c r="Q160" s="27">
        <f t="shared" si="44"/>
        <v>131.65</v>
      </c>
      <c r="R160" s="27">
        <f t="shared" si="45"/>
        <v>162.59154929577466</v>
      </c>
      <c r="S160" s="27">
        <f t="shared" si="46"/>
        <v>174.93333333333334</v>
      </c>
      <c r="T160" s="27">
        <f t="shared" si="47"/>
        <v>138.88888888888889</v>
      </c>
      <c r="U160" s="27">
        <f t="shared" si="48"/>
        <v>140.0375</v>
      </c>
      <c r="V160" s="29">
        <f aca="true" t="shared" si="49" ref="V160:V179">(N70+O70+P70+Q70+R70+S70+T70++U70)/$W$92</f>
        <v>155.3447782546495</v>
      </c>
    </row>
    <row r="161" spans="1:22" ht="23.25" customHeight="1" thickBot="1">
      <c r="A161" s="262" t="s">
        <v>77</v>
      </c>
      <c r="B161" s="26">
        <f t="shared" si="29"/>
        <v>6.3119266055045875</v>
      </c>
      <c r="C161" s="27">
        <f t="shared" si="30"/>
        <v>1.7543859649122806</v>
      </c>
      <c r="D161" s="27">
        <f t="shared" si="31"/>
        <v>2.0833333333333335</v>
      </c>
      <c r="E161" s="27">
        <f t="shared" si="32"/>
        <v>0.7142857142857143</v>
      </c>
      <c r="F161" s="27">
        <f t="shared" si="33"/>
        <v>1.8571428571428572</v>
      </c>
      <c r="G161" s="27">
        <f t="shared" si="34"/>
        <v>0.5369458128078818</v>
      </c>
      <c r="H161" s="27">
        <f t="shared" si="35"/>
        <v>1.1627906976744187</v>
      </c>
      <c r="I161" s="27">
        <f t="shared" si="36"/>
        <v>0.7692307692307693</v>
      </c>
      <c r="J161" s="27">
        <f t="shared" si="37"/>
        <v>1.6304347826086956</v>
      </c>
      <c r="K161" s="27">
        <f t="shared" si="38"/>
        <v>0.7692307692307693</v>
      </c>
      <c r="L161" s="27">
        <f t="shared" si="39"/>
        <v>2.3404255319148937</v>
      </c>
      <c r="M161" s="28">
        <f t="shared" si="40"/>
        <v>1.6168080185042406</v>
      </c>
      <c r="N161" s="27">
        <f t="shared" si="41"/>
        <v>3</v>
      </c>
      <c r="O161" s="27">
        <f t="shared" si="42"/>
        <v>0.6666666666666666</v>
      </c>
      <c r="P161" s="27">
        <f t="shared" si="43"/>
        <v>3.4722222222222223</v>
      </c>
      <c r="Q161" s="27">
        <f t="shared" si="44"/>
        <v>3.75</v>
      </c>
      <c r="R161" s="27">
        <f t="shared" si="45"/>
        <v>1.408450704225352</v>
      </c>
      <c r="S161" s="27">
        <f t="shared" si="46"/>
        <v>5.466666666666667</v>
      </c>
      <c r="T161" s="27">
        <f t="shared" si="47"/>
        <v>0.8888888888888888</v>
      </c>
      <c r="U161" s="27">
        <f t="shared" si="48"/>
        <v>1.6875</v>
      </c>
      <c r="V161" s="29">
        <f t="shared" si="49"/>
        <v>2.4535050071530757</v>
      </c>
    </row>
    <row r="162" spans="1:22" ht="23.25" customHeight="1" thickBot="1">
      <c r="A162" s="262" t="s">
        <v>78</v>
      </c>
      <c r="B162" s="26">
        <f t="shared" si="29"/>
        <v>43.06422018348624</v>
      </c>
      <c r="C162" s="27">
        <f t="shared" si="30"/>
        <v>51.9842105263158</v>
      </c>
      <c r="D162" s="27">
        <f t="shared" si="31"/>
        <v>37.729166666666664</v>
      </c>
      <c r="E162" s="27">
        <f t="shared" si="32"/>
        <v>43.02857142857143</v>
      </c>
      <c r="F162" s="27">
        <f t="shared" si="33"/>
        <v>58.42857142857143</v>
      </c>
      <c r="G162" s="27">
        <f t="shared" si="34"/>
        <v>42.54187192118226</v>
      </c>
      <c r="H162" s="27">
        <f t="shared" si="35"/>
        <v>44.76744186046512</v>
      </c>
      <c r="I162" s="27">
        <f t="shared" si="36"/>
        <v>43.635897435897434</v>
      </c>
      <c r="J162" s="27">
        <f t="shared" si="37"/>
        <v>49.77173913043478</v>
      </c>
      <c r="K162" s="27">
        <f t="shared" si="38"/>
        <v>51.15384615384615</v>
      </c>
      <c r="L162" s="27">
        <f t="shared" si="39"/>
        <v>62.234042553191486</v>
      </c>
      <c r="M162" s="28">
        <f t="shared" si="40"/>
        <v>47.384117193523515</v>
      </c>
      <c r="N162" s="27">
        <f t="shared" si="41"/>
        <v>49.94</v>
      </c>
      <c r="O162" s="27">
        <f t="shared" si="42"/>
        <v>62.833333333333336</v>
      </c>
      <c r="P162" s="27">
        <f t="shared" si="43"/>
        <v>69.65277777777777</v>
      </c>
      <c r="Q162" s="27">
        <f t="shared" si="44"/>
        <v>50.525</v>
      </c>
      <c r="R162" s="27">
        <f t="shared" si="45"/>
        <v>59.978873239436616</v>
      </c>
      <c r="S162" s="27">
        <f t="shared" si="46"/>
        <v>67.33333333333333</v>
      </c>
      <c r="T162" s="27">
        <f t="shared" si="47"/>
        <v>50.888888888888886</v>
      </c>
      <c r="U162" s="27">
        <f t="shared" si="48"/>
        <v>53.6875</v>
      </c>
      <c r="V162" s="29">
        <f t="shared" si="49"/>
        <v>57.60085836909871</v>
      </c>
    </row>
    <row r="163" spans="1:22" ht="23.25" customHeight="1" thickBot="1">
      <c r="A163" s="263" t="s">
        <v>79</v>
      </c>
      <c r="B163" s="26">
        <f t="shared" si="29"/>
        <v>0.01834862385321101</v>
      </c>
      <c r="C163" s="27">
        <f t="shared" si="30"/>
        <v>0</v>
      </c>
      <c r="D163" s="27">
        <f t="shared" si="31"/>
        <v>0</v>
      </c>
      <c r="E163" s="27">
        <f t="shared" si="32"/>
        <v>0</v>
      </c>
      <c r="F163" s="27">
        <f t="shared" si="33"/>
        <v>0.14285714285714285</v>
      </c>
      <c r="G163" s="27">
        <f t="shared" si="34"/>
        <v>0.28078817733990147</v>
      </c>
      <c r="H163" s="27">
        <f t="shared" si="35"/>
        <v>0.011627906976744186</v>
      </c>
      <c r="I163" s="27">
        <f t="shared" si="36"/>
        <v>0</v>
      </c>
      <c r="J163" s="27">
        <f t="shared" si="37"/>
        <v>0.06521739130434782</v>
      </c>
      <c r="K163" s="27">
        <f t="shared" si="38"/>
        <v>0.023076923076923078</v>
      </c>
      <c r="L163" s="27">
        <f t="shared" si="39"/>
        <v>0.031914893617021274</v>
      </c>
      <c r="M163" s="28">
        <f t="shared" si="40"/>
        <v>0.06399383191981496</v>
      </c>
      <c r="N163" s="27">
        <f t="shared" si="41"/>
        <v>0</v>
      </c>
      <c r="O163" s="27">
        <f t="shared" si="42"/>
        <v>0</v>
      </c>
      <c r="P163" s="27">
        <f t="shared" si="43"/>
        <v>0.06944444444444445</v>
      </c>
      <c r="Q163" s="27">
        <f t="shared" si="44"/>
        <v>0.0625</v>
      </c>
      <c r="R163" s="27">
        <f t="shared" si="45"/>
        <v>0.056338028169014086</v>
      </c>
      <c r="S163" s="27">
        <f t="shared" si="46"/>
        <v>0.13333333333333333</v>
      </c>
      <c r="T163" s="27">
        <f t="shared" si="47"/>
        <v>0</v>
      </c>
      <c r="U163" s="27">
        <f t="shared" si="48"/>
        <v>0.025</v>
      </c>
      <c r="V163" s="29">
        <f t="shared" si="49"/>
        <v>0.04291845493562232</v>
      </c>
    </row>
    <row r="164" spans="1:22" ht="23.25" customHeight="1" thickBot="1">
      <c r="A164" s="262" t="s">
        <v>80</v>
      </c>
      <c r="B164" s="26">
        <f t="shared" si="29"/>
        <v>0</v>
      </c>
      <c r="C164" s="27">
        <f t="shared" si="30"/>
        <v>0</v>
      </c>
      <c r="D164" s="27">
        <f t="shared" si="31"/>
        <v>0</v>
      </c>
      <c r="E164" s="27">
        <f t="shared" si="32"/>
        <v>0</v>
      </c>
      <c r="F164" s="27">
        <f t="shared" si="33"/>
        <v>0</v>
      </c>
      <c r="G164" s="27">
        <f t="shared" si="34"/>
        <v>0</v>
      </c>
      <c r="H164" s="27">
        <f t="shared" si="35"/>
        <v>0</v>
      </c>
      <c r="I164" s="27">
        <f t="shared" si="36"/>
        <v>0</v>
      </c>
      <c r="J164" s="27">
        <f t="shared" si="37"/>
        <v>0</v>
      </c>
      <c r="K164" s="27">
        <f t="shared" si="38"/>
        <v>0</v>
      </c>
      <c r="L164" s="27">
        <f t="shared" si="39"/>
        <v>0</v>
      </c>
      <c r="M164" s="28">
        <f t="shared" si="40"/>
        <v>0</v>
      </c>
      <c r="N164" s="27">
        <f t="shared" si="41"/>
        <v>0</v>
      </c>
      <c r="O164" s="27">
        <f t="shared" si="42"/>
        <v>0</v>
      </c>
      <c r="P164" s="27">
        <f t="shared" si="43"/>
        <v>0</v>
      </c>
      <c r="Q164" s="27">
        <f t="shared" si="44"/>
        <v>0</v>
      </c>
      <c r="R164" s="27">
        <f t="shared" si="45"/>
        <v>0</v>
      </c>
      <c r="S164" s="27">
        <f t="shared" si="46"/>
        <v>0</v>
      </c>
      <c r="T164" s="27">
        <f t="shared" si="47"/>
        <v>0</v>
      </c>
      <c r="U164" s="27">
        <f t="shared" si="48"/>
        <v>0</v>
      </c>
      <c r="V164" s="29">
        <f t="shared" si="49"/>
        <v>0</v>
      </c>
    </row>
    <row r="165" spans="1:22" ht="23.25" customHeight="1" thickBot="1">
      <c r="A165" s="263" t="s">
        <v>81</v>
      </c>
      <c r="B165" s="26">
        <f t="shared" si="29"/>
        <v>1.3761467889908257</v>
      </c>
      <c r="C165" s="27">
        <f t="shared" si="30"/>
        <v>0.8771929824561403</v>
      </c>
      <c r="D165" s="27">
        <f t="shared" si="31"/>
        <v>0</v>
      </c>
      <c r="E165" s="27">
        <f t="shared" si="32"/>
        <v>0.8571428571428571</v>
      </c>
      <c r="F165" s="27">
        <f t="shared" si="33"/>
        <v>1.7142857142857142</v>
      </c>
      <c r="G165" s="27">
        <f t="shared" si="34"/>
        <v>0.3891625615763547</v>
      </c>
      <c r="H165" s="27">
        <f t="shared" si="35"/>
        <v>0.436046511627907</v>
      </c>
      <c r="I165" s="27">
        <f t="shared" si="36"/>
        <v>0.3076923076923077</v>
      </c>
      <c r="J165" s="27">
        <f t="shared" si="37"/>
        <v>0</v>
      </c>
      <c r="K165" s="27">
        <f t="shared" si="38"/>
        <v>0.5461538461538461</v>
      </c>
      <c r="L165" s="27">
        <f t="shared" si="39"/>
        <v>0.5638297872340425</v>
      </c>
      <c r="M165" s="28">
        <f t="shared" si="40"/>
        <v>0.5921356977640709</v>
      </c>
      <c r="N165" s="27">
        <f t="shared" si="41"/>
        <v>0.72</v>
      </c>
      <c r="O165" s="27">
        <f t="shared" si="42"/>
        <v>1.1166666666666667</v>
      </c>
      <c r="P165" s="27">
        <f t="shared" si="43"/>
        <v>3.4722222222222223</v>
      </c>
      <c r="Q165" s="27">
        <f t="shared" si="44"/>
        <v>0.75</v>
      </c>
      <c r="R165" s="27">
        <f t="shared" si="45"/>
        <v>3.4507042253521125</v>
      </c>
      <c r="S165" s="27">
        <f t="shared" si="46"/>
        <v>1.0666666666666667</v>
      </c>
      <c r="T165" s="27">
        <f t="shared" si="47"/>
        <v>0.9777777777777777</v>
      </c>
      <c r="U165" s="27">
        <f t="shared" si="48"/>
        <v>0.8</v>
      </c>
      <c r="V165" s="29">
        <f t="shared" si="49"/>
        <v>1.6752503576537912</v>
      </c>
    </row>
    <row r="166" spans="1:22" ht="23.25" customHeight="1" thickBot="1">
      <c r="A166" s="262" t="s">
        <v>82</v>
      </c>
      <c r="B166" s="26">
        <f t="shared" si="29"/>
        <v>0</v>
      </c>
      <c r="C166" s="27">
        <f t="shared" si="30"/>
        <v>0</v>
      </c>
      <c r="D166" s="27">
        <f t="shared" si="31"/>
        <v>0</v>
      </c>
      <c r="E166" s="27">
        <f t="shared" si="32"/>
        <v>0</v>
      </c>
      <c r="F166" s="27">
        <f t="shared" si="33"/>
        <v>0</v>
      </c>
      <c r="G166" s="27">
        <f t="shared" si="34"/>
        <v>0</v>
      </c>
      <c r="H166" s="27">
        <f t="shared" si="35"/>
        <v>0</v>
      </c>
      <c r="I166" s="27">
        <f t="shared" si="36"/>
        <v>0</v>
      </c>
      <c r="J166" s="27">
        <f t="shared" si="37"/>
        <v>0.391304347826087</v>
      </c>
      <c r="K166" s="27">
        <f t="shared" si="38"/>
        <v>0</v>
      </c>
      <c r="L166" s="27">
        <f t="shared" si="39"/>
        <v>0</v>
      </c>
      <c r="M166" s="28">
        <f t="shared" si="40"/>
        <v>0.027756360832690823</v>
      </c>
      <c r="N166" s="27">
        <f t="shared" si="41"/>
        <v>0</v>
      </c>
      <c r="O166" s="27">
        <f t="shared" si="42"/>
        <v>0</v>
      </c>
      <c r="P166" s="27">
        <f t="shared" si="43"/>
        <v>0</v>
      </c>
      <c r="Q166" s="27">
        <f t="shared" si="44"/>
        <v>0</v>
      </c>
      <c r="R166" s="27">
        <f t="shared" si="45"/>
        <v>0</v>
      </c>
      <c r="S166" s="27">
        <f t="shared" si="46"/>
        <v>0</v>
      </c>
      <c r="T166" s="27">
        <f t="shared" si="47"/>
        <v>0</v>
      </c>
      <c r="U166" s="27">
        <f t="shared" si="48"/>
        <v>0</v>
      </c>
      <c r="V166" s="29">
        <f t="shared" si="49"/>
        <v>0</v>
      </c>
    </row>
    <row r="167" spans="1:22" ht="23.25" customHeight="1" thickBot="1">
      <c r="A167" s="262" t="s">
        <v>83</v>
      </c>
      <c r="B167" s="26">
        <f t="shared" si="29"/>
        <v>0</v>
      </c>
      <c r="C167" s="27">
        <f t="shared" si="30"/>
        <v>0</v>
      </c>
      <c r="D167" s="27">
        <f t="shared" si="31"/>
        <v>0</v>
      </c>
      <c r="E167" s="27">
        <f t="shared" si="32"/>
        <v>0</v>
      </c>
      <c r="F167" s="27">
        <f t="shared" si="33"/>
        <v>0</v>
      </c>
      <c r="G167" s="27">
        <f t="shared" si="34"/>
        <v>0</v>
      </c>
      <c r="H167" s="27">
        <f t="shared" si="35"/>
        <v>0</v>
      </c>
      <c r="I167" s="27">
        <f t="shared" si="36"/>
        <v>0</v>
      </c>
      <c r="J167" s="27">
        <f t="shared" si="37"/>
        <v>0</v>
      </c>
      <c r="K167" s="27">
        <f t="shared" si="38"/>
        <v>0</v>
      </c>
      <c r="L167" s="27">
        <f t="shared" si="39"/>
        <v>0</v>
      </c>
      <c r="M167" s="28">
        <f t="shared" si="40"/>
        <v>0</v>
      </c>
      <c r="N167" s="27">
        <f t="shared" si="41"/>
        <v>0</v>
      </c>
      <c r="O167" s="27">
        <f t="shared" si="42"/>
        <v>0</v>
      </c>
      <c r="P167" s="27">
        <f t="shared" si="43"/>
        <v>0</v>
      </c>
      <c r="Q167" s="27">
        <f t="shared" si="44"/>
        <v>0</v>
      </c>
      <c r="R167" s="27">
        <f t="shared" si="45"/>
        <v>0</v>
      </c>
      <c r="S167" s="27">
        <f t="shared" si="46"/>
        <v>0</v>
      </c>
      <c r="T167" s="27">
        <f t="shared" si="47"/>
        <v>0</v>
      </c>
      <c r="U167" s="27">
        <f t="shared" si="48"/>
        <v>0</v>
      </c>
      <c r="V167" s="29">
        <f t="shared" si="49"/>
        <v>0</v>
      </c>
    </row>
    <row r="168" spans="1:22" ht="23.25" customHeight="1" thickBot="1">
      <c r="A168" s="263" t="s">
        <v>84</v>
      </c>
      <c r="B168" s="26">
        <f t="shared" si="29"/>
        <v>19.61467889908257</v>
      </c>
      <c r="C168" s="27">
        <f t="shared" si="30"/>
        <v>43.421052631578945</v>
      </c>
      <c r="D168" s="27">
        <f t="shared" si="31"/>
        <v>11.458333333333334</v>
      </c>
      <c r="E168" s="27">
        <f t="shared" si="32"/>
        <v>9.4</v>
      </c>
      <c r="F168" s="27">
        <f t="shared" si="33"/>
        <v>11.228571428571428</v>
      </c>
      <c r="G168" s="27">
        <f t="shared" si="34"/>
        <v>8.714285714285714</v>
      </c>
      <c r="H168" s="27">
        <f t="shared" si="35"/>
        <v>11.622093023255815</v>
      </c>
      <c r="I168" s="27">
        <f t="shared" si="36"/>
        <v>9.189743589743589</v>
      </c>
      <c r="J168" s="27">
        <f t="shared" si="37"/>
        <v>0</v>
      </c>
      <c r="K168" s="27">
        <f t="shared" si="38"/>
        <v>0</v>
      </c>
      <c r="L168" s="27">
        <f t="shared" si="39"/>
        <v>22.97872340425532</v>
      </c>
      <c r="M168" s="28">
        <f t="shared" si="40"/>
        <v>12.954510408635313</v>
      </c>
      <c r="N168" s="27">
        <f t="shared" si="41"/>
        <v>11.67</v>
      </c>
      <c r="O168" s="27">
        <f t="shared" si="42"/>
        <v>54.3</v>
      </c>
      <c r="P168" s="27">
        <f t="shared" si="43"/>
        <v>16.90277777777778</v>
      </c>
      <c r="Q168" s="27">
        <f t="shared" si="44"/>
        <v>7.8375</v>
      </c>
      <c r="R168" s="27">
        <f t="shared" si="45"/>
        <v>16</v>
      </c>
      <c r="S168" s="27">
        <f t="shared" si="46"/>
        <v>18.44</v>
      </c>
      <c r="T168" s="27">
        <f t="shared" si="47"/>
        <v>11.222222222222221</v>
      </c>
      <c r="U168" s="27">
        <f t="shared" si="48"/>
        <v>15.575</v>
      </c>
      <c r="V168" s="29">
        <f t="shared" si="49"/>
        <v>17.42489270386266</v>
      </c>
    </row>
    <row r="169" spans="1:22" ht="23.25" customHeight="1" thickBot="1">
      <c r="A169" s="262" t="s">
        <v>85</v>
      </c>
      <c r="B169" s="26">
        <f t="shared" si="29"/>
        <v>8.972477064220184</v>
      </c>
      <c r="C169" s="27">
        <f t="shared" si="30"/>
        <v>34.64912280701754</v>
      </c>
      <c r="D169" s="27">
        <f t="shared" si="31"/>
        <v>9.375</v>
      </c>
      <c r="E169" s="27">
        <f t="shared" si="32"/>
        <v>6.542857142857143</v>
      </c>
      <c r="F169" s="27">
        <f t="shared" si="33"/>
        <v>7.6571428571428575</v>
      </c>
      <c r="G169" s="27">
        <f t="shared" si="34"/>
        <v>4.477832512315271</v>
      </c>
      <c r="H169" s="27">
        <f t="shared" si="35"/>
        <v>10.459302325581396</v>
      </c>
      <c r="I169" s="27">
        <f t="shared" si="36"/>
        <v>6.523076923076923</v>
      </c>
      <c r="J169" s="27">
        <f t="shared" si="37"/>
        <v>13.33695652173913</v>
      </c>
      <c r="K169" s="27">
        <f t="shared" si="38"/>
        <v>9.069230769230769</v>
      </c>
      <c r="L169" s="27">
        <f t="shared" si="39"/>
        <v>21.914893617021278</v>
      </c>
      <c r="M169" s="28">
        <f t="shared" si="40"/>
        <v>11.424826522744796</v>
      </c>
      <c r="N169" s="27">
        <f t="shared" si="41"/>
        <v>8.17</v>
      </c>
      <c r="O169" s="27">
        <f t="shared" si="42"/>
        <v>50.96666666666667</v>
      </c>
      <c r="P169" s="27">
        <f t="shared" si="43"/>
        <v>3.7083333333333335</v>
      </c>
      <c r="Q169" s="27">
        <f t="shared" si="44"/>
        <v>4.7125</v>
      </c>
      <c r="R169" s="27">
        <f t="shared" si="45"/>
        <v>12.830985915492958</v>
      </c>
      <c r="S169" s="27">
        <f t="shared" si="46"/>
        <v>13.44</v>
      </c>
      <c r="T169" s="27">
        <f t="shared" si="47"/>
        <v>7.611111111111111</v>
      </c>
      <c r="U169" s="27">
        <f t="shared" si="48"/>
        <v>13.8375</v>
      </c>
      <c r="V169" s="29">
        <f t="shared" si="49"/>
        <v>13.07725321888412</v>
      </c>
    </row>
    <row r="170" spans="1:22" ht="23.25" customHeight="1" thickBot="1">
      <c r="A170" s="262" t="s">
        <v>86</v>
      </c>
      <c r="B170" s="26">
        <f t="shared" si="29"/>
        <v>0.9174311926605505</v>
      </c>
      <c r="C170" s="27">
        <f t="shared" si="30"/>
        <v>0</v>
      </c>
      <c r="D170" s="27">
        <f t="shared" si="31"/>
        <v>0</v>
      </c>
      <c r="E170" s="27">
        <f t="shared" si="32"/>
        <v>0</v>
      </c>
      <c r="F170" s="27">
        <f t="shared" si="33"/>
        <v>0</v>
      </c>
      <c r="G170" s="27">
        <f t="shared" si="34"/>
        <v>0</v>
      </c>
      <c r="H170" s="27">
        <f t="shared" si="35"/>
        <v>0</v>
      </c>
      <c r="I170" s="27">
        <f t="shared" si="36"/>
        <v>0</v>
      </c>
      <c r="J170" s="27">
        <f t="shared" si="37"/>
        <v>0</v>
      </c>
      <c r="K170" s="27">
        <f t="shared" si="38"/>
        <v>0.7692307692307693</v>
      </c>
      <c r="L170" s="27">
        <f t="shared" si="39"/>
        <v>0</v>
      </c>
      <c r="M170" s="28">
        <f t="shared" si="40"/>
        <v>0.15420200462606015</v>
      </c>
      <c r="N170" s="27">
        <f t="shared" si="41"/>
        <v>0</v>
      </c>
      <c r="O170" s="27">
        <f t="shared" si="42"/>
        <v>0</v>
      </c>
      <c r="P170" s="27">
        <f t="shared" si="43"/>
        <v>0</v>
      </c>
      <c r="Q170" s="27">
        <f t="shared" si="44"/>
        <v>0</v>
      </c>
      <c r="R170" s="27">
        <f t="shared" si="45"/>
        <v>0</v>
      </c>
      <c r="S170" s="27">
        <f t="shared" si="46"/>
        <v>0.3333333333333333</v>
      </c>
      <c r="T170" s="27">
        <f t="shared" si="47"/>
        <v>0</v>
      </c>
      <c r="U170" s="27">
        <f t="shared" si="48"/>
        <v>1.0375</v>
      </c>
      <c r="V170" s="29">
        <f t="shared" si="49"/>
        <v>0.15450643776824036</v>
      </c>
    </row>
    <row r="171" spans="1:22" ht="23.25" customHeight="1" thickBot="1">
      <c r="A171" s="262" t="s">
        <v>173</v>
      </c>
      <c r="B171" s="26">
        <f t="shared" si="29"/>
        <v>0</v>
      </c>
      <c r="C171" s="27">
        <f t="shared" si="30"/>
        <v>0</v>
      </c>
      <c r="D171" s="27">
        <f t="shared" si="31"/>
        <v>0</v>
      </c>
      <c r="E171" s="27">
        <f t="shared" si="32"/>
        <v>0</v>
      </c>
      <c r="F171" s="27">
        <f t="shared" si="33"/>
        <v>0</v>
      </c>
      <c r="G171" s="27">
        <f t="shared" si="34"/>
        <v>0</v>
      </c>
      <c r="H171" s="27">
        <f t="shared" si="35"/>
        <v>0</v>
      </c>
      <c r="I171" s="27">
        <f t="shared" si="36"/>
        <v>0</v>
      </c>
      <c r="J171" s="27">
        <f t="shared" si="37"/>
        <v>0</v>
      </c>
      <c r="K171" s="27">
        <f t="shared" si="38"/>
        <v>0</v>
      </c>
      <c r="L171" s="27">
        <f t="shared" si="39"/>
        <v>0</v>
      </c>
      <c r="M171" s="28">
        <f t="shared" si="40"/>
        <v>0</v>
      </c>
      <c r="N171" s="27">
        <f t="shared" si="41"/>
        <v>0</v>
      </c>
      <c r="O171" s="27">
        <f t="shared" si="42"/>
        <v>0</v>
      </c>
      <c r="P171" s="27">
        <f t="shared" si="43"/>
        <v>0</v>
      </c>
      <c r="Q171" s="27">
        <f t="shared" si="44"/>
        <v>0</v>
      </c>
      <c r="R171" s="27">
        <f t="shared" si="45"/>
        <v>0</v>
      </c>
      <c r="S171" s="27">
        <f t="shared" si="46"/>
        <v>0</v>
      </c>
      <c r="T171" s="27">
        <f t="shared" si="47"/>
        <v>0</v>
      </c>
      <c r="U171" s="27">
        <f t="shared" si="48"/>
        <v>0.075</v>
      </c>
      <c r="V171" s="29">
        <f t="shared" si="49"/>
        <v>0.008583690987124463</v>
      </c>
    </row>
    <row r="172" spans="1:22" ht="23.25" customHeight="1" thickBot="1">
      <c r="A172" s="262" t="s">
        <v>87</v>
      </c>
      <c r="B172" s="26">
        <f t="shared" si="29"/>
        <v>9.724770642201834</v>
      </c>
      <c r="C172" s="27">
        <f t="shared" si="30"/>
        <v>4.385964912280702</v>
      </c>
      <c r="D172" s="27">
        <f t="shared" si="31"/>
        <v>2.0833333333333335</v>
      </c>
      <c r="E172" s="27">
        <f t="shared" si="32"/>
        <v>2.857142857142857</v>
      </c>
      <c r="F172" s="27">
        <f t="shared" si="33"/>
        <v>3.5714285714285716</v>
      </c>
      <c r="G172" s="27">
        <f t="shared" si="34"/>
        <v>4.236453201970443</v>
      </c>
      <c r="H172" s="27">
        <f t="shared" si="35"/>
        <v>1.1627906976744187</v>
      </c>
      <c r="I172" s="27">
        <f t="shared" si="36"/>
        <v>2.6666666666666665</v>
      </c>
      <c r="J172" s="27">
        <f t="shared" si="37"/>
        <v>0</v>
      </c>
      <c r="K172" s="27">
        <f t="shared" si="38"/>
        <v>3.076923076923077</v>
      </c>
      <c r="L172" s="27">
        <f t="shared" si="39"/>
        <v>1.0638297872340425</v>
      </c>
      <c r="M172" s="28">
        <f t="shared" si="40"/>
        <v>3.23053199691596</v>
      </c>
      <c r="N172" s="27">
        <f t="shared" si="41"/>
        <v>3.5</v>
      </c>
      <c r="O172" s="27">
        <f t="shared" si="42"/>
        <v>3.3333333333333335</v>
      </c>
      <c r="P172" s="27">
        <f t="shared" si="43"/>
        <v>13.194444444444445</v>
      </c>
      <c r="Q172" s="27">
        <f t="shared" si="44"/>
        <v>3.125</v>
      </c>
      <c r="R172" s="27">
        <f t="shared" si="45"/>
        <v>3.1690140845070425</v>
      </c>
      <c r="S172" s="27">
        <f t="shared" si="46"/>
        <v>4.666666666666667</v>
      </c>
      <c r="T172" s="27">
        <f t="shared" si="47"/>
        <v>3.611111111111111</v>
      </c>
      <c r="U172" s="27">
        <f t="shared" si="48"/>
        <v>0.625</v>
      </c>
      <c r="V172" s="29">
        <f t="shared" si="49"/>
        <v>4.184549356223176</v>
      </c>
    </row>
    <row r="173" spans="1:22" ht="23.25" customHeight="1" thickBot="1">
      <c r="A173" s="262" t="s">
        <v>174</v>
      </c>
      <c r="B173" s="26">
        <f t="shared" si="29"/>
        <v>9.174311926605505</v>
      </c>
      <c r="C173" s="27">
        <f t="shared" si="30"/>
        <v>4.385964912280702</v>
      </c>
      <c r="D173" s="27">
        <f t="shared" si="31"/>
        <v>2.0833333333333335</v>
      </c>
      <c r="E173" s="27">
        <f t="shared" si="32"/>
        <v>2.857142857142857</v>
      </c>
      <c r="F173" s="27">
        <f t="shared" si="33"/>
        <v>2.142857142857143</v>
      </c>
      <c r="G173" s="27">
        <f t="shared" si="34"/>
        <v>0</v>
      </c>
      <c r="H173" s="27">
        <f t="shared" si="35"/>
        <v>1.1627906976744187</v>
      </c>
      <c r="I173" s="27">
        <f t="shared" si="36"/>
        <v>2.6666666666666665</v>
      </c>
      <c r="J173" s="27">
        <f t="shared" si="37"/>
        <v>3.260869565217391</v>
      </c>
      <c r="K173" s="27">
        <f t="shared" si="38"/>
        <v>3.076923076923077</v>
      </c>
      <c r="L173" s="27">
        <f t="shared" si="39"/>
        <v>1.0638297872340425</v>
      </c>
      <c r="M173" s="28">
        <f t="shared" si="40"/>
        <v>2.6754047802621432</v>
      </c>
      <c r="N173" s="27">
        <f t="shared" si="41"/>
        <v>3.5</v>
      </c>
      <c r="O173" s="27">
        <f t="shared" si="42"/>
        <v>3.3333333333333335</v>
      </c>
      <c r="P173" s="27">
        <f t="shared" si="43"/>
        <v>13.194444444444445</v>
      </c>
      <c r="Q173" s="27">
        <f t="shared" si="44"/>
        <v>3.125</v>
      </c>
      <c r="R173" s="27">
        <f t="shared" si="45"/>
        <v>3.1690140845070425</v>
      </c>
      <c r="S173" s="27">
        <f t="shared" si="46"/>
        <v>4.666666666666667</v>
      </c>
      <c r="T173" s="27">
        <f t="shared" si="47"/>
        <v>3.3333333333333335</v>
      </c>
      <c r="U173" s="27">
        <f t="shared" si="48"/>
        <v>0.625</v>
      </c>
      <c r="V173" s="29">
        <f t="shared" si="49"/>
        <v>4.148783977110157</v>
      </c>
    </row>
    <row r="174" spans="1:22" ht="23.25" customHeight="1" thickBot="1">
      <c r="A174" s="262" t="s">
        <v>175</v>
      </c>
      <c r="B174" s="26">
        <f t="shared" si="29"/>
        <v>0.5504587155963303</v>
      </c>
      <c r="C174" s="27">
        <f t="shared" si="30"/>
        <v>0</v>
      </c>
      <c r="D174" s="27">
        <f t="shared" si="31"/>
        <v>0</v>
      </c>
      <c r="E174" s="27">
        <f t="shared" si="32"/>
        <v>0</v>
      </c>
      <c r="F174" s="27">
        <f t="shared" si="33"/>
        <v>0</v>
      </c>
      <c r="G174" s="27">
        <f t="shared" si="34"/>
        <v>0</v>
      </c>
      <c r="H174" s="27">
        <f t="shared" si="35"/>
        <v>0</v>
      </c>
      <c r="I174" s="27">
        <f t="shared" si="36"/>
        <v>0</v>
      </c>
      <c r="J174" s="27">
        <f t="shared" si="37"/>
        <v>0</v>
      </c>
      <c r="K174" s="27">
        <f t="shared" si="38"/>
        <v>0</v>
      </c>
      <c r="L174" s="27">
        <f t="shared" si="39"/>
        <v>0</v>
      </c>
      <c r="M174" s="28">
        <f t="shared" si="40"/>
        <v>0.04626060138781804</v>
      </c>
      <c r="N174" s="27">
        <f t="shared" si="41"/>
        <v>0</v>
      </c>
      <c r="O174" s="27">
        <f t="shared" si="42"/>
        <v>0</v>
      </c>
      <c r="P174" s="27">
        <f t="shared" si="43"/>
        <v>0</v>
      </c>
      <c r="Q174" s="27">
        <f t="shared" si="44"/>
        <v>0</v>
      </c>
      <c r="R174" s="27">
        <f t="shared" si="45"/>
        <v>0</v>
      </c>
      <c r="S174" s="27">
        <f t="shared" si="46"/>
        <v>0</v>
      </c>
      <c r="T174" s="27">
        <f t="shared" si="47"/>
        <v>0.2777777777777778</v>
      </c>
      <c r="U174" s="27">
        <f t="shared" si="48"/>
        <v>0</v>
      </c>
      <c r="V174" s="29">
        <f t="shared" si="49"/>
        <v>0.0357653791130186</v>
      </c>
    </row>
    <row r="175" spans="1:22" ht="23.25" customHeight="1" thickBot="1">
      <c r="A175" s="263" t="s">
        <v>88</v>
      </c>
      <c r="B175" s="26">
        <f t="shared" si="29"/>
        <v>0</v>
      </c>
      <c r="C175" s="27">
        <f t="shared" si="30"/>
        <v>0</v>
      </c>
      <c r="D175" s="27">
        <f t="shared" si="31"/>
        <v>1.125</v>
      </c>
      <c r="E175" s="27">
        <f t="shared" si="32"/>
        <v>0</v>
      </c>
      <c r="F175" s="27">
        <f t="shared" si="33"/>
        <v>0</v>
      </c>
      <c r="G175" s="27">
        <f t="shared" si="34"/>
        <v>0</v>
      </c>
      <c r="H175" s="27">
        <f t="shared" si="35"/>
        <v>0</v>
      </c>
      <c r="I175" s="27">
        <f t="shared" si="36"/>
        <v>0.005128205128205128</v>
      </c>
      <c r="J175" s="27">
        <f t="shared" si="37"/>
        <v>0</v>
      </c>
      <c r="K175" s="27">
        <f t="shared" si="38"/>
        <v>0</v>
      </c>
      <c r="L175" s="27">
        <f t="shared" si="39"/>
        <v>0</v>
      </c>
      <c r="M175" s="28">
        <f t="shared" si="40"/>
        <v>0.04240555127216654</v>
      </c>
      <c r="N175" s="27">
        <f t="shared" si="41"/>
        <v>0</v>
      </c>
      <c r="O175" s="27">
        <f t="shared" si="42"/>
        <v>0</v>
      </c>
      <c r="P175" s="27">
        <f t="shared" si="43"/>
        <v>0</v>
      </c>
      <c r="Q175" s="27">
        <f t="shared" si="44"/>
        <v>0</v>
      </c>
      <c r="R175" s="27">
        <f t="shared" si="45"/>
        <v>0</v>
      </c>
      <c r="S175" s="27">
        <f t="shared" si="46"/>
        <v>0</v>
      </c>
      <c r="T175" s="27">
        <f t="shared" si="47"/>
        <v>0</v>
      </c>
      <c r="U175" s="27">
        <f t="shared" si="48"/>
        <v>0</v>
      </c>
      <c r="V175" s="29">
        <f t="shared" si="49"/>
        <v>0</v>
      </c>
    </row>
    <row r="176" spans="1:22" ht="23.25" customHeight="1" thickBot="1">
      <c r="A176" s="262" t="s">
        <v>89</v>
      </c>
      <c r="B176" s="26">
        <f t="shared" si="29"/>
        <v>0</v>
      </c>
      <c r="C176" s="27">
        <f t="shared" si="30"/>
        <v>0</v>
      </c>
      <c r="D176" s="27">
        <f t="shared" si="31"/>
        <v>0</v>
      </c>
      <c r="E176" s="27">
        <f t="shared" si="32"/>
        <v>0</v>
      </c>
      <c r="F176" s="27">
        <f t="shared" si="33"/>
        <v>0</v>
      </c>
      <c r="G176" s="27">
        <f t="shared" si="34"/>
        <v>0</v>
      </c>
      <c r="H176" s="27">
        <f t="shared" si="35"/>
        <v>0</v>
      </c>
      <c r="I176" s="27">
        <f t="shared" si="36"/>
        <v>0.005128205128205128</v>
      </c>
      <c r="J176" s="27">
        <f t="shared" si="37"/>
        <v>0</v>
      </c>
      <c r="K176" s="27">
        <f t="shared" si="38"/>
        <v>0</v>
      </c>
      <c r="L176" s="27">
        <f t="shared" si="39"/>
        <v>0</v>
      </c>
      <c r="M176" s="28">
        <f t="shared" si="40"/>
        <v>0.0007710100231303007</v>
      </c>
      <c r="N176" s="27">
        <f t="shared" si="41"/>
        <v>0</v>
      </c>
      <c r="O176" s="27">
        <f t="shared" si="42"/>
        <v>0</v>
      </c>
      <c r="P176" s="27">
        <f t="shared" si="43"/>
        <v>0</v>
      </c>
      <c r="Q176" s="27">
        <f t="shared" si="44"/>
        <v>0</v>
      </c>
      <c r="R176" s="27">
        <f t="shared" si="45"/>
        <v>0</v>
      </c>
      <c r="S176" s="27">
        <f t="shared" si="46"/>
        <v>0</v>
      </c>
      <c r="T176" s="27">
        <f t="shared" si="47"/>
        <v>0</v>
      </c>
      <c r="U176" s="27">
        <f t="shared" si="48"/>
        <v>0</v>
      </c>
      <c r="V176" s="29">
        <f t="shared" si="49"/>
        <v>0</v>
      </c>
    </row>
    <row r="177" spans="1:22" ht="23.25" customHeight="1" thickBot="1">
      <c r="A177" s="263" t="s">
        <v>90</v>
      </c>
      <c r="B177" s="26">
        <f t="shared" si="29"/>
        <v>0</v>
      </c>
      <c r="C177" s="27">
        <f t="shared" si="30"/>
        <v>0</v>
      </c>
      <c r="D177" s="27">
        <f t="shared" si="31"/>
        <v>0</v>
      </c>
      <c r="E177" s="27">
        <f t="shared" si="32"/>
        <v>0</v>
      </c>
      <c r="F177" s="27">
        <f t="shared" si="33"/>
        <v>0</v>
      </c>
      <c r="G177" s="27">
        <f t="shared" si="34"/>
        <v>0</v>
      </c>
      <c r="H177" s="27">
        <f t="shared" si="35"/>
        <v>0</v>
      </c>
      <c r="I177" s="27">
        <f t="shared" si="36"/>
        <v>0</v>
      </c>
      <c r="J177" s="27">
        <f t="shared" si="37"/>
        <v>0</v>
      </c>
      <c r="K177" s="27">
        <f t="shared" si="38"/>
        <v>0</v>
      </c>
      <c r="L177" s="27">
        <f t="shared" si="39"/>
        <v>0</v>
      </c>
      <c r="M177" s="28">
        <f t="shared" si="40"/>
        <v>0</v>
      </c>
      <c r="N177" s="27">
        <f t="shared" si="41"/>
        <v>0</v>
      </c>
      <c r="O177" s="27">
        <f t="shared" si="42"/>
        <v>0</v>
      </c>
      <c r="P177" s="27">
        <f t="shared" si="43"/>
        <v>0</v>
      </c>
      <c r="Q177" s="27">
        <f t="shared" si="44"/>
        <v>0</v>
      </c>
      <c r="R177" s="27">
        <f t="shared" si="45"/>
        <v>0</v>
      </c>
      <c r="S177" s="27">
        <f t="shared" si="46"/>
        <v>0</v>
      </c>
      <c r="T177" s="27">
        <f t="shared" si="47"/>
        <v>0</v>
      </c>
      <c r="U177" s="27">
        <f t="shared" si="48"/>
        <v>0</v>
      </c>
      <c r="V177" s="29">
        <f t="shared" si="49"/>
        <v>0</v>
      </c>
    </row>
    <row r="178" spans="1:22" ht="23.25" customHeight="1" thickBot="1">
      <c r="A178" s="262" t="s">
        <v>176</v>
      </c>
      <c r="B178" s="26">
        <f t="shared" si="29"/>
        <v>0</v>
      </c>
      <c r="C178" s="27">
        <f t="shared" si="30"/>
        <v>0</v>
      </c>
      <c r="D178" s="27">
        <f t="shared" si="31"/>
        <v>0</v>
      </c>
      <c r="E178" s="27">
        <f t="shared" si="32"/>
        <v>0</v>
      </c>
      <c r="F178" s="27">
        <f t="shared" si="33"/>
        <v>0</v>
      </c>
      <c r="G178" s="27">
        <f t="shared" si="34"/>
        <v>0</v>
      </c>
      <c r="H178" s="27">
        <f t="shared" si="35"/>
        <v>0</v>
      </c>
      <c r="I178" s="27">
        <f t="shared" si="36"/>
        <v>0</v>
      </c>
      <c r="J178" s="27">
        <f t="shared" si="37"/>
        <v>0</v>
      </c>
      <c r="K178" s="27">
        <f t="shared" si="38"/>
        <v>0</v>
      </c>
      <c r="L178" s="27">
        <f t="shared" si="39"/>
        <v>0</v>
      </c>
      <c r="M178" s="28">
        <f t="shared" si="40"/>
        <v>0</v>
      </c>
      <c r="N178" s="27">
        <f t="shared" si="41"/>
        <v>0</v>
      </c>
      <c r="O178" s="27">
        <f t="shared" si="42"/>
        <v>0</v>
      </c>
      <c r="P178" s="27">
        <f t="shared" si="43"/>
        <v>0</v>
      </c>
      <c r="Q178" s="27">
        <f t="shared" si="44"/>
        <v>0</v>
      </c>
      <c r="R178" s="27">
        <f t="shared" si="45"/>
        <v>0</v>
      </c>
      <c r="S178" s="27">
        <f t="shared" si="46"/>
        <v>0</v>
      </c>
      <c r="T178" s="27">
        <f t="shared" si="47"/>
        <v>0</v>
      </c>
      <c r="U178" s="27">
        <f t="shared" si="48"/>
        <v>0</v>
      </c>
      <c r="V178" s="29">
        <f t="shared" si="49"/>
        <v>0</v>
      </c>
    </row>
    <row r="179" spans="1:22" ht="23.25" customHeight="1" thickBot="1">
      <c r="A179" s="331" t="s">
        <v>91</v>
      </c>
      <c r="B179" s="327">
        <f t="shared" si="29"/>
        <v>274.42201834862385</v>
      </c>
      <c r="C179" s="328">
        <f t="shared" si="30"/>
        <v>347.5543859649122</v>
      </c>
      <c r="D179" s="328">
        <f t="shared" si="31"/>
        <v>233.66666666666666</v>
      </c>
      <c r="E179" s="328">
        <f t="shared" si="32"/>
        <v>242.85714285714286</v>
      </c>
      <c r="F179" s="328">
        <f t="shared" si="33"/>
        <v>317.5</v>
      </c>
      <c r="G179" s="328">
        <f t="shared" si="34"/>
        <v>236.6847290640394</v>
      </c>
      <c r="H179" s="328">
        <f t="shared" si="35"/>
        <v>253.53488372093022</v>
      </c>
      <c r="I179" s="328">
        <f t="shared" si="36"/>
        <v>252.84615384615384</v>
      </c>
      <c r="J179" s="328">
        <f t="shared" si="37"/>
        <v>290.7173913043478</v>
      </c>
      <c r="K179" s="328">
        <f t="shared" si="38"/>
        <v>297.3615384615385</v>
      </c>
      <c r="L179" s="328">
        <f t="shared" si="39"/>
        <v>357.74468085106383</v>
      </c>
      <c r="M179" s="329">
        <f t="shared" si="40"/>
        <v>277.5367771781033</v>
      </c>
      <c r="N179" s="328">
        <f t="shared" si="41"/>
        <v>276.76</v>
      </c>
      <c r="O179" s="328">
        <f t="shared" si="42"/>
        <v>377.9166666666667</v>
      </c>
      <c r="P179" s="328">
        <f t="shared" si="43"/>
        <v>421.8888888888889</v>
      </c>
      <c r="Q179" s="328">
        <f t="shared" si="44"/>
        <v>275.9125</v>
      </c>
      <c r="R179" s="328">
        <f t="shared" si="45"/>
        <v>322.7957746478873</v>
      </c>
      <c r="S179" s="328">
        <f t="shared" si="46"/>
        <v>362.2266666666667</v>
      </c>
      <c r="T179" s="328">
        <f t="shared" si="47"/>
        <v>276.75555555555553</v>
      </c>
      <c r="U179" s="328">
        <f t="shared" si="48"/>
        <v>310.275</v>
      </c>
      <c r="V179" s="330">
        <f t="shared" si="49"/>
        <v>322.6523605150215</v>
      </c>
    </row>
    <row r="180" spans="1:22" ht="23.25" customHeight="1" thickBot="1">
      <c r="A180" s="331" t="s">
        <v>244</v>
      </c>
      <c r="B180" s="332">
        <f>(B89-B79)/B92</f>
        <v>265.44954128440367</v>
      </c>
      <c r="C180" s="333">
        <f aca="true" t="shared" si="50" ref="C180:U180">(C89-C79)/C92</f>
        <v>312.9052631578947</v>
      </c>
      <c r="D180" s="333">
        <f t="shared" si="50"/>
        <v>224.29166666666666</v>
      </c>
      <c r="E180" s="333">
        <f t="shared" si="50"/>
        <v>236.31428571428572</v>
      </c>
      <c r="F180" s="333">
        <f t="shared" si="50"/>
        <v>309.84285714285716</v>
      </c>
      <c r="G180" s="333">
        <f t="shared" si="50"/>
        <v>232.20689655172413</v>
      </c>
      <c r="H180" s="333">
        <f t="shared" si="50"/>
        <v>243.07558139534885</v>
      </c>
      <c r="I180" s="333">
        <f t="shared" si="50"/>
        <v>246.3230769230769</v>
      </c>
      <c r="J180" s="333">
        <f t="shared" si="50"/>
        <v>277.3804347826087</v>
      </c>
      <c r="K180" s="333">
        <f t="shared" si="50"/>
        <v>288.2923076923077</v>
      </c>
      <c r="L180" s="333">
        <f t="shared" si="50"/>
        <v>335.82978723404256</v>
      </c>
      <c r="M180" s="334">
        <f t="shared" si="50"/>
        <v>266.11195065535856</v>
      </c>
      <c r="N180" s="333">
        <f t="shared" si="50"/>
        <v>268.59</v>
      </c>
      <c r="O180" s="333">
        <f t="shared" si="50"/>
        <v>326.95</v>
      </c>
      <c r="P180" s="333">
        <f t="shared" si="50"/>
        <v>418.18055555555554</v>
      </c>
      <c r="Q180" s="333">
        <f t="shared" si="50"/>
        <v>271.2</v>
      </c>
      <c r="R180" s="333">
        <f t="shared" si="50"/>
        <v>309.96478873239437</v>
      </c>
      <c r="S180" s="333">
        <f t="shared" si="50"/>
        <v>348.7866666666667</v>
      </c>
      <c r="T180" s="333">
        <f t="shared" si="50"/>
        <v>269.14444444444445</v>
      </c>
      <c r="U180" s="333">
        <f t="shared" si="50"/>
        <v>296.4375</v>
      </c>
      <c r="V180" s="335">
        <f>(W89-W79)/W92</f>
        <v>309.57510729613733</v>
      </c>
    </row>
  </sheetData>
  <sheetProtection selectLockedCells="1" selectUnlockedCells="1"/>
  <mergeCells count="1">
    <mergeCell ref="B93:V93"/>
  </mergeCells>
  <printOptions/>
  <pageMargins left="0.7875" right="0.7875" top="0.7062499999999999" bottom="0.9840277777777777" header="0.5118055555555555" footer="0.5118055555555555"/>
  <pageSetup horizontalDpi="300" verticalDpi="300" orientation="portrait" paperSize="8" scale="40" r:id="rId1"/>
  <headerFooter alignWithMargins="0">
    <oddFooter>&amp;C&amp;"Arial CE,Běžné"&amp;P</oddFooter>
  </headerFooter>
  <rowBreaks count="1" manualBreakCount="1">
    <brk id="92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T132"/>
  <sheetViews>
    <sheetView view="pageBreakPreview" zoomScale="70" zoomScaleNormal="90" zoomScaleSheetLayoutView="70" zoomScalePageLayoutView="0" workbookViewId="0" topLeftCell="A97">
      <selection activeCell="H117" sqref="H117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140625" style="1" customWidth="1"/>
    <col min="8" max="8" width="11.851562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138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90"/>
      <c r="D4" s="497" t="s">
        <v>157</v>
      </c>
      <c r="E4" s="500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3"/>
      <c r="D5" s="498"/>
      <c r="E5" s="501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6"/>
      <c r="D6" s="499"/>
      <c r="E6" s="502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10"/>
      <c r="D7" s="121">
        <v>29076</v>
      </c>
      <c r="E7" s="121">
        <v>29211</v>
      </c>
      <c r="F7" s="154">
        <f>E7-D7</f>
        <v>135</v>
      </c>
      <c r="G7" s="145">
        <f>E7/D7</f>
        <v>1.0046430045398267</v>
      </c>
      <c r="H7" s="122">
        <f>H8+H9+H16+H17</f>
        <v>29255</v>
      </c>
      <c r="I7" s="123">
        <v>0</v>
      </c>
      <c r="J7" s="156">
        <f>H7+I7</f>
        <v>29255</v>
      </c>
      <c r="K7" s="144">
        <f>J7-E7</f>
        <v>44</v>
      </c>
      <c r="L7" s="150">
        <f>J7/E7</f>
        <v>1.0015062818801137</v>
      </c>
    </row>
    <row r="8" spans="1:12" s="101" customFormat="1" ht="13.5">
      <c r="A8" s="511" t="s">
        <v>25</v>
      </c>
      <c r="B8" s="512"/>
      <c r="C8" s="513"/>
      <c r="D8" s="125">
        <v>0</v>
      </c>
      <c r="E8" s="125">
        <v>0</v>
      </c>
      <c r="F8" s="154">
        <f aca="true" t="shared" si="0" ref="F8:F75">E8-D8</f>
        <v>0</v>
      </c>
      <c r="G8" s="145"/>
      <c r="H8" s="127">
        <v>0</v>
      </c>
      <c r="I8" s="128">
        <v>0</v>
      </c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3"/>
      <c r="D9" s="125">
        <f>SUM(D10:D15)</f>
        <v>29076</v>
      </c>
      <c r="E9" s="125">
        <f>SUM(E10:E15)</f>
        <v>29211</v>
      </c>
      <c r="F9" s="154">
        <f t="shared" si="0"/>
        <v>135</v>
      </c>
      <c r="G9" s="145">
        <f aca="true" t="shared" si="3" ref="G9:G74">E9/D9</f>
        <v>1.0046430045398267</v>
      </c>
      <c r="H9" s="127">
        <f>SUM(H10:H15)</f>
        <v>29255</v>
      </c>
      <c r="I9" s="128">
        <v>0</v>
      </c>
      <c r="J9" s="156">
        <f t="shared" si="1"/>
        <v>29255</v>
      </c>
      <c r="K9" s="144">
        <f t="shared" si="2"/>
        <v>44</v>
      </c>
      <c r="L9" s="150">
        <f aca="true" t="shared" si="4" ref="L9:L75">J9/E9</f>
        <v>1.0015062818801137</v>
      </c>
    </row>
    <row r="10" spans="1:12" s="101" customFormat="1" ht="13.5">
      <c r="A10" s="514" t="s">
        <v>27</v>
      </c>
      <c r="B10" s="515"/>
      <c r="C10" s="516"/>
      <c r="D10" s="125">
        <v>10771</v>
      </c>
      <c r="E10" s="125">
        <v>11240</v>
      </c>
      <c r="F10" s="154">
        <f t="shared" si="0"/>
        <v>469</v>
      </c>
      <c r="G10" s="145">
        <f t="shared" si="3"/>
        <v>1.0435428465323553</v>
      </c>
      <c r="H10" s="127">
        <v>11300</v>
      </c>
      <c r="I10" s="128">
        <v>0</v>
      </c>
      <c r="J10" s="156">
        <f t="shared" si="1"/>
        <v>11300</v>
      </c>
      <c r="K10" s="144">
        <f t="shared" si="2"/>
        <v>60</v>
      </c>
      <c r="L10" s="150">
        <f t="shared" si="4"/>
        <v>1.0053380782918149</v>
      </c>
    </row>
    <row r="11" spans="1:12" s="101" customFormat="1" ht="13.5">
      <c r="A11" s="514" t="s">
        <v>28</v>
      </c>
      <c r="B11" s="515"/>
      <c r="C11" s="516"/>
      <c r="D11" s="125">
        <v>14088</v>
      </c>
      <c r="E11" s="125">
        <v>14073</v>
      </c>
      <c r="F11" s="154">
        <f t="shared" si="0"/>
        <v>-15</v>
      </c>
      <c r="G11" s="145">
        <f t="shared" si="3"/>
        <v>0.9989352640545145</v>
      </c>
      <c r="H11" s="127">
        <v>14080</v>
      </c>
      <c r="I11" s="128">
        <v>0</v>
      </c>
      <c r="J11" s="156">
        <f t="shared" si="1"/>
        <v>14080</v>
      </c>
      <c r="K11" s="144">
        <f t="shared" si="2"/>
        <v>7</v>
      </c>
      <c r="L11" s="150">
        <f t="shared" si="4"/>
        <v>1.0004974063810133</v>
      </c>
    </row>
    <row r="12" spans="1:12" s="101" customFormat="1" ht="13.5">
      <c r="A12" s="514" t="s">
        <v>29</v>
      </c>
      <c r="B12" s="515"/>
      <c r="C12" s="516"/>
      <c r="D12" s="125">
        <v>15</v>
      </c>
      <c r="E12" s="125">
        <v>17</v>
      </c>
      <c r="F12" s="154">
        <f t="shared" si="0"/>
        <v>2</v>
      </c>
      <c r="G12" s="145">
        <f t="shared" si="3"/>
        <v>1.1333333333333333</v>
      </c>
      <c r="H12" s="127">
        <v>5</v>
      </c>
      <c r="I12" s="128">
        <v>0</v>
      </c>
      <c r="J12" s="156">
        <f t="shared" si="1"/>
        <v>5</v>
      </c>
      <c r="K12" s="144">
        <f t="shared" si="2"/>
        <v>-12</v>
      </c>
      <c r="L12" s="150">
        <f t="shared" si="4"/>
        <v>0.29411764705882354</v>
      </c>
    </row>
    <row r="13" spans="1:12" s="101" customFormat="1" ht="13.5">
      <c r="A13" s="514" t="s">
        <v>30</v>
      </c>
      <c r="B13" s="515"/>
      <c r="C13" s="516"/>
      <c r="D13" s="125">
        <v>3366</v>
      </c>
      <c r="E13" s="125">
        <v>3101</v>
      </c>
      <c r="F13" s="154">
        <f t="shared" si="0"/>
        <v>-265</v>
      </c>
      <c r="G13" s="145">
        <f t="shared" si="3"/>
        <v>0.9212715389185977</v>
      </c>
      <c r="H13" s="127">
        <v>3100</v>
      </c>
      <c r="I13" s="128">
        <v>0</v>
      </c>
      <c r="J13" s="156">
        <f t="shared" si="1"/>
        <v>3100</v>
      </c>
      <c r="K13" s="144">
        <f t="shared" si="2"/>
        <v>-1</v>
      </c>
      <c r="L13" s="150">
        <f t="shared" si="4"/>
        <v>0.999677523379555</v>
      </c>
    </row>
    <row r="14" spans="1:12" s="101" customFormat="1" ht="13.5">
      <c r="A14" s="514" t="s">
        <v>31</v>
      </c>
      <c r="B14" s="515"/>
      <c r="C14" s="516"/>
      <c r="D14" s="125">
        <v>812</v>
      </c>
      <c r="E14" s="125">
        <v>749</v>
      </c>
      <c r="F14" s="154">
        <f t="shared" si="0"/>
        <v>-63</v>
      </c>
      <c r="G14" s="145">
        <f t="shared" si="3"/>
        <v>0.9224137931034483</v>
      </c>
      <c r="H14" s="127">
        <v>750</v>
      </c>
      <c r="I14" s="128">
        <v>0</v>
      </c>
      <c r="J14" s="156">
        <f t="shared" si="1"/>
        <v>750</v>
      </c>
      <c r="K14" s="144">
        <f t="shared" si="2"/>
        <v>1</v>
      </c>
      <c r="L14" s="150">
        <f t="shared" si="4"/>
        <v>1.0013351134846462</v>
      </c>
    </row>
    <row r="15" spans="1:14" s="101" customFormat="1" ht="13.5">
      <c r="A15" s="514" t="s">
        <v>32</v>
      </c>
      <c r="B15" s="515"/>
      <c r="C15" s="516"/>
      <c r="D15" s="125">
        <v>24</v>
      </c>
      <c r="E15" s="125">
        <v>31</v>
      </c>
      <c r="F15" s="154">
        <f t="shared" si="0"/>
        <v>7</v>
      </c>
      <c r="G15" s="145">
        <f t="shared" si="3"/>
        <v>1.2916666666666667</v>
      </c>
      <c r="H15" s="127">
        <v>20</v>
      </c>
      <c r="I15" s="128">
        <v>0</v>
      </c>
      <c r="J15" s="156">
        <f t="shared" si="1"/>
        <v>20</v>
      </c>
      <c r="K15" s="144">
        <f t="shared" si="2"/>
        <v>-11</v>
      </c>
      <c r="L15" s="150">
        <f t="shared" si="4"/>
        <v>0.6451612903225806</v>
      </c>
      <c r="N15" s="129"/>
    </row>
    <row r="16" spans="1:12" s="101" customFormat="1" ht="13.5">
      <c r="A16" s="511" t="s">
        <v>33</v>
      </c>
      <c r="B16" s="512"/>
      <c r="C16" s="513"/>
      <c r="D16" s="125">
        <v>0</v>
      </c>
      <c r="E16" s="125">
        <v>0</v>
      </c>
      <c r="F16" s="154">
        <f t="shared" si="0"/>
        <v>0</v>
      </c>
      <c r="G16" s="145"/>
      <c r="H16" s="127">
        <v>0</v>
      </c>
      <c r="I16" s="128">
        <v>0</v>
      </c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511" t="s">
        <v>34</v>
      </c>
      <c r="B17" s="512"/>
      <c r="C17" s="513"/>
      <c r="D17" s="125">
        <v>0</v>
      </c>
      <c r="E17" s="125">
        <v>0</v>
      </c>
      <c r="F17" s="154">
        <f t="shared" si="0"/>
        <v>0</v>
      </c>
      <c r="G17" s="145"/>
      <c r="H17" s="127">
        <v>0</v>
      </c>
      <c r="I17" s="128">
        <v>0</v>
      </c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9"/>
      <c r="D18" s="125">
        <v>937</v>
      </c>
      <c r="E18" s="125">
        <v>413</v>
      </c>
      <c r="F18" s="154">
        <f t="shared" si="0"/>
        <v>-524</v>
      </c>
      <c r="G18" s="145">
        <f t="shared" si="3"/>
        <v>0.4407684098185699</v>
      </c>
      <c r="H18" s="127">
        <f>H19+H20+H21+50</f>
        <v>853</v>
      </c>
      <c r="I18" s="128">
        <v>0</v>
      </c>
      <c r="J18" s="156">
        <f t="shared" si="1"/>
        <v>853</v>
      </c>
      <c r="K18" s="144">
        <f t="shared" si="2"/>
        <v>440</v>
      </c>
      <c r="L18" s="150">
        <f t="shared" si="4"/>
        <v>2.0653753026634383</v>
      </c>
    </row>
    <row r="19" spans="1:12" s="101" customFormat="1" ht="13.5">
      <c r="A19" s="511" t="s">
        <v>36</v>
      </c>
      <c r="B19" s="512"/>
      <c r="C19" s="513"/>
      <c r="D19" s="125">
        <v>0</v>
      </c>
      <c r="E19" s="125">
        <v>0</v>
      </c>
      <c r="F19" s="154">
        <f t="shared" si="0"/>
        <v>0</v>
      </c>
      <c r="G19" s="145"/>
      <c r="H19" s="127">
        <v>0</v>
      </c>
      <c r="I19" s="128">
        <v>0</v>
      </c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3"/>
      <c r="D20" s="125">
        <v>0</v>
      </c>
      <c r="E20" s="138">
        <v>0</v>
      </c>
      <c r="F20" s="154">
        <f t="shared" si="0"/>
        <v>0</v>
      </c>
      <c r="G20" s="145"/>
      <c r="H20" s="122">
        <v>0</v>
      </c>
      <c r="I20" s="123">
        <v>0</v>
      </c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2"/>
      <c r="D21" s="125">
        <v>786</v>
      </c>
      <c r="E21" s="125">
        <f>SUM(E22:E25)</f>
        <v>293</v>
      </c>
      <c r="F21" s="154">
        <f t="shared" si="0"/>
        <v>-493</v>
      </c>
      <c r="G21" s="145">
        <f t="shared" si="3"/>
        <v>0.3727735368956743</v>
      </c>
      <c r="H21" s="127">
        <f>SUM(H22:H25)</f>
        <v>803</v>
      </c>
      <c r="I21" s="128">
        <v>0</v>
      </c>
      <c r="J21" s="156">
        <f t="shared" si="1"/>
        <v>803</v>
      </c>
      <c r="K21" s="144">
        <f t="shared" si="2"/>
        <v>510</v>
      </c>
      <c r="L21" s="150">
        <f t="shared" si="4"/>
        <v>2.74061433447099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2"/>
      <c r="D22" s="125">
        <v>390</v>
      </c>
      <c r="E22" s="125">
        <v>283</v>
      </c>
      <c r="F22" s="154">
        <f t="shared" si="0"/>
        <v>-107</v>
      </c>
      <c r="G22" s="145">
        <f t="shared" si="3"/>
        <v>0.7256410256410256</v>
      </c>
      <c r="H22" s="366">
        <v>312</v>
      </c>
      <c r="I22" s="128">
        <v>0</v>
      </c>
      <c r="J22" s="156">
        <f t="shared" si="1"/>
        <v>312</v>
      </c>
      <c r="K22" s="144">
        <f t="shared" si="2"/>
        <v>29</v>
      </c>
      <c r="L22" s="150">
        <f t="shared" si="4"/>
        <v>1.1024734982332156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2"/>
      <c r="D23" s="125">
        <v>344</v>
      </c>
      <c r="E23" s="125">
        <v>10</v>
      </c>
      <c r="F23" s="154">
        <f t="shared" si="0"/>
        <v>-334</v>
      </c>
      <c r="G23" s="145">
        <f t="shared" si="3"/>
        <v>0.029069767441860465</v>
      </c>
      <c r="H23" s="366">
        <v>430</v>
      </c>
      <c r="I23" s="128">
        <v>0</v>
      </c>
      <c r="J23" s="156">
        <f t="shared" si="1"/>
        <v>430</v>
      </c>
      <c r="K23" s="144">
        <f t="shared" si="2"/>
        <v>420</v>
      </c>
      <c r="L23" s="150">
        <f t="shared" si="4"/>
        <v>43</v>
      </c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2"/>
      <c r="D24" s="125">
        <v>52</v>
      </c>
      <c r="E24" s="125">
        <v>0</v>
      </c>
      <c r="F24" s="154">
        <f t="shared" si="0"/>
        <v>-52</v>
      </c>
      <c r="G24" s="145">
        <f t="shared" si="3"/>
        <v>0</v>
      </c>
      <c r="H24" s="366">
        <v>61</v>
      </c>
      <c r="I24" s="128">
        <v>0</v>
      </c>
      <c r="J24" s="156">
        <f t="shared" si="1"/>
        <v>61</v>
      </c>
      <c r="K24" s="144">
        <f t="shared" si="2"/>
        <v>61</v>
      </c>
      <c r="L24" s="150"/>
    </row>
    <row r="25" spans="1:12" s="101" customFormat="1" ht="13.5">
      <c r="A25" s="520" t="s">
        <v>163</v>
      </c>
      <c r="B25" s="521"/>
      <c r="C25" s="522"/>
      <c r="D25" s="125">
        <v>0</v>
      </c>
      <c r="E25" s="125">
        <v>0</v>
      </c>
      <c r="F25" s="154">
        <f t="shared" si="0"/>
        <v>0</v>
      </c>
      <c r="G25" s="145"/>
      <c r="H25" s="366">
        <v>0</v>
      </c>
      <c r="I25" s="128">
        <v>0</v>
      </c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9"/>
      <c r="D26" s="125">
        <v>24</v>
      </c>
      <c r="E26" s="125">
        <v>13</v>
      </c>
      <c r="F26" s="154">
        <f t="shared" si="0"/>
        <v>-11</v>
      </c>
      <c r="G26" s="145">
        <f t="shared" si="3"/>
        <v>0.5416666666666666</v>
      </c>
      <c r="H26" s="366">
        <v>10</v>
      </c>
      <c r="I26" s="128">
        <v>0</v>
      </c>
      <c r="J26" s="156">
        <f t="shared" si="1"/>
        <v>10</v>
      </c>
      <c r="K26" s="144">
        <f t="shared" si="2"/>
        <v>-3</v>
      </c>
      <c r="L26" s="150">
        <f t="shared" si="4"/>
        <v>0.7692307692307693</v>
      </c>
    </row>
    <row r="27" spans="1:12" s="101" customFormat="1" ht="13.5">
      <c r="A27" s="511" t="s">
        <v>40</v>
      </c>
      <c r="B27" s="512"/>
      <c r="C27" s="513"/>
      <c r="D27" s="125">
        <v>24</v>
      </c>
      <c r="E27" s="125">
        <v>13</v>
      </c>
      <c r="F27" s="154">
        <f t="shared" si="0"/>
        <v>-11</v>
      </c>
      <c r="G27" s="145">
        <f t="shared" si="3"/>
        <v>0.5416666666666666</v>
      </c>
      <c r="H27" s="366">
        <v>10</v>
      </c>
      <c r="I27" s="128">
        <v>0</v>
      </c>
      <c r="J27" s="156">
        <f t="shared" si="1"/>
        <v>10</v>
      </c>
      <c r="K27" s="144">
        <f t="shared" si="2"/>
        <v>-3</v>
      </c>
      <c r="L27" s="150">
        <f t="shared" si="4"/>
        <v>0.7692307692307693</v>
      </c>
    </row>
    <row r="28" spans="1:12" s="101" customFormat="1" ht="13.5">
      <c r="A28" s="511" t="s">
        <v>41</v>
      </c>
      <c r="B28" s="512"/>
      <c r="C28" s="513"/>
      <c r="D28" s="125">
        <v>0</v>
      </c>
      <c r="E28" s="125">
        <v>0</v>
      </c>
      <c r="F28" s="154">
        <f t="shared" si="0"/>
        <v>0</v>
      </c>
      <c r="G28" s="145"/>
      <c r="H28" s="366">
        <v>0</v>
      </c>
      <c r="I28" s="128">
        <v>0</v>
      </c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9"/>
      <c r="D29" s="125">
        <f>SUM(D30:D33)</f>
        <v>13910</v>
      </c>
      <c r="E29" s="138">
        <f>SUM(E30:E33)</f>
        <v>14358</v>
      </c>
      <c r="F29" s="154">
        <f t="shared" si="0"/>
        <v>448</v>
      </c>
      <c r="G29" s="145">
        <f t="shared" si="3"/>
        <v>1.0322070452911574</v>
      </c>
      <c r="H29" s="367">
        <f>SUM(H30:H33)</f>
        <v>15489</v>
      </c>
      <c r="I29" s="123">
        <f>SUM(I30:I33)</f>
        <v>0</v>
      </c>
      <c r="J29" s="156">
        <f t="shared" si="1"/>
        <v>15489</v>
      </c>
      <c r="K29" s="144">
        <f t="shared" si="2"/>
        <v>1131</v>
      </c>
      <c r="L29" s="150">
        <f t="shared" si="4"/>
        <v>1.078771416631843</v>
      </c>
    </row>
    <row r="30" spans="1:14" s="101" customFormat="1" ht="13.5">
      <c r="A30" s="514" t="s">
        <v>164</v>
      </c>
      <c r="B30" s="515"/>
      <c r="C30" s="516"/>
      <c r="D30" s="131">
        <v>4254</v>
      </c>
      <c r="E30" s="131">
        <v>3432</v>
      </c>
      <c r="F30" s="155">
        <f t="shared" si="0"/>
        <v>-822</v>
      </c>
      <c r="G30" s="147">
        <f t="shared" si="3"/>
        <v>0.8067700987306065</v>
      </c>
      <c r="H30" s="363">
        <v>2854</v>
      </c>
      <c r="I30" s="133">
        <v>0</v>
      </c>
      <c r="J30" s="157">
        <f t="shared" si="1"/>
        <v>2854</v>
      </c>
      <c r="K30" s="146">
        <f t="shared" si="2"/>
        <v>-578</v>
      </c>
      <c r="L30" s="151">
        <f t="shared" si="4"/>
        <v>0.8315850815850816</v>
      </c>
      <c r="N30" s="129"/>
    </row>
    <row r="31" spans="1:12" s="101" customFormat="1" ht="13.5">
      <c r="A31" s="514" t="s">
        <v>43</v>
      </c>
      <c r="B31" s="515"/>
      <c r="C31" s="516"/>
      <c r="D31" s="125">
        <v>9320</v>
      </c>
      <c r="E31" s="125">
        <v>10750</v>
      </c>
      <c r="F31" s="154">
        <f t="shared" si="0"/>
        <v>1430</v>
      </c>
      <c r="G31" s="145">
        <f t="shared" si="3"/>
        <v>1.1534334763948497</v>
      </c>
      <c r="H31" s="127">
        <v>12523</v>
      </c>
      <c r="I31" s="128">
        <v>0</v>
      </c>
      <c r="J31" s="156">
        <f t="shared" si="1"/>
        <v>12523</v>
      </c>
      <c r="K31" s="144">
        <f t="shared" si="2"/>
        <v>1773</v>
      </c>
      <c r="L31" s="150">
        <f t="shared" si="4"/>
        <v>1.1649302325581394</v>
      </c>
    </row>
    <row r="32" spans="1:12" s="101" customFormat="1" ht="13.5">
      <c r="A32" s="511" t="s">
        <v>44</v>
      </c>
      <c r="B32" s="512"/>
      <c r="C32" s="513"/>
      <c r="D32" s="138">
        <v>336</v>
      </c>
      <c r="E32" s="138">
        <v>176</v>
      </c>
      <c r="F32" s="154">
        <f t="shared" si="0"/>
        <v>-160</v>
      </c>
      <c r="G32" s="145">
        <f t="shared" si="3"/>
        <v>0.5238095238095238</v>
      </c>
      <c r="H32" s="122">
        <v>112</v>
      </c>
      <c r="I32" s="123">
        <v>0</v>
      </c>
      <c r="J32" s="156">
        <f t="shared" si="1"/>
        <v>112</v>
      </c>
      <c r="K32" s="144">
        <f t="shared" si="2"/>
        <v>-64</v>
      </c>
      <c r="L32" s="150">
        <f t="shared" si="4"/>
        <v>0.6363636363636364</v>
      </c>
    </row>
    <row r="33" spans="1:14" s="101" customFormat="1" ht="14.25" thickBot="1">
      <c r="A33" s="514" t="s">
        <v>45</v>
      </c>
      <c r="B33" s="515"/>
      <c r="C33" s="516"/>
      <c r="D33" s="153">
        <v>0</v>
      </c>
      <c r="E33" s="153">
        <v>0</v>
      </c>
      <c r="F33" s="154">
        <f t="shared" si="0"/>
        <v>0</v>
      </c>
      <c r="G33" s="145"/>
      <c r="H33" s="158">
        <v>0</v>
      </c>
      <c r="I33" s="159">
        <v>0</v>
      </c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523" t="s">
        <v>46</v>
      </c>
      <c r="B34" s="524"/>
      <c r="C34" s="525"/>
      <c r="D34" s="171">
        <f>D7+D18+D26+D29</f>
        <v>43947</v>
      </c>
      <c r="E34" s="172">
        <f>E7+E18+E26+E29</f>
        <v>43995</v>
      </c>
      <c r="F34" s="173">
        <f t="shared" si="0"/>
        <v>48</v>
      </c>
      <c r="G34" s="174">
        <f t="shared" si="3"/>
        <v>1.0010922247252372</v>
      </c>
      <c r="H34" s="172">
        <f>H7+H18+H26+H29</f>
        <v>45607</v>
      </c>
      <c r="I34" s="172">
        <f>I7+I18+I26+I29</f>
        <v>0</v>
      </c>
      <c r="J34" s="175">
        <f t="shared" si="1"/>
        <v>45607</v>
      </c>
      <c r="K34" s="173">
        <f t="shared" si="2"/>
        <v>1612</v>
      </c>
      <c r="L34" s="176">
        <f t="shared" si="4"/>
        <v>1.0366405273326513</v>
      </c>
    </row>
    <row r="35" spans="1:12" s="101" customFormat="1" ht="13.5">
      <c r="A35" s="526" t="s">
        <v>47</v>
      </c>
      <c r="B35" s="527"/>
      <c r="C35" s="528"/>
      <c r="D35" s="135">
        <v>5842</v>
      </c>
      <c r="E35" s="136">
        <f>SUM(E36:E45)</f>
        <v>5155</v>
      </c>
      <c r="F35" s="148">
        <f t="shared" si="0"/>
        <v>-687</v>
      </c>
      <c r="G35" s="149">
        <f t="shared" si="3"/>
        <v>0.8824032865457035</v>
      </c>
      <c r="H35" s="137">
        <f>SUM(H36:H45)</f>
        <v>5540</v>
      </c>
      <c r="I35" s="137">
        <v>0</v>
      </c>
      <c r="J35" s="134">
        <f t="shared" si="1"/>
        <v>5540</v>
      </c>
      <c r="K35" s="148">
        <f t="shared" si="2"/>
        <v>385</v>
      </c>
      <c r="L35" s="152">
        <f t="shared" si="4"/>
        <v>1.0746847720659554</v>
      </c>
    </row>
    <row r="36" spans="1:12" s="101" customFormat="1" ht="13.5">
      <c r="A36" s="514" t="s">
        <v>48</v>
      </c>
      <c r="B36" s="515"/>
      <c r="C36" s="516"/>
      <c r="D36" s="125">
        <v>4359</v>
      </c>
      <c r="E36" s="126">
        <v>4131</v>
      </c>
      <c r="F36" s="144">
        <f t="shared" si="0"/>
        <v>-228</v>
      </c>
      <c r="G36" s="145">
        <f t="shared" si="3"/>
        <v>0.9476944253269098</v>
      </c>
      <c r="H36" s="127">
        <v>4200</v>
      </c>
      <c r="I36" s="128">
        <v>0</v>
      </c>
      <c r="J36" s="124">
        <f t="shared" si="1"/>
        <v>4200</v>
      </c>
      <c r="K36" s="144">
        <f t="shared" si="2"/>
        <v>69</v>
      </c>
      <c r="L36" s="150">
        <f t="shared" si="4"/>
        <v>1.016702977487291</v>
      </c>
    </row>
    <row r="37" spans="1:12" s="101" customFormat="1" ht="13.5">
      <c r="A37" s="514" t="s">
        <v>49</v>
      </c>
      <c r="B37" s="515"/>
      <c r="C37" s="516"/>
      <c r="D37" s="125">
        <v>143</v>
      </c>
      <c r="E37" s="126">
        <v>148</v>
      </c>
      <c r="F37" s="144">
        <f t="shared" si="0"/>
        <v>5</v>
      </c>
      <c r="G37" s="145">
        <f t="shared" si="3"/>
        <v>1.034965034965035</v>
      </c>
      <c r="H37" s="127">
        <v>170</v>
      </c>
      <c r="I37" s="128">
        <v>0</v>
      </c>
      <c r="J37" s="124">
        <f t="shared" si="1"/>
        <v>170</v>
      </c>
      <c r="K37" s="144">
        <f t="shared" si="2"/>
        <v>22</v>
      </c>
      <c r="L37" s="150">
        <f t="shared" si="4"/>
        <v>1.1486486486486487</v>
      </c>
    </row>
    <row r="38" spans="1:12" s="101" customFormat="1" ht="13.5">
      <c r="A38" s="514" t="s">
        <v>50</v>
      </c>
      <c r="B38" s="515"/>
      <c r="C38" s="516"/>
      <c r="D38" s="138">
        <v>141</v>
      </c>
      <c r="E38" s="130">
        <v>122</v>
      </c>
      <c r="F38" s="144">
        <f t="shared" si="0"/>
        <v>-19</v>
      </c>
      <c r="G38" s="145">
        <f t="shared" si="3"/>
        <v>0.8652482269503546</v>
      </c>
      <c r="H38" s="122">
        <v>145</v>
      </c>
      <c r="I38" s="123">
        <v>0</v>
      </c>
      <c r="J38" s="124">
        <f t="shared" si="1"/>
        <v>145</v>
      </c>
      <c r="K38" s="144">
        <f t="shared" si="2"/>
        <v>23</v>
      </c>
      <c r="L38" s="150">
        <f t="shared" si="4"/>
        <v>1.1885245901639345</v>
      </c>
    </row>
    <row r="39" spans="1:12" s="101" customFormat="1" ht="13.5">
      <c r="A39" s="514" t="s">
        <v>51</v>
      </c>
      <c r="B39" s="515"/>
      <c r="C39" s="516"/>
      <c r="D39" s="125">
        <v>15</v>
      </c>
      <c r="E39" s="126">
        <v>12</v>
      </c>
      <c r="F39" s="144">
        <f t="shared" si="0"/>
        <v>-3</v>
      </c>
      <c r="G39" s="145">
        <f t="shared" si="3"/>
        <v>0.8</v>
      </c>
      <c r="H39" s="127">
        <v>15</v>
      </c>
      <c r="I39" s="128">
        <v>0</v>
      </c>
      <c r="J39" s="124">
        <f t="shared" si="1"/>
        <v>15</v>
      </c>
      <c r="K39" s="144">
        <f t="shared" si="2"/>
        <v>3</v>
      </c>
      <c r="L39" s="150">
        <f t="shared" si="4"/>
        <v>1.25</v>
      </c>
    </row>
    <row r="40" spans="1:12" s="101" customFormat="1" ht="13.5">
      <c r="A40" s="514" t="s">
        <v>52</v>
      </c>
      <c r="B40" s="515"/>
      <c r="C40" s="516"/>
      <c r="D40" s="125"/>
      <c r="E40" s="126">
        <v>14</v>
      </c>
      <c r="F40" s="144">
        <f t="shared" si="0"/>
        <v>14</v>
      </c>
      <c r="G40" s="145"/>
      <c r="H40" s="127">
        <v>20</v>
      </c>
      <c r="I40" s="128">
        <v>0</v>
      </c>
      <c r="J40" s="124">
        <f t="shared" si="1"/>
        <v>20</v>
      </c>
      <c r="K40" s="144">
        <f t="shared" si="2"/>
        <v>6</v>
      </c>
      <c r="L40" s="150">
        <f t="shared" si="4"/>
        <v>1.4285714285714286</v>
      </c>
    </row>
    <row r="41" spans="1:14" s="101" customFormat="1" ht="13.5">
      <c r="A41" s="514" t="s">
        <v>53</v>
      </c>
      <c r="B41" s="515"/>
      <c r="C41" s="516"/>
      <c r="D41" s="125">
        <v>118</v>
      </c>
      <c r="E41" s="126">
        <v>67</v>
      </c>
      <c r="F41" s="144">
        <f t="shared" si="0"/>
        <v>-51</v>
      </c>
      <c r="G41" s="145">
        <f t="shared" si="3"/>
        <v>0.5677966101694916</v>
      </c>
      <c r="H41" s="127">
        <v>90</v>
      </c>
      <c r="I41" s="128">
        <v>0</v>
      </c>
      <c r="J41" s="124">
        <f t="shared" si="1"/>
        <v>90</v>
      </c>
      <c r="K41" s="144">
        <f t="shared" si="2"/>
        <v>23</v>
      </c>
      <c r="L41" s="150">
        <f t="shared" si="4"/>
        <v>1.3432835820895523</v>
      </c>
      <c r="N41" s="129"/>
    </row>
    <row r="42" spans="1:12" s="101" customFormat="1" ht="13.5">
      <c r="A42" s="514" t="s">
        <v>54</v>
      </c>
      <c r="B42" s="515"/>
      <c r="C42" s="516"/>
      <c r="D42" s="125">
        <v>436</v>
      </c>
      <c r="E42" s="126">
        <v>278</v>
      </c>
      <c r="F42" s="144">
        <f t="shared" si="0"/>
        <v>-158</v>
      </c>
      <c r="G42" s="145">
        <f t="shared" si="3"/>
        <v>0.6376146788990825</v>
      </c>
      <c r="H42" s="127">
        <v>300</v>
      </c>
      <c r="I42" s="128">
        <v>0</v>
      </c>
      <c r="J42" s="124">
        <f t="shared" si="1"/>
        <v>300</v>
      </c>
      <c r="K42" s="144">
        <f t="shared" si="2"/>
        <v>22</v>
      </c>
      <c r="L42" s="150">
        <f t="shared" si="4"/>
        <v>1.079136690647482</v>
      </c>
    </row>
    <row r="43" spans="1:14" s="101" customFormat="1" ht="13.5">
      <c r="A43" s="514" t="s">
        <v>166</v>
      </c>
      <c r="B43" s="515"/>
      <c r="C43" s="516"/>
      <c r="D43" s="125">
        <v>0</v>
      </c>
      <c r="E43" s="126">
        <v>0</v>
      </c>
      <c r="F43" s="144">
        <f t="shared" si="0"/>
        <v>0</v>
      </c>
      <c r="G43" s="145"/>
      <c r="H43" s="127">
        <v>0</v>
      </c>
      <c r="I43" s="128">
        <v>0</v>
      </c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6"/>
      <c r="D44" s="125">
        <v>0</v>
      </c>
      <c r="E44" s="126">
        <v>0</v>
      </c>
      <c r="F44" s="144">
        <f t="shared" si="0"/>
        <v>0</v>
      </c>
      <c r="G44" s="145"/>
      <c r="H44" s="127">
        <v>200</v>
      </c>
      <c r="I44" s="128">
        <v>0</v>
      </c>
      <c r="J44" s="124">
        <f t="shared" si="1"/>
        <v>200</v>
      </c>
      <c r="K44" s="144">
        <f t="shared" si="2"/>
        <v>200</v>
      </c>
      <c r="L44" s="150"/>
    </row>
    <row r="45" spans="1:12" s="101" customFormat="1" ht="13.5">
      <c r="A45" s="514" t="s">
        <v>55</v>
      </c>
      <c r="B45" s="515"/>
      <c r="C45" s="516"/>
      <c r="D45" s="125">
        <v>630</v>
      </c>
      <c r="E45" s="126">
        <v>383</v>
      </c>
      <c r="F45" s="144">
        <f t="shared" si="0"/>
        <v>-247</v>
      </c>
      <c r="G45" s="145">
        <f t="shared" si="3"/>
        <v>0.6079365079365079</v>
      </c>
      <c r="H45" s="127">
        <v>400</v>
      </c>
      <c r="I45" s="128">
        <v>0</v>
      </c>
      <c r="J45" s="124">
        <f t="shared" si="1"/>
        <v>400</v>
      </c>
      <c r="K45" s="144">
        <f t="shared" si="2"/>
        <v>17</v>
      </c>
      <c r="L45" s="150">
        <f t="shared" si="4"/>
        <v>1.0443864229765014</v>
      </c>
    </row>
    <row r="46" spans="1:14" s="101" customFormat="1" ht="13.5">
      <c r="A46" s="526" t="s">
        <v>56</v>
      </c>
      <c r="B46" s="527"/>
      <c r="C46" s="528"/>
      <c r="D46" s="125">
        <v>2158</v>
      </c>
      <c r="E46" s="126">
        <f>SUM(E47:E50)</f>
        <v>2430</v>
      </c>
      <c r="F46" s="144">
        <f t="shared" si="0"/>
        <v>272</v>
      </c>
      <c r="G46" s="145">
        <f t="shared" si="3"/>
        <v>1.1260426320667285</v>
      </c>
      <c r="H46" s="127">
        <f>SUM(H47:H50)</f>
        <v>2540</v>
      </c>
      <c r="I46" s="127">
        <v>0</v>
      </c>
      <c r="J46" s="124">
        <f t="shared" si="1"/>
        <v>2540</v>
      </c>
      <c r="K46" s="144">
        <f t="shared" si="2"/>
        <v>110</v>
      </c>
      <c r="L46" s="150">
        <f t="shared" si="4"/>
        <v>1.045267489711934</v>
      </c>
      <c r="N46" s="129"/>
    </row>
    <row r="47" spans="1:12" s="101" customFormat="1" ht="13.5">
      <c r="A47" s="514" t="s">
        <v>57</v>
      </c>
      <c r="B47" s="515"/>
      <c r="C47" s="516"/>
      <c r="D47" s="125">
        <v>817</v>
      </c>
      <c r="E47" s="126">
        <v>828</v>
      </c>
      <c r="F47" s="144">
        <f t="shared" si="0"/>
        <v>11</v>
      </c>
      <c r="G47" s="145">
        <f t="shared" si="3"/>
        <v>1.0134638922888617</v>
      </c>
      <c r="H47" s="127">
        <v>860</v>
      </c>
      <c r="I47" s="128">
        <v>0</v>
      </c>
      <c r="J47" s="124">
        <f t="shared" si="1"/>
        <v>860</v>
      </c>
      <c r="K47" s="144">
        <f t="shared" si="2"/>
        <v>32</v>
      </c>
      <c r="L47" s="150">
        <f t="shared" si="4"/>
        <v>1.038647342995169</v>
      </c>
    </row>
    <row r="48" spans="1:12" s="101" customFormat="1" ht="13.5">
      <c r="A48" s="514" t="s">
        <v>58</v>
      </c>
      <c r="B48" s="515"/>
      <c r="C48" s="516"/>
      <c r="D48" s="125">
        <v>845</v>
      </c>
      <c r="E48" s="126">
        <v>986</v>
      </c>
      <c r="F48" s="144">
        <f t="shared" si="0"/>
        <v>141</v>
      </c>
      <c r="G48" s="145">
        <f t="shared" si="3"/>
        <v>1.1668639053254437</v>
      </c>
      <c r="H48" s="127">
        <v>1020</v>
      </c>
      <c r="I48" s="128">
        <v>0</v>
      </c>
      <c r="J48" s="124">
        <f t="shared" si="1"/>
        <v>1020</v>
      </c>
      <c r="K48" s="144">
        <f t="shared" si="2"/>
        <v>34</v>
      </c>
      <c r="L48" s="150">
        <f t="shared" si="4"/>
        <v>1.0344827586206897</v>
      </c>
    </row>
    <row r="49" spans="1:12" s="101" customFormat="1" ht="13.5">
      <c r="A49" s="514" t="s">
        <v>59</v>
      </c>
      <c r="B49" s="515"/>
      <c r="C49" s="516"/>
      <c r="D49" s="125">
        <v>496</v>
      </c>
      <c r="E49" s="126">
        <v>616</v>
      </c>
      <c r="F49" s="144">
        <f t="shared" si="0"/>
        <v>120</v>
      </c>
      <c r="G49" s="145">
        <f t="shared" si="3"/>
        <v>1.2419354838709677</v>
      </c>
      <c r="H49" s="127">
        <v>660</v>
      </c>
      <c r="I49" s="128">
        <v>0</v>
      </c>
      <c r="J49" s="124">
        <f t="shared" si="1"/>
        <v>660</v>
      </c>
      <c r="K49" s="144">
        <f t="shared" si="2"/>
        <v>44</v>
      </c>
      <c r="L49" s="150">
        <f t="shared" si="4"/>
        <v>1.0714285714285714</v>
      </c>
    </row>
    <row r="50" spans="1:12" s="101" customFormat="1" ht="13.5">
      <c r="A50" s="514" t="s">
        <v>168</v>
      </c>
      <c r="B50" s="515"/>
      <c r="C50" s="516"/>
      <c r="D50" s="125">
        <v>0</v>
      </c>
      <c r="E50" s="126">
        <v>0</v>
      </c>
      <c r="F50" s="144">
        <f t="shared" si="0"/>
        <v>0</v>
      </c>
      <c r="G50" s="145"/>
      <c r="H50" s="127">
        <v>0</v>
      </c>
      <c r="I50" s="128">
        <v>0</v>
      </c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8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>
        <v>0</v>
      </c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8"/>
      <c r="D52" s="125">
        <v>0</v>
      </c>
      <c r="E52" s="126">
        <v>0</v>
      </c>
      <c r="F52" s="144">
        <f t="shared" si="0"/>
        <v>0</v>
      </c>
      <c r="G52" s="145"/>
      <c r="H52" s="127">
        <v>0</v>
      </c>
      <c r="I52" s="128">
        <v>0</v>
      </c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8"/>
      <c r="D53" s="125">
        <v>483</v>
      </c>
      <c r="E53" s="126">
        <f>SUM(E54:E56)</f>
        <v>375</v>
      </c>
      <c r="F53" s="144">
        <f t="shared" si="0"/>
        <v>-108</v>
      </c>
      <c r="G53" s="145">
        <f t="shared" si="3"/>
        <v>0.7763975155279503</v>
      </c>
      <c r="H53" s="127">
        <f>SUM(H54:H56)</f>
        <v>720</v>
      </c>
      <c r="I53" s="128">
        <v>0</v>
      </c>
      <c r="J53" s="124">
        <f t="shared" si="1"/>
        <v>720</v>
      </c>
      <c r="K53" s="144">
        <f t="shared" si="2"/>
        <v>345</v>
      </c>
      <c r="L53" s="150">
        <f t="shared" si="4"/>
        <v>1.92</v>
      </c>
    </row>
    <row r="54" spans="1:12" s="101" customFormat="1" ht="13.5">
      <c r="A54" s="529" t="s">
        <v>63</v>
      </c>
      <c r="B54" s="530"/>
      <c r="C54" s="531"/>
      <c r="D54" s="125">
        <v>353</v>
      </c>
      <c r="E54" s="126">
        <v>262</v>
      </c>
      <c r="F54" s="144">
        <f t="shared" si="0"/>
        <v>-91</v>
      </c>
      <c r="G54" s="145">
        <f t="shared" si="3"/>
        <v>0.7422096317280453</v>
      </c>
      <c r="H54" s="127">
        <v>430</v>
      </c>
      <c r="I54" s="128">
        <v>0</v>
      </c>
      <c r="J54" s="124">
        <f t="shared" si="1"/>
        <v>430</v>
      </c>
      <c r="K54" s="144">
        <f t="shared" si="2"/>
        <v>168</v>
      </c>
      <c r="L54" s="150">
        <f t="shared" si="4"/>
        <v>1.6412213740458015</v>
      </c>
    </row>
    <row r="55" spans="1:12" s="101" customFormat="1" ht="13.5">
      <c r="A55" s="529" t="s">
        <v>169</v>
      </c>
      <c r="B55" s="530"/>
      <c r="C55" s="531"/>
      <c r="D55" s="125">
        <v>130</v>
      </c>
      <c r="E55" s="126">
        <v>105</v>
      </c>
      <c r="F55" s="144">
        <f t="shared" si="0"/>
        <v>-25</v>
      </c>
      <c r="G55" s="145">
        <f t="shared" si="3"/>
        <v>0.8076923076923077</v>
      </c>
      <c r="H55" s="127">
        <v>270</v>
      </c>
      <c r="I55" s="128">
        <v>0</v>
      </c>
      <c r="J55" s="124">
        <f t="shared" si="1"/>
        <v>270</v>
      </c>
      <c r="K55" s="144">
        <f t="shared" si="2"/>
        <v>165</v>
      </c>
      <c r="L55" s="150">
        <f t="shared" si="4"/>
        <v>2.5714285714285716</v>
      </c>
    </row>
    <row r="56" spans="1:12" s="101" customFormat="1" ht="13.5">
      <c r="A56" s="529" t="s">
        <v>133</v>
      </c>
      <c r="B56" s="530"/>
      <c r="C56" s="531"/>
      <c r="D56" s="125">
        <v>0</v>
      </c>
      <c r="E56" s="126">
        <v>8</v>
      </c>
      <c r="F56" s="144">
        <f t="shared" si="0"/>
        <v>8</v>
      </c>
      <c r="G56" s="145"/>
      <c r="H56" s="127">
        <v>20</v>
      </c>
      <c r="I56" s="128">
        <v>0</v>
      </c>
      <c r="J56" s="124">
        <f t="shared" si="1"/>
        <v>20</v>
      </c>
      <c r="K56" s="144">
        <f t="shared" si="2"/>
        <v>12</v>
      </c>
      <c r="L56" s="150">
        <f t="shared" si="4"/>
        <v>2.5</v>
      </c>
    </row>
    <row r="57" spans="1:12" s="101" customFormat="1" ht="13.5">
      <c r="A57" s="526" t="s">
        <v>64</v>
      </c>
      <c r="B57" s="527"/>
      <c r="C57" s="528"/>
      <c r="D57" s="125">
        <v>113</v>
      </c>
      <c r="E57" s="126">
        <v>166</v>
      </c>
      <c r="F57" s="144">
        <f t="shared" si="0"/>
        <v>53</v>
      </c>
      <c r="G57" s="145">
        <f t="shared" si="3"/>
        <v>1.4690265486725664</v>
      </c>
      <c r="H57" s="127">
        <v>170</v>
      </c>
      <c r="I57" s="128">
        <v>0</v>
      </c>
      <c r="J57" s="124">
        <f t="shared" si="1"/>
        <v>170</v>
      </c>
      <c r="K57" s="144">
        <f t="shared" si="2"/>
        <v>4</v>
      </c>
      <c r="L57" s="150">
        <f t="shared" si="4"/>
        <v>1.0240963855421688</v>
      </c>
    </row>
    <row r="58" spans="1:12" s="101" customFormat="1" ht="13.5">
      <c r="A58" s="526" t="s">
        <v>65</v>
      </c>
      <c r="B58" s="527"/>
      <c r="C58" s="528"/>
      <c r="D58" s="125">
        <v>16</v>
      </c>
      <c r="E58" s="126">
        <v>12</v>
      </c>
      <c r="F58" s="144">
        <f t="shared" si="0"/>
        <v>-4</v>
      </c>
      <c r="G58" s="145">
        <f t="shared" si="3"/>
        <v>0.75</v>
      </c>
      <c r="H58" s="127">
        <v>15</v>
      </c>
      <c r="I58" s="128">
        <v>0</v>
      </c>
      <c r="J58" s="124">
        <f t="shared" si="1"/>
        <v>15</v>
      </c>
      <c r="K58" s="144">
        <f t="shared" si="2"/>
        <v>3</v>
      </c>
      <c r="L58" s="150">
        <f t="shared" si="4"/>
        <v>1.25</v>
      </c>
    </row>
    <row r="59" spans="1:14" s="101" customFormat="1" ht="13.5">
      <c r="A59" s="526" t="s">
        <v>66</v>
      </c>
      <c r="B59" s="527"/>
      <c r="C59" s="528"/>
      <c r="D59" s="125">
        <f>SUM(D60:D68)</f>
        <v>1923</v>
      </c>
      <c r="E59" s="126">
        <f>SUM(E60:E68)</f>
        <v>1832</v>
      </c>
      <c r="F59" s="144">
        <f t="shared" si="0"/>
        <v>-91</v>
      </c>
      <c r="G59" s="145">
        <f t="shared" si="3"/>
        <v>0.952678107124285</v>
      </c>
      <c r="H59" s="127">
        <f>SUM(H60:H68)</f>
        <v>2147</v>
      </c>
      <c r="I59" s="128">
        <v>0</v>
      </c>
      <c r="J59" s="124">
        <f t="shared" si="1"/>
        <v>2147</v>
      </c>
      <c r="K59" s="144">
        <f t="shared" si="2"/>
        <v>315</v>
      </c>
      <c r="L59" s="150">
        <f t="shared" si="4"/>
        <v>1.171943231441048</v>
      </c>
      <c r="N59" s="129"/>
    </row>
    <row r="60" spans="1:12" s="101" customFormat="1" ht="13.5">
      <c r="A60" s="514" t="s">
        <v>67</v>
      </c>
      <c r="B60" s="515"/>
      <c r="C60" s="516"/>
      <c r="D60" s="125">
        <v>103</v>
      </c>
      <c r="E60" s="126">
        <v>140</v>
      </c>
      <c r="F60" s="144">
        <f t="shared" si="0"/>
        <v>37</v>
      </c>
      <c r="G60" s="145">
        <f t="shared" si="3"/>
        <v>1.3592233009708738</v>
      </c>
      <c r="H60" s="127">
        <v>157</v>
      </c>
      <c r="I60" s="128">
        <v>0</v>
      </c>
      <c r="J60" s="124">
        <f t="shared" si="1"/>
        <v>157</v>
      </c>
      <c r="K60" s="144">
        <f t="shared" si="2"/>
        <v>17</v>
      </c>
      <c r="L60" s="150">
        <f t="shared" si="4"/>
        <v>1.1214285714285714</v>
      </c>
    </row>
    <row r="61" spans="1:12" s="101" customFormat="1" ht="13.5">
      <c r="A61" s="514" t="s">
        <v>68</v>
      </c>
      <c r="B61" s="515"/>
      <c r="C61" s="516"/>
      <c r="D61" s="125">
        <v>180</v>
      </c>
      <c r="E61" s="126">
        <v>325</v>
      </c>
      <c r="F61" s="144">
        <f t="shared" si="0"/>
        <v>145</v>
      </c>
      <c r="G61" s="145">
        <f t="shared" si="3"/>
        <v>1.8055555555555556</v>
      </c>
      <c r="H61" s="127">
        <v>540</v>
      </c>
      <c r="I61" s="128">
        <v>0</v>
      </c>
      <c r="J61" s="124">
        <f t="shared" si="1"/>
        <v>540</v>
      </c>
      <c r="K61" s="144">
        <f t="shared" si="2"/>
        <v>215</v>
      </c>
      <c r="L61" s="150">
        <f t="shared" si="4"/>
        <v>1.6615384615384616</v>
      </c>
    </row>
    <row r="62" spans="1:12" s="101" customFormat="1" ht="13.5">
      <c r="A62" s="514" t="s">
        <v>69</v>
      </c>
      <c r="B62" s="515"/>
      <c r="C62" s="516"/>
      <c r="D62" s="125">
        <v>0</v>
      </c>
      <c r="E62" s="126">
        <v>0</v>
      </c>
      <c r="F62" s="144">
        <f t="shared" si="0"/>
        <v>0</v>
      </c>
      <c r="G62" s="145"/>
      <c r="H62" s="127">
        <v>0</v>
      </c>
      <c r="I62" s="128">
        <v>0</v>
      </c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6"/>
      <c r="D63" s="125">
        <v>0</v>
      </c>
      <c r="E63" s="126">
        <v>0</v>
      </c>
      <c r="F63" s="144">
        <f t="shared" si="0"/>
        <v>0</v>
      </c>
      <c r="G63" s="145"/>
      <c r="H63" s="127">
        <v>0</v>
      </c>
      <c r="I63" s="128">
        <v>0</v>
      </c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514" t="s">
        <v>71</v>
      </c>
      <c r="B64" s="515"/>
      <c r="C64" s="516"/>
      <c r="D64" s="125">
        <v>0</v>
      </c>
      <c r="E64" s="126">
        <v>0</v>
      </c>
      <c r="F64" s="144">
        <f t="shared" si="0"/>
        <v>0</v>
      </c>
      <c r="G64" s="145"/>
      <c r="H64" s="127">
        <v>0</v>
      </c>
      <c r="I64" s="128">
        <v>0</v>
      </c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6"/>
      <c r="D65" s="125">
        <v>380</v>
      </c>
      <c r="E65" s="126">
        <v>384</v>
      </c>
      <c r="F65" s="144">
        <f t="shared" si="0"/>
        <v>4</v>
      </c>
      <c r="G65" s="145">
        <f t="shared" si="3"/>
        <v>1.0105263157894737</v>
      </c>
      <c r="H65" s="127">
        <v>400</v>
      </c>
      <c r="I65" s="128">
        <v>0</v>
      </c>
      <c r="J65" s="124">
        <f t="shared" si="1"/>
        <v>400</v>
      </c>
      <c r="K65" s="144">
        <f t="shared" si="2"/>
        <v>16</v>
      </c>
      <c r="L65" s="150">
        <f t="shared" si="4"/>
        <v>1.0416666666666667</v>
      </c>
    </row>
    <row r="66" spans="1:12" s="101" customFormat="1" ht="13.5">
      <c r="A66" s="514" t="s">
        <v>72</v>
      </c>
      <c r="B66" s="515"/>
      <c r="C66" s="516"/>
      <c r="D66" s="125">
        <v>0</v>
      </c>
      <c r="E66" s="126">
        <v>182</v>
      </c>
      <c r="F66" s="144">
        <f t="shared" si="0"/>
        <v>182</v>
      </c>
      <c r="G66" s="145"/>
      <c r="H66" s="127">
        <v>200</v>
      </c>
      <c r="I66" s="128">
        <v>0</v>
      </c>
      <c r="J66" s="124">
        <f t="shared" si="1"/>
        <v>200</v>
      </c>
      <c r="K66" s="144">
        <f t="shared" si="2"/>
        <v>18</v>
      </c>
      <c r="L66" s="150">
        <f t="shared" si="4"/>
        <v>1.098901098901099</v>
      </c>
    </row>
    <row r="67" spans="1:12" s="101" customFormat="1" ht="13.5">
      <c r="A67" s="514" t="s">
        <v>73</v>
      </c>
      <c r="B67" s="515"/>
      <c r="C67" s="516"/>
      <c r="D67" s="125">
        <v>1260</v>
      </c>
      <c r="E67" s="126">
        <v>801</v>
      </c>
      <c r="F67" s="144">
        <f t="shared" si="0"/>
        <v>-459</v>
      </c>
      <c r="G67" s="145">
        <f>E67/D67</f>
        <v>0.6357142857142857</v>
      </c>
      <c r="H67" s="127">
        <v>840</v>
      </c>
      <c r="I67" s="128">
        <v>0</v>
      </c>
      <c r="J67" s="124">
        <f t="shared" si="1"/>
        <v>840</v>
      </c>
      <c r="K67" s="144">
        <f t="shared" si="2"/>
        <v>39</v>
      </c>
      <c r="L67" s="150">
        <f t="shared" si="4"/>
        <v>1.048689138576779</v>
      </c>
    </row>
    <row r="68" spans="1:12" s="101" customFormat="1" ht="13.5">
      <c r="A68" s="514" t="s">
        <v>171</v>
      </c>
      <c r="B68" s="515"/>
      <c r="C68" s="516"/>
      <c r="D68" s="125">
        <v>0</v>
      </c>
      <c r="E68" s="126">
        <v>0</v>
      </c>
      <c r="F68" s="144">
        <f t="shared" si="0"/>
        <v>0</v>
      </c>
      <c r="G68" s="145"/>
      <c r="H68" s="127">
        <v>10</v>
      </c>
      <c r="I68" s="128">
        <v>0</v>
      </c>
      <c r="J68" s="124">
        <f t="shared" si="1"/>
        <v>10</v>
      </c>
      <c r="K68" s="144">
        <f t="shared" si="2"/>
        <v>10</v>
      </c>
      <c r="L68" s="150"/>
    </row>
    <row r="69" spans="1:14" s="101" customFormat="1" ht="13.5">
      <c r="A69" s="526" t="s">
        <v>74</v>
      </c>
      <c r="B69" s="527"/>
      <c r="C69" s="528"/>
      <c r="D69" s="125">
        <f>D70+D74</f>
        <v>30948</v>
      </c>
      <c r="E69" s="126">
        <f>E70+E74</f>
        <v>31414</v>
      </c>
      <c r="F69" s="144">
        <f t="shared" si="0"/>
        <v>466</v>
      </c>
      <c r="G69" s="145">
        <f t="shared" si="3"/>
        <v>1.0150575158330102</v>
      </c>
      <c r="H69" s="127">
        <f>H70+H74</f>
        <v>31935</v>
      </c>
      <c r="I69" s="128">
        <v>0</v>
      </c>
      <c r="J69" s="124">
        <f t="shared" si="1"/>
        <v>31935</v>
      </c>
      <c r="K69" s="144">
        <f t="shared" si="2"/>
        <v>521</v>
      </c>
      <c r="L69" s="150">
        <f t="shared" si="4"/>
        <v>1.0165849621188006</v>
      </c>
      <c r="N69" s="129"/>
    </row>
    <row r="70" spans="1:12" s="101" customFormat="1" ht="13.5">
      <c r="A70" s="514" t="s">
        <v>75</v>
      </c>
      <c r="B70" s="515"/>
      <c r="C70" s="516"/>
      <c r="D70" s="125">
        <v>22776</v>
      </c>
      <c r="E70" s="126">
        <f>E73+E71</f>
        <v>23118</v>
      </c>
      <c r="F70" s="144">
        <f t="shared" si="0"/>
        <v>342</v>
      </c>
      <c r="G70" s="145">
        <f t="shared" si="3"/>
        <v>1.0150158061116965</v>
      </c>
      <c r="H70" s="127">
        <f>H71+H73</f>
        <v>23418</v>
      </c>
      <c r="I70" s="128">
        <v>0</v>
      </c>
      <c r="J70" s="124">
        <f t="shared" si="1"/>
        <v>23418</v>
      </c>
      <c r="K70" s="144">
        <f t="shared" si="2"/>
        <v>300</v>
      </c>
      <c r="L70" s="150">
        <f t="shared" si="4"/>
        <v>1.0129769011160135</v>
      </c>
    </row>
    <row r="71" spans="1:12" s="101" customFormat="1" ht="13.5">
      <c r="A71" s="514" t="s">
        <v>76</v>
      </c>
      <c r="B71" s="515"/>
      <c r="C71" s="516"/>
      <c r="D71" s="125">
        <v>22562</v>
      </c>
      <c r="E71" s="126">
        <v>22922</v>
      </c>
      <c r="F71" s="144">
        <f t="shared" si="0"/>
        <v>360</v>
      </c>
      <c r="G71" s="145">
        <f t="shared" si="3"/>
        <v>1.015956032266643</v>
      </c>
      <c r="H71" s="127">
        <v>23218</v>
      </c>
      <c r="I71" s="128">
        <v>0</v>
      </c>
      <c r="J71" s="124">
        <f t="shared" si="1"/>
        <v>23218</v>
      </c>
      <c r="K71" s="144">
        <f t="shared" si="2"/>
        <v>296</v>
      </c>
      <c r="L71" s="150">
        <f t="shared" si="4"/>
        <v>1.0129133583456942</v>
      </c>
    </row>
    <row r="72" spans="1:12" s="101" customFormat="1" ht="13.5">
      <c r="A72" s="514" t="s">
        <v>172</v>
      </c>
      <c r="B72" s="515"/>
      <c r="C72" s="516"/>
      <c r="D72" s="125">
        <v>22260</v>
      </c>
      <c r="E72" s="126">
        <v>22687</v>
      </c>
      <c r="F72" s="144">
        <f t="shared" si="0"/>
        <v>427</v>
      </c>
      <c r="G72" s="145">
        <f t="shared" si="3"/>
        <v>1.0191823899371069</v>
      </c>
      <c r="H72" s="127">
        <v>23088</v>
      </c>
      <c r="I72" s="128">
        <v>0</v>
      </c>
      <c r="J72" s="124">
        <f t="shared" si="1"/>
        <v>23088</v>
      </c>
      <c r="K72" s="144">
        <f t="shared" si="2"/>
        <v>401</v>
      </c>
      <c r="L72" s="150">
        <f t="shared" si="4"/>
        <v>1.017675320668224</v>
      </c>
    </row>
    <row r="73" spans="1:14" s="101" customFormat="1" ht="13.5">
      <c r="A73" s="514" t="s">
        <v>77</v>
      </c>
      <c r="B73" s="515"/>
      <c r="C73" s="516"/>
      <c r="D73" s="125">
        <v>214</v>
      </c>
      <c r="E73" s="126">
        <v>196</v>
      </c>
      <c r="F73" s="144">
        <f t="shared" si="0"/>
        <v>-18</v>
      </c>
      <c r="G73" s="145">
        <f t="shared" si="3"/>
        <v>0.9158878504672897</v>
      </c>
      <c r="H73" s="127">
        <v>200</v>
      </c>
      <c r="I73" s="128">
        <v>0</v>
      </c>
      <c r="J73" s="124">
        <f t="shared" si="1"/>
        <v>200</v>
      </c>
      <c r="K73" s="144">
        <f t="shared" si="2"/>
        <v>4</v>
      </c>
      <c r="L73" s="150">
        <f t="shared" si="4"/>
        <v>1.0204081632653061</v>
      </c>
      <c r="N73" s="129"/>
    </row>
    <row r="74" spans="1:12" s="101" customFormat="1" ht="13.5">
      <c r="A74" s="514" t="s">
        <v>78</v>
      </c>
      <c r="B74" s="515"/>
      <c r="C74" s="516"/>
      <c r="D74" s="125">
        <v>8172</v>
      </c>
      <c r="E74" s="126">
        <v>8296</v>
      </c>
      <c r="F74" s="144">
        <f t="shared" si="0"/>
        <v>124</v>
      </c>
      <c r="G74" s="145">
        <f t="shared" si="3"/>
        <v>1.0151737640724425</v>
      </c>
      <c r="H74" s="127">
        <v>8517</v>
      </c>
      <c r="I74" s="128">
        <v>0</v>
      </c>
      <c r="J74" s="124">
        <f t="shared" si="1"/>
        <v>8517</v>
      </c>
      <c r="K74" s="144">
        <f t="shared" si="2"/>
        <v>221</v>
      </c>
      <c r="L74" s="150">
        <f t="shared" si="4"/>
        <v>1.026639344262295</v>
      </c>
    </row>
    <row r="75" spans="1:15" s="101" customFormat="1" ht="13.5">
      <c r="A75" s="526" t="s">
        <v>79</v>
      </c>
      <c r="B75" s="527"/>
      <c r="C75" s="528"/>
      <c r="D75" s="125">
        <v>0</v>
      </c>
      <c r="E75" s="126">
        <v>7</v>
      </c>
      <c r="F75" s="144">
        <f t="shared" si="0"/>
        <v>7</v>
      </c>
      <c r="G75" s="145"/>
      <c r="H75" s="127">
        <v>8</v>
      </c>
      <c r="I75" s="128">
        <v>0</v>
      </c>
      <c r="J75" s="124">
        <f t="shared" si="1"/>
        <v>8</v>
      </c>
      <c r="K75" s="144">
        <f t="shared" si="2"/>
        <v>1</v>
      </c>
      <c r="L75" s="150">
        <f t="shared" si="4"/>
        <v>1.1428571428571428</v>
      </c>
      <c r="N75" s="129"/>
      <c r="O75" s="139"/>
    </row>
    <row r="76" spans="1:12" s="101" customFormat="1" ht="13.5">
      <c r="A76" s="514" t="s">
        <v>80</v>
      </c>
      <c r="B76" s="515"/>
      <c r="C76" s="516"/>
      <c r="D76" s="125">
        <v>0</v>
      </c>
      <c r="E76" s="126">
        <v>0</v>
      </c>
      <c r="F76" s="144">
        <f aca="true" t="shared" si="5" ref="F76:F90">E76-D76</f>
        <v>0</v>
      </c>
      <c r="G76" s="145"/>
      <c r="H76" s="127">
        <v>0</v>
      </c>
      <c r="I76" s="128">
        <v>0</v>
      </c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8"/>
      <c r="D77" s="125">
        <v>746</v>
      </c>
      <c r="E77" s="126">
        <v>479</v>
      </c>
      <c r="F77" s="144">
        <f t="shared" si="5"/>
        <v>-267</v>
      </c>
      <c r="G77" s="145">
        <f>E77/D77</f>
        <v>0.6420911528150134</v>
      </c>
      <c r="H77" s="127">
        <v>490</v>
      </c>
      <c r="I77" s="128">
        <v>0</v>
      </c>
      <c r="J77" s="124">
        <f t="shared" si="6"/>
        <v>490</v>
      </c>
      <c r="K77" s="144">
        <f t="shared" si="7"/>
        <v>11</v>
      </c>
      <c r="L77" s="150">
        <f>J77/E77</f>
        <v>1.022964509394572</v>
      </c>
    </row>
    <row r="78" spans="1:12" s="101" customFormat="1" ht="13.5">
      <c r="A78" s="514" t="s">
        <v>82</v>
      </c>
      <c r="B78" s="515"/>
      <c r="C78" s="516"/>
      <c r="D78" s="138">
        <v>0</v>
      </c>
      <c r="E78" s="130">
        <v>0</v>
      </c>
      <c r="F78" s="144">
        <f t="shared" si="5"/>
        <v>0</v>
      </c>
      <c r="G78" s="145"/>
      <c r="H78" s="122">
        <v>0</v>
      </c>
      <c r="I78" s="123">
        <v>0</v>
      </c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6"/>
      <c r="D79" s="125">
        <v>0</v>
      </c>
      <c r="E79" s="126">
        <v>0</v>
      </c>
      <c r="F79" s="144">
        <f t="shared" si="5"/>
        <v>0</v>
      </c>
      <c r="G79" s="145"/>
      <c r="H79" s="127">
        <v>0</v>
      </c>
      <c r="I79" s="128">
        <v>0</v>
      </c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8"/>
      <c r="D80" s="125">
        <f>SUM(D81:D84)</f>
        <v>1690</v>
      </c>
      <c r="E80" s="126">
        <f>SUM(E81:E84)</f>
        <v>2124</v>
      </c>
      <c r="F80" s="144">
        <f t="shared" si="5"/>
        <v>434</v>
      </c>
      <c r="G80" s="145">
        <f>E80/D80</f>
        <v>1.2568047337278105</v>
      </c>
      <c r="H80" s="127">
        <f>SUM(H81:H84)</f>
        <v>2272</v>
      </c>
      <c r="I80" s="128">
        <f>SUM(I81:I84)</f>
        <v>0</v>
      </c>
      <c r="J80" s="124">
        <f t="shared" si="6"/>
        <v>2272</v>
      </c>
      <c r="K80" s="144">
        <f t="shared" si="7"/>
        <v>148</v>
      </c>
      <c r="L80" s="150">
        <f>J80/E80</f>
        <v>1.0696798493408664</v>
      </c>
    </row>
    <row r="81" spans="1:12" s="101" customFormat="1" ht="13.5">
      <c r="A81" s="514" t="s">
        <v>85</v>
      </c>
      <c r="B81" s="515"/>
      <c r="C81" s="516"/>
      <c r="D81" s="125">
        <v>1689</v>
      </c>
      <c r="E81" s="126">
        <v>1692</v>
      </c>
      <c r="F81" s="144">
        <f t="shared" si="5"/>
        <v>3</v>
      </c>
      <c r="G81" s="145">
        <f>E81/D81</f>
        <v>1.0017761989342806</v>
      </c>
      <c r="H81" s="366">
        <v>1822</v>
      </c>
      <c r="I81" s="128">
        <v>0</v>
      </c>
      <c r="J81" s="124">
        <f t="shared" si="6"/>
        <v>1822</v>
      </c>
      <c r="K81" s="144">
        <f t="shared" si="7"/>
        <v>130</v>
      </c>
      <c r="L81" s="150">
        <f>J81/E81</f>
        <v>1.0768321513002364</v>
      </c>
    </row>
    <row r="82" spans="1:12" s="101" customFormat="1" ht="13.5">
      <c r="A82" s="514" t="s">
        <v>86</v>
      </c>
      <c r="B82" s="515"/>
      <c r="C82" s="516"/>
      <c r="D82" s="125">
        <v>0</v>
      </c>
      <c r="E82" s="126">
        <v>0</v>
      </c>
      <c r="F82" s="144">
        <f t="shared" si="5"/>
        <v>0</v>
      </c>
      <c r="G82" s="145"/>
      <c r="H82" s="127">
        <v>0</v>
      </c>
      <c r="I82" s="128">
        <v>0</v>
      </c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514" t="s">
        <v>173</v>
      </c>
      <c r="B83" s="515"/>
      <c r="C83" s="516"/>
      <c r="D83" s="125">
        <v>1</v>
      </c>
      <c r="E83" s="126">
        <v>0</v>
      </c>
      <c r="F83" s="144">
        <f t="shared" si="5"/>
        <v>-1</v>
      </c>
      <c r="G83" s="145">
        <f>E83/D83</f>
        <v>0</v>
      </c>
      <c r="H83" s="127">
        <v>0</v>
      </c>
      <c r="I83" s="128">
        <v>0</v>
      </c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6"/>
      <c r="D84" s="125">
        <v>0</v>
      </c>
      <c r="E84" s="126">
        <v>432</v>
      </c>
      <c r="F84" s="144">
        <f t="shared" si="5"/>
        <v>432</v>
      </c>
      <c r="G84" s="145"/>
      <c r="H84" s="127">
        <v>450</v>
      </c>
      <c r="I84" s="128">
        <v>0</v>
      </c>
      <c r="J84" s="124">
        <f t="shared" si="6"/>
        <v>450</v>
      </c>
      <c r="K84" s="144">
        <f t="shared" si="7"/>
        <v>18</v>
      </c>
      <c r="L84" s="150">
        <f>J84/E84</f>
        <v>1.0416666666666667</v>
      </c>
    </row>
    <row r="85" spans="1:12" s="101" customFormat="1" ht="13.5">
      <c r="A85" s="514" t="s">
        <v>174</v>
      </c>
      <c r="B85" s="515"/>
      <c r="C85" s="516"/>
      <c r="D85" s="125">
        <v>0</v>
      </c>
      <c r="E85" s="126">
        <v>254</v>
      </c>
      <c r="F85" s="144">
        <f t="shared" si="5"/>
        <v>254</v>
      </c>
      <c r="G85" s="145"/>
      <c r="H85" s="127">
        <v>450</v>
      </c>
      <c r="I85" s="128">
        <v>0</v>
      </c>
      <c r="J85" s="124">
        <f t="shared" si="6"/>
        <v>450</v>
      </c>
      <c r="K85" s="144">
        <f t="shared" si="7"/>
        <v>196</v>
      </c>
      <c r="L85" s="150">
        <f>J85/E85</f>
        <v>1.7716535433070866</v>
      </c>
    </row>
    <row r="86" spans="1:14" s="101" customFormat="1" ht="13.5">
      <c r="A86" s="514" t="s">
        <v>175</v>
      </c>
      <c r="B86" s="515"/>
      <c r="C86" s="516"/>
      <c r="D86" s="125">
        <v>0</v>
      </c>
      <c r="E86" s="126">
        <v>0</v>
      </c>
      <c r="F86" s="144">
        <f t="shared" si="5"/>
        <v>0</v>
      </c>
      <c r="G86" s="145"/>
      <c r="H86" s="127">
        <v>0</v>
      </c>
      <c r="I86" s="128">
        <v>0</v>
      </c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526" t="s">
        <v>88</v>
      </c>
      <c r="B87" s="527"/>
      <c r="C87" s="528"/>
      <c r="D87" s="125">
        <v>28</v>
      </c>
      <c r="E87" s="126">
        <v>0</v>
      </c>
      <c r="F87" s="144">
        <f t="shared" si="5"/>
        <v>-28</v>
      </c>
      <c r="G87" s="145">
        <f>E87/D87</f>
        <v>0</v>
      </c>
      <c r="H87" s="127">
        <v>0</v>
      </c>
      <c r="I87" s="128">
        <v>0</v>
      </c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6"/>
      <c r="D88" s="125">
        <v>28</v>
      </c>
      <c r="E88" s="126">
        <v>0</v>
      </c>
      <c r="F88" s="144">
        <f t="shared" si="5"/>
        <v>-28</v>
      </c>
      <c r="G88" s="145">
        <f>E88/D88</f>
        <v>0</v>
      </c>
      <c r="H88" s="127">
        <v>0</v>
      </c>
      <c r="I88" s="128">
        <v>0</v>
      </c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8"/>
      <c r="D89" s="125">
        <v>0</v>
      </c>
      <c r="E89" s="126">
        <v>0</v>
      </c>
      <c r="F89" s="144">
        <f t="shared" si="5"/>
        <v>0</v>
      </c>
      <c r="G89" s="145"/>
      <c r="H89" s="127">
        <v>0</v>
      </c>
      <c r="I89" s="128">
        <v>0</v>
      </c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32"/>
      <c r="D90" s="102">
        <v>0</v>
      </c>
      <c r="E90" s="140">
        <v>0</v>
      </c>
      <c r="F90" s="144">
        <f t="shared" si="5"/>
        <v>0</v>
      </c>
      <c r="G90" s="145"/>
      <c r="H90" s="127">
        <v>0</v>
      </c>
      <c r="I90" s="128">
        <v>0</v>
      </c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f>SUM(D35+D46+D51+D52+D53+D57+D58+D59+D69+D75+D77+D80+D87+D89)</f>
        <v>43947</v>
      </c>
      <c r="E91" s="178">
        <f>SUM(E35+E46+E51+E52+E53+E57+E58+E59+E69+E75+E77+E80+E87+E89)</f>
        <v>43994</v>
      </c>
      <c r="F91" s="179"/>
      <c r="G91" s="179"/>
      <c r="H91" s="180">
        <f>H35+H46+H53+H57+H58+H59+H69+H75+H77+H80+H87+H89</f>
        <v>45837</v>
      </c>
      <c r="I91" s="180">
        <f>I35+I46+I53+I57+I58+I59+I69+I75+I77+I80+I87+I89</f>
        <v>0</v>
      </c>
      <c r="J91" s="181">
        <f>J35+J46+J53+J57+J58+J59+J69+J75+J77+J80+J87+J89</f>
        <v>45837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f>D34-D91</f>
        <v>0</v>
      </c>
      <c r="E92" s="184">
        <f>E34-E91</f>
        <v>1</v>
      </c>
      <c r="F92" s="185"/>
      <c r="G92" s="185"/>
      <c r="H92" s="184">
        <f>H34-H91</f>
        <v>-230</v>
      </c>
      <c r="I92" s="184">
        <f>I34-I91</f>
        <v>0</v>
      </c>
      <c r="J92" s="186">
        <f>J34-J91</f>
        <v>-230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4.25" customHeight="1" thickBot="1">
      <c r="A94" s="416" t="s">
        <v>178</v>
      </c>
      <c r="B94" s="417"/>
      <c r="C94" s="420" t="s">
        <v>104</v>
      </c>
      <c r="D94" s="42"/>
      <c r="E94" s="425" t="s">
        <v>179</v>
      </c>
      <c r="F94" s="426"/>
      <c r="G94" s="426"/>
      <c r="H94" s="426"/>
      <c r="I94" s="429" t="s">
        <v>104</v>
      </c>
      <c r="J94" s="43"/>
      <c r="K94" s="43"/>
      <c r="L94" s="43"/>
      <c r="M94" s="43"/>
      <c r="N94" s="43"/>
    </row>
    <row r="95" spans="1:14" ht="14.25" thickBot="1">
      <c r="A95" s="418"/>
      <c r="B95" s="419"/>
      <c r="C95" s="421"/>
      <c r="D95" s="42"/>
      <c r="E95" s="427"/>
      <c r="F95" s="428"/>
      <c r="G95" s="428"/>
      <c r="H95" s="428"/>
      <c r="I95" s="430"/>
      <c r="J95" s="43"/>
      <c r="K95" s="43"/>
      <c r="L95" s="43"/>
      <c r="M95" s="43"/>
      <c r="N95" s="43"/>
    </row>
    <row r="96" spans="1:14" ht="14.25" thickBot="1">
      <c r="A96" s="539" t="s">
        <v>201</v>
      </c>
      <c r="B96" s="540"/>
      <c r="C96" s="109">
        <v>90</v>
      </c>
      <c r="D96" s="92"/>
      <c r="E96" s="433" t="s">
        <v>273</v>
      </c>
      <c r="F96" s="434"/>
      <c r="G96" s="434"/>
      <c r="H96" s="434"/>
      <c r="I96" s="221">
        <v>50</v>
      </c>
      <c r="J96" s="43"/>
      <c r="K96" s="43"/>
      <c r="L96" s="43"/>
      <c r="M96" s="43"/>
      <c r="N96" s="38" t="s">
        <v>105</v>
      </c>
    </row>
    <row r="97" spans="1:14" ht="13.5">
      <c r="A97" s="539" t="s">
        <v>202</v>
      </c>
      <c r="B97" s="540"/>
      <c r="C97" s="109">
        <v>200</v>
      </c>
      <c r="D97" s="92"/>
      <c r="E97" s="437" t="s">
        <v>288</v>
      </c>
      <c r="F97" s="438"/>
      <c r="G97" s="438"/>
      <c r="H97" s="438"/>
      <c r="I97" s="222">
        <v>50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539" t="s">
        <v>203</v>
      </c>
      <c r="B98" s="540"/>
      <c r="C98" s="109">
        <v>180</v>
      </c>
      <c r="D98" s="92"/>
      <c r="E98" s="437" t="s">
        <v>289</v>
      </c>
      <c r="F98" s="438"/>
      <c r="G98" s="438"/>
      <c r="H98" s="438"/>
      <c r="I98" s="222">
        <v>90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539" t="s">
        <v>204</v>
      </c>
      <c r="B99" s="540"/>
      <c r="C99" s="109">
        <v>70</v>
      </c>
      <c r="D99" s="92"/>
      <c r="E99" s="437" t="s">
        <v>290</v>
      </c>
      <c r="F99" s="438"/>
      <c r="G99" s="438"/>
      <c r="H99" s="438"/>
      <c r="I99" s="223">
        <v>130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539" t="s">
        <v>205</v>
      </c>
      <c r="B100" s="540"/>
      <c r="C100" s="109">
        <v>80</v>
      </c>
      <c r="D100" s="92"/>
      <c r="E100" s="437" t="s">
        <v>291</v>
      </c>
      <c r="F100" s="438"/>
      <c r="G100" s="438"/>
      <c r="H100" s="438"/>
      <c r="I100" s="223">
        <v>300</v>
      </c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539" t="s">
        <v>287</v>
      </c>
      <c r="B101" s="540"/>
      <c r="C101" s="369">
        <v>430</v>
      </c>
      <c r="D101" s="92"/>
      <c r="E101" s="437" t="s">
        <v>292</v>
      </c>
      <c r="F101" s="438"/>
      <c r="G101" s="438"/>
      <c r="H101" s="438"/>
      <c r="I101" s="222">
        <v>100</v>
      </c>
      <c r="J101" s="43"/>
      <c r="K101" s="43"/>
      <c r="L101" s="43"/>
      <c r="M101" s="43"/>
      <c r="N101" s="43"/>
    </row>
    <row r="102" spans="1:14" ht="13.5">
      <c r="A102" s="539" t="s">
        <v>136</v>
      </c>
      <c r="B102" s="540"/>
      <c r="C102" s="369">
        <v>686</v>
      </c>
      <c r="D102" s="35"/>
      <c r="E102" s="437"/>
      <c r="F102" s="438"/>
      <c r="G102" s="438"/>
      <c r="H102" s="438"/>
      <c r="I102" s="97"/>
      <c r="J102" s="43"/>
      <c r="K102" s="43"/>
      <c r="L102" s="43"/>
      <c r="M102" s="43"/>
      <c r="N102" s="43"/>
    </row>
    <row r="103" spans="1:14" ht="14.25" thickBot="1">
      <c r="A103" s="539"/>
      <c r="B103" s="540"/>
      <c r="C103" s="217"/>
      <c r="D103" s="35"/>
      <c r="E103" s="443"/>
      <c r="F103" s="444"/>
      <c r="G103" s="444"/>
      <c r="H103" s="444"/>
      <c r="I103" s="99"/>
      <c r="J103" s="43"/>
      <c r="K103" s="43"/>
      <c r="L103" s="43"/>
      <c r="M103" s="43"/>
      <c r="N103" s="43"/>
    </row>
    <row r="104" spans="1:14" ht="14.25" thickBot="1">
      <c r="A104" s="445" t="s">
        <v>97</v>
      </c>
      <c r="B104" s="446"/>
      <c r="C104" s="202">
        <f>SUM(C96:C102)</f>
        <v>1736</v>
      </c>
      <c r="D104" s="59"/>
      <c r="E104" s="447" t="s">
        <v>97</v>
      </c>
      <c r="F104" s="448"/>
      <c r="G104" s="448"/>
      <c r="H104" s="448"/>
      <c r="I104" s="203">
        <f>SUM(I96:I103)</f>
        <v>720</v>
      </c>
      <c r="J104" s="43"/>
      <c r="K104" s="43"/>
      <c r="L104" s="43"/>
      <c r="M104" s="43"/>
      <c r="N104" s="61"/>
    </row>
    <row r="105" spans="1:5" s="34" customFormat="1" ht="13.5" customHeight="1">
      <c r="A105" s="59"/>
      <c r="B105" s="62"/>
      <c r="C105" s="62"/>
      <c r="D105" s="62"/>
      <c r="E105" s="62"/>
    </row>
    <row r="106" spans="1:12" s="34" customFormat="1" ht="14.25" thickBot="1">
      <c r="A106" s="63" t="s">
        <v>181</v>
      </c>
      <c r="B106" s="36"/>
      <c r="C106" s="36"/>
      <c r="D106" s="36"/>
      <c r="E106" s="39"/>
      <c r="F106" s="41"/>
      <c r="G106" s="41"/>
      <c r="H106" s="35"/>
      <c r="I106" s="36"/>
      <c r="J106" s="36" t="s">
        <v>110</v>
      </c>
      <c r="K106" s="36"/>
      <c r="L106" s="39"/>
    </row>
    <row r="107" spans="1:11" s="34" customFormat="1" ht="13.5">
      <c r="A107" s="449" t="s">
        <v>111</v>
      </c>
      <c r="B107" s="452" t="s">
        <v>248</v>
      </c>
      <c r="C107" s="459" t="s">
        <v>182</v>
      </c>
      <c r="D107" s="460"/>
      <c r="E107" s="460"/>
      <c r="F107" s="460"/>
      <c r="G107" s="460"/>
      <c r="H107" s="460"/>
      <c r="I107" s="460"/>
      <c r="J107" s="461"/>
      <c r="K107" s="455" t="s">
        <v>183</v>
      </c>
    </row>
    <row r="108" spans="1:11" s="34" customFormat="1" ht="13.5">
      <c r="A108" s="450"/>
      <c r="B108" s="453"/>
      <c r="C108" s="458" t="s">
        <v>112</v>
      </c>
      <c r="D108" s="462" t="s">
        <v>113</v>
      </c>
      <c r="E108" s="462"/>
      <c r="F108" s="462"/>
      <c r="G108" s="462"/>
      <c r="H108" s="462"/>
      <c r="I108" s="462"/>
      <c r="J108" s="463"/>
      <c r="K108" s="456"/>
    </row>
    <row r="109" spans="1:12" s="34" customFormat="1" ht="14.25" thickBot="1">
      <c r="A109" s="451"/>
      <c r="B109" s="454"/>
      <c r="C109" s="458"/>
      <c r="D109" s="164">
        <v>1</v>
      </c>
      <c r="E109" s="164">
        <v>2</v>
      </c>
      <c r="F109" s="164">
        <v>3</v>
      </c>
      <c r="G109" s="164">
        <v>4</v>
      </c>
      <c r="H109" s="164">
        <v>5</v>
      </c>
      <c r="I109" s="164">
        <v>6</v>
      </c>
      <c r="J109" s="165">
        <v>7</v>
      </c>
      <c r="K109" s="457"/>
      <c r="L109" s="71"/>
    </row>
    <row r="110" spans="1:11" s="34" customFormat="1" ht="14.25" thickBot="1">
      <c r="A110" s="64">
        <v>97913</v>
      </c>
      <c r="B110" s="65">
        <v>26290</v>
      </c>
      <c r="C110" s="364">
        <f>SUM(D110:J110)</f>
        <v>1822</v>
      </c>
      <c r="D110" s="167">
        <v>183</v>
      </c>
      <c r="E110" s="167">
        <v>686</v>
      </c>
      <c r="F110" s="167">
        <v>170</v>
      </c>
      <c r="G110" s="167">
        <v>0</v>
      </c>
      <c r="H110" s="167">
        <v>783</v>
      </c>
      <c r="I110" s="168">
        <v>0</v>
      </c>
      <c r="J110" s="169">
        <v>0</v>
      </c>
      <c r="K110" s="163">
        <v>69801</v>
      </c>
    </row>
    <row r="111" spans="1:5" s="34" customFormat="1" ht="13.5">
      <c r="A111" s="59"/>
      <c r="B111" s="62"/>
      <c r="C111" s="62"/>
      <c r="D111" s="62"/>
      <c r="E111" s="62"/>
    </row>
    <row r="112" spans="1:8" s="34" customFormat="1" ht="14.25" thickBot="1">
      <c r="A112" s="63" t="s">
        <v>184</v>
      </c>
      <c r="C112" s="36"/>
      <c r="D112" s="36"/>
      <c r="E112" s="36"/>
      <c r="F112" s="36" t="s">
        <v>110</v>
      </c>
      <c r="G112" s="41"/>
      <c r="H112" s="35"/>
    </row>
    <row r="113" spans="1:6" s="34" customFormat="1" ht="15" customHeight="1" thickBot="1">
      <c r="A113" s="467" t="s">
        <v>114</v>
      </c>
      <c r="B113" s="469" t="s">
        <v>188</v>
      </c>
      <c r="C113" s="188" t="s">
        <v>185</v>
      </c>
      <c r="D113" s="189"/>
      <c r="E113" s="189"/>
      <c r="F113" s="190"/>
    </row>
    <row r="114" spans="1:6" s="34" customFormat="1" ht="27.75" thickBot="1">
      <c r="A114" s="468"/>
      <c r="B114" s="469"/>
      <c r="C114" s="67" t="s">
        <v>186</v>
      </c>
      <c r="D114" s="66" t="s">
        <v>115</v>
      </c>
      <c r="E114" s="67" t="s">
        <v>116</v>
      </c>
      <c r="F114" s="191" t="s">
        <v>187</v>
      </c>
    </row>
    <row r="115" spans="1:6" s="34" customFormat="1" ht="13.5">
      <c r="A115" s="192" t="s">
        <v>117</v>
      </c>
      <c r="B115" s="218">
        <v>3323.9</v>
      </c>
      <c r="C115" s="68" t="s">
        <v>118</v>
      </c>
      <c r="D115" s="69" t="s">
        <v>118</v>
      </c>
      <c r="E115" s="69" t="s">
        <v>118</v>
      </c>
      <c r="F115" s="193" t="s">
        <v>118</v>
      </c>
    </row>
    <row r="116" spans="1:13" s="34" customFormat="1" ht="13.5">
      <c r="A116" s="194" t="s">
        <v>119</v>
      </c>
      <c r="B116" s="219">
        <v>61</v>
      </c>
      <c r="C116" s="197">
        <v>61</v>
      </c>
      <c r="D116" s="106">
        <v>0</v>
      </c>
      <c r="E116" s="106">
        <v>61</v>
      </c>
      <c r="F116" s="272">
        <f>C116-E116</f>
        <v>0</v>
      </c>
      <c r="M116" s="71"/>
    </row>
    <row r="117" spans="1:13" s="34" customFormat="1" ht="13.5">
      <c r="A117" s="194" t="s">
        <v>120</v>
      </c>
      <c r="B117" s="219">
        <v>283</v>
      </c>
      <c r="C117" s="197">
        <f>31+252</f>
        <v>283</v>
      </c>
      <c r="D117" s="106">
        <f>1+200</f>
        <v>201</v>
      </c>
      <c r="E117" s="106">
        <f>32+280</f>
        <v>312</v>
      </c>
      <c r="F117" s="272">
        <f>C117+D117-E117</f>
        <v>172</v>
      </c>
      <c r="M117" s="71"/>
    </row>
    <row r="118" spans="1:13" s="34" customFormat="1" ht="13.5">
      <c r="A118" s="194" t="s">
        <v>121</v>
      </c>
      <c r="B118" s="219">
        <v>299</v>
      </c>
      <c r="C118" s="72">
        <v>299</v>
      </c>
      <c r="D118" s="206">
        <v>1822</v>
      </c>
      <c r="E118" s="206">
        <v>1736</v>
      </c>
      <c r="F118" s="272">
        <f>C118+D118-E118</f>
        <v>385</v>
      </c>
      <c r="M118" s="71"/>
    </row>
    <row r="119" spans="1:13" s="34" customFormat="1" ht="13.5">
      <c r="A119" s="194" t="s">
        <v>122</v>
      </c>
      <c r="B119" s="219">
        <f>B115-B116-B117-B118</f>
        <v>2680.9</v>
      </c>
      <c r="C119" s="74" t="s">
        <v>118</v>
      </c>
      <c r="D119" s="75" t="s">
        <v>118</v>
      </c>
      <c r="E119" s="76" t="s">
        <v>118</v>
      </c>
      <c r="F119" s="195" t="s">
        <v>118</v>
      </c>
      <c r="M119" s="71"/>
    </row>
    <row r="120" spans="1:13" s="34" customFormat="1" ht="14.25" thickBot="1">
      <c r="A120" s="196" t="s">
        <v>123</v>
      </c>
      <c r="B120" s="220">
        <v>29.6</v>
      </c>
      <c r="C120" s="199">
        <v>31</v>
      </c>
      <c r="D120" s="200">
        <v>231</v>
      </c>
      <c r="E120" s="207">
        <v>262</v>
      </c>
      <c r="F120" s="201">
        <f>C120+D120-E120</f>
        <v>0</v>
      </c>
      <c r="M120" s="71"/>
    </row>
    <row r="121" spans="1:15" s="34" customFormat="1" ht="13.5">
      <c r="A121" s="35"/>
      <c r="B121" s="36"/>
      <c r="C121" s="36"/>
      <c r="D121" s="37"/>
      <c r="E121" s="38"/>
      <c r="F121" s="36"/>
      <c r="G121" s="36"/>
      <c r="H121" s="39"/>
      <c r="I121" s="40"/>
      <c r="J121" s="41"/>
      <c r="K121" s="35"/>
      <c r="L121" s="36"/>
      <c r="M121" s="36"/>
      <c r="N121" s="36"/>
      <c r="O121" s="39"/>
    </row>
    <row r="122" spans="1:11" ht="13.5">
      <c r="A122" s="63"/>
      <c r="K122" s="36"/>
    </row>
    <row r="123" spans="1:11" ht="14.25" thickBot="1">
      <c r="A123" s="63" t="s">
        <v>189</v>
      </c>
      <c r="K123" s="36" t="s">
        <v>110</v>
      </c>
    </row>
    <row r="124" spans="1:11" ht="13.5">
      <c r="A124" s="464" t="s">
        <v>124</v>
      </c>
      <c r="B124" s="465"/>
      <c r="C124" s="466"/>
      <c r="D124" s="78"/>
      <c r="E124" s="464" t="s">
        <v>125</v>
      </c>
      <c r="F124" s="465"/>
      <c r="G124" s="466"/>
      <c r="I124" s="464" t="s">
        <v>126</v>
      </c>
      <c r="J124" s="465"/>
      <c r="K124" s="466"/>
    </row>
    <row r="125" spans="1:11" ht="14.25" thickBot="1">
      <c r="A125" s="79" t="s">
        <v>127</v>
      </c>
      <c r="B125" s="80" t="s">
        <v>128</v>
      </c>
      <c r="C125" s="81" t="s">
        <v>129</v>
      </c>
      <c r="D125" s="78"/>
      <c r="E125" s="82"/>
      <c r="F125" s="470" t="s">
        <v>130</v>
      </c>
      <c r="G125" s="471"/>
      <c r="I125" s="79"/>
      <c r="J125" s="80" t="s">
        <v>131</v>
      </c>
      <c r="K125" s="81" t="s">
        <v>129</v>
      </c>
    </row>
    <row r="126" spans="1:11" ht="13.5">
      <c r="A126" s="83">
        <v>2012</v>
      </c>
      <c r="B126" s="84">
        <v>101</v>
      </c>
      <c r="C126" s="85">
        <v>99</v>
      </c>
      <c r="D126" s="37"/>
      <c r="E126" s="83">
        <v>2012</v>
      </c>
      <c r="F126" s="472">
        <v>142</v>
      </c>
      <c r="G126" s="473"/>
      <c r="I126" s="83">
        <v>2012</v>
      </c>
      <c r="J126" s="84">
        <v>22717</v>
      </c>
      <c r="K126" s="85">
        <v>22687</v>
      </c>
    </row>
    <row r="127" spans="1:11" ht="14.25" thickBot="1">
      <c r="A127" s="86">
        <v>2013</v>
      </c>
      <c r="B127" s="87">
        <v>101</v>
      </c>
      <c r="C127" s="88" t="s">
        <v>92</v>
      </c>
      <c r="D127" s="37"/>
      <c r="E127" s="86">
        <v>2013</v>
      </c>
      <c r="F127" s="388">
        <v>142</v>
      </c>
      <c r="G127" s="389"/>
      <c r="I127" s="86">
        <v>2013</v>
      </c>
      <c r="J127" s="87">
        <v>23088</v>
      </c>
      <c r="K127" s="88" t="s">
        <v>92</v>
      </c>
    </row>
    <row r="128" ht="13.5">
      <c r="D128" s="37"/>
    </row>
    <row r="129" ht="13.5">
      <c r="D129" s="78"/>
    </row>
    <row r="130" ht="13.5">
      <c r="D130" s="78"/>
    </row>
    <row r="131" ht="13.5">
      <c r="D131" s="37"/>
    </row>
    <row r="132" ht="13.5">
      <c r="D132" s="37"/>
    </row>
  </sheetData>
  <sheetProtection selectLockedCells="1" selectUnlockedCells="1"/>
  <mergeCells count="129">
    <mergeCell ref="F126:G126"/>
    <mergeCell ref="F127:G127"/>
    <mergeCell ref="A113:A114"/>
    <mergeCell ref="B113:B114"/>
    <mergeCell ref="A124:C124"/>
    <mergeCell ref="E124:G124"/>
    <mergeCell ref="I124:K124"/>
    <mergeCell ref="F125:G125"/>
    <mergeCell ref="A104:B104"/>
    <mergeCell ref="E104:H104"/>
    <mergeCell ref="A107:A109"/>
    <mergeCell ref="B107:B109"/>
    <mergeCell ref="C108:C109"/>
    <mergeCell ref="C107:J107"/>
    <mergeCell ref="K107:K109"/>
    <mergeCell ref="D108:J108"/>
    <mergeCell ref="A101:B101"/>
    <mergeCell ref="E101:H101"/>
    <mergeCell ref="A102:B102"/>
    <mergeCell ref="E102:H102"/>
    <mergeCell ref="A103:B103"/>
    <mergeCell ref="E103:H103"/>
    <mergeCell ref="A98:B98"/>
    <mergeCell ref="E98:H98"/>
    <mergeCell ref="A99:B99"/>
    <mergeCell ref="E99:H99"/>
    <mergeCell ref="A100:B100"/>
    <mergeCell ref="E100:H100"/>
    <mergeCell ref="E94:H95"/>
    <mergeCell ref="I94:I95"/>
    <mergeCell ref="A96:B96"/>
    <mergeCell ref="E96:H96"/>
    <mergeCell ref="A97:B97"/>
    <mergeCell ref="E97:H97"/>
    <mergeCell ref="A86:C86"/>
    <mergeCell ref="A87:C87"/>
    <mergeCell ref="A88:C88"/>
    <mergeCell ref="A94:B95"/>
    <mergeCell ref="C94:C95"/>
    <mergeCell ref="A89:C89"/>
    <mergeCell ref="A90:C90"/>
    <mergeCell ref="A91:C91"/>
    <mergeCell ref="A92:C92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7:C7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2" r:id="rId1"/>
  <headerFooter alignWithMargins="0">
    <oddFooter>&amp;C&amp;"Arial CE,Běžné"&amp;P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T132"/>
  <sheetViews>
    <sheetView view="pageBreakPreview" zoomScale="70" zoomScaleSheetLayoutView="70" zoomScalePageLayoutView="0" workbookViewId="0" topLeftCell="A1">
      <selection activeCell="D116" sqref="D116:E118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17.0039062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140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90"/>
      <c r="D4" s="497" t="s">
        <v>157</v>
      </c>
      <c r="E4" s="500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3"/>
      <c r="D5" s="498"/>
      <c r="E5" s="501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6"/>
      <c r="D6" s="499"/>
      <c r="E6" s="502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10"/>
      <c r="D7" s="121">
        <v>34854</v>
      </c>
      <c r="E7" s="121">
        <v>35481</v>
      </c>
      <c r="F7" s="154">
        <f>E7-D7</f>
        <v>627</v>
      </c>
      <c r="G7" s="145">
        <f>E7/D7</f>
        <v>1.0179893269065243</v>
      </c>
      <c r="H7" s="122">
        <v>35882</v>
      </c>
      <c r="I7" s="123">
        <v>0</v>
      </c>
      <c r="J7" s="156">
        <f>H7+I7</f>
        <v>35882</v>
      </c>
      <c r="K7" s="144">
        <f>J7-E7</f>
        <v>401</v>
      </c>
      <c r="L7" s="150">
        <f>J7/E7</f>
        <v>1.011301823511175</v>
      </c>
    </row>
    <row r="8" spans="1:12" s="101" customFormat="1" ht="13.5">
      <c r="A8" s="511" t="s">
        <v>25</v>
      </c>
      <c r="B8" s="512"/>
      <c r="C8" s="513"/>
      <c r="D8" s="125">
        <v>0</v>
      </c>
      <c r="E8" s="125">
        <v>0</v>
      </c>
      <c r="F8" s="154">
        <f aca="true" t="shared" si="0" ref="F8:F75">E8-D8</f>
        <v>0</v>
      </c>
      <c r="G8" s="145"/>
      <c r="H8" s="127">
        <v>0</v>
      </c>
      <c r="I8" s="128">
        <v>0</v>
      </c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3"/>
      <c r="D9" s="125">
        <v>34854</v>
      </c>
      <c r="E9" s="125">
        <v>35472</v>
      </c>
      <c r="F9" s="154">
        <f t="shared" si="0"/>
        <v>618</v>
      </c>
      <c r="G9" s="145">
        <f aca="true" t="shared" si="3" ref="G9:G74">E9/D9</f>
        <v>1.0177311069030814</v>
      </c>
      <c r="H9" s="127">
        <v>35873</v>
      </c>
      <c r="I9" s="128">
        <v>0</v>
      </c>
      <c r="J9" s="156">
        <f t="shared" si="1"/>
        <v>35873</v>
      </c>
      <c r="K9" s="144">
        <f t="shared" si="2"/>
        <v>401</v>
      </c>
      <c r="L9" s="150">
        <f aca="true" t="shared" si="4" ref="L9:L74">J9/E9</f>
        <v>1.011304691023906</v>
      </c>
    </row>
    <row r="10" spans="1:12" s="101" customFormat="1" ht="13.5">
      <c r="A10" s="514" t="s">
        <v>27</v>
      </c>
      <c r="B10" s="515"/>
      <c r="C10" s="516"/>
      <c r="D10" s="125">
        <v>18877</v>
      </c>
      <c r="E10" s="125">
        <v>19137</v>
      </c>
      <c r="F10" s="154">
        <f t="shared" si="0"/>
        <v>260</v>
      </c>
      <c r="G10" s="145">
        <f t="shared" si="3"/>
        <v>1.0137733750066218</v>
      </c>
      <c r="H10" s="127">
        <v>19491</v>
      </c>
      <c r="I10" s="128">
        <v>0</v>
      </c>
      <c r="J10" s="156">
        <f t="shared" si="1"/>
        <v>19491</v>
      </c>
      <c r="K10" s="144">
        <f t="shared" si="2"/>
        <v>354</v>
      </c>
      <c r="L10" s="150">
        <f t="shared" si="4"/>
        <v>1.018498197209594</v>
      </c>
    </row>
    <row r="11" spans="1:12" s="101" customFormat="1" ht="13.5">
      <c r="A11" s="514" t="s">
        <v>28</v>
      </c>
      <c r="B11" s="515"/>
      <c r="C11" s="516"/>
      <c r="D11" s="125">
        <v>12872</v>
      </c>
      <c r="E11" s="125">
        <v>13611</v>
      </c>
      <c r="F11" s="154">
        <f t="shared" si="0"/>
        <v>739</v>
      </c>
      <c r="G11" s="145">
        <f t="shared" si="3"/>
        <v>1.0574114356743318</v>
      </c>
      <c r="H11" s="127">
        <v>13611</v>
      </c>
      <c r="I11" s="128">
        <v>0</v>
      </c>
      <c r="J11" s="156">
        <f t="shared" si="1"/>
        <v>13611</v>
      </c>
      <c r="K11" s="144">
        <f t="shared" si="2"/>
        <v>0</v>
      </c>
      <c r="L11" s="150">
        <f t="shared" si="4"/>
        <v>1</v>
      </c>
    </row>
    <row r="12" spans="1:12" s="101" customFormat="1" ht="13.5">
      <c r="A12" s="514" t="s">
        <v>29</v>
      </c>
      <c r="B12" s="515"/>
      <c r="C12" s="516"/>
      <c r="D12" s="125">
        <v>0</v>
      </c>
      <c r="E12" s="125">
        <v>9</v>
      </c>
      <c r="F12" s="154">
        <f t="shared" si="0"/>
        <v>9</v>
      </c>
      <c r="G12" s="145"/>
      <c r="H12" s="127">
        <v>9</v>
      </c>
      <c r="I12" s="128">
        <v>0</v>
      </c>
      <c r="J12" s="156">
        <f t="shared" si="1"/>
        <v>9</v>
      </c>
      <c r="K12" s="144">
        <f t="shared" si="2"/>
        <v>0</v>
      </c>
      <c r="L12" s="150">
        <f t="shared" si="4"/>
        <v>1</v>
      </c>
    </row>
    <row r="13" spans="1:12" s="101" customFormat="1" ht="13.5">
      <c r="A13" s="514" t="s">
        <v>30</v>
      </c>
      <c r="B13" s="515"/>
      <c r="C13" s="516"/>
      <c r="D13" s="125">
        <v>2641</v>
      </c>
      <c r="E13" s="125">
        <v>2233</v>
      </c>
      <c r="F13" s="154">
        <f t="shared" si="0"/>
        <v>-408</v>
      </c>
      <c r="G13" s="145">
        <f t="shared" si="3"/>
        <v>0.8455130632336236</v>
      </c>
      <c r="H13" s="127">
        <v>2280</v>
      </c>
      <c r="I13" s="128">
        <v>0</v>
      </c>
      <c r="J13" s="156">
        <f t="shared" si="1"/>
        <v>2280</v>
      </c>
      <c r="K13" s="144">
        <f t="shared" si="2"/>
        <v>47</v>
      </c>
      <c r="L13" s="150">
        <f t="shared" si="4"/>
        <v>1.0210479175996416</v>
      </c>
    </row>
    <row r="14" spans="1:12" s="101" customFormat="1" ht="13.5">
      <c r="A14" s="514" t="s">
        <v>31</v>
      </c>
      <c r="B14" s="515"/>
      <c r="C14" s="516"/>
      <c r="D14" s="125">
        <v>464</v>
      </c>
      <c r="E14" s="125">
        <v>482</v>
      </c>
      <c r="F14" s="154">
        <f t="shared" si="0"/>
        <v>18</v>
      </c>
      <c r="G14" s="145">
        <f t="shared" si="3"/>
        <v>1.0387931034482758</v>
      </c>
      <c r="H14" s="127">
        <v>482</v>
      </c>
      <c r="I14" s="128">
        <v>0</v>
      </c>
      <c r="J14" s="156">
        <f t="shared" si="1"/>
        <v>482</v>
      </c>
      <c r="K14" s="144">
        <f t="shared" si="2"/>
        <v>0</v>
      </c>
      <c r="L14" s="150">
        <f t="shared" si="4"/>
        <v>1</v>
      </c>
    </row>
    <row r="15" spans="1:14" s="101" customFormat="1" ht="13.5">
      <c r="A15" s="514" t="s">
        <v>32</v>
      </c>
      <c r="B15" s="515"/>
      <c r="C15" s="516"/>
      <c r="D15" s="125">
        <v>0</v>
      </c>
      <c r="E15" s="125">
        <v>0</v>
      </c>
      <c r="F15" s="154">
        <f t="shared" si="0"/>
        <v>0</v>
      </c>
      <c r="G15" s="145"/>
      <c r="H15" s="127">
        <v>0</v>
      </c>
      <c r="I15" s="128">
        <v>0</v>
      </c>
      <c r="J15" s="156">
        <f t="shared" si="1"/>
        <v>0</v>
      </c>
      <c r="K15" s="144">
        <f t="shared" si="2"/>
        <v>0</v>
      </c>
      <c r="L15" s="150"/>
      <c r="N15" s="129"/>
    </row>
    <row r="16" spans="1:12" s="101" customFormat="1" ht="13.5">
      <c r="A16" s="511" t="s">
        <v>33</v>
      </c>
      <c r="B16" s="512"/>
      <c r="C16" s="513"/>
      <c r="D16" s="125">
        <v>9</v>
      </c>
      <c r="E16" s="125">
        <v>9</v>
      </c>
      <c r="F16" s="154">
        <f t="shared" si="0"/>
        <v>0</v>
      </c>
      <c r="G16" s="145">
        <f t="shared" si="3"/>
        <v>1</v>
      </c>
      <c r="H16" s="127">
        <v>9</v>
      </c>
      <c r="I16" s="128">
        <v>0</v>
      </c>
      <c r="J16" s="156">
        <f t="shared" si="1"/>
        <v>9</v>
      </c>
      <c r="K16" s="144">
        <f t="shared" si="2"/>
        <v>0</v>
      </c>
      <c r="L16" s="150">
        <f t="shared" si="4"/>
        <v>1</v>
      </c>
    </row>
    <row r="17" spans="1:12" s="101" customFormat="1" ht="13.5">
      <c r="A17" s="511" t="s">
        <v>34</v>
      </c>
      <c r="B17" s="512"/>
      <c r="C17" s="513"/>
      <c r="D17" s="125">
        <v>0</v>
      </c>
      <c r="E17" s="125">
        <v>0</v>
      </c>
      <c r="F17" s="154">
        <f t="shared" si="0"/>
        <v>0</v>
      </c>
      <c r="G17" s="145"/>
      <c r="H17" s="127">
        <v>0</v>
      </c>
      <c r="I17" s="128">
        <v>0</v>
      </c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9"/>
      <c r="D18" s="125">
        <v>327</v>
      </c>
      <c r="E18" s="125">
        <v>69</v>
      </c>
      <c r="F18" s="154">
        <f t="shared" si="0"/>
        <v>-258</v>
      </c>
      <c r="G18" s="145">
        <f t="shared" si="3"/>
        <v>0.21100917431192662</v>
      </c>
      <c r="H18" s="127">
        <v>13</v>
      </c>
      <c r="I18" s="128">
        <v>0</v>
      </c>
      <c r="J18" s="156">
        <f t="shared" si="1"/>
        <v>13</v>
      </c>
      <c r="K18" s="144">
        <f t="shared" si="2"/>
        <v>-56</v>
      </c>
      <c r="L18" s="150">
        <f t="shared" si="4"/>
        <v>0.18840579710144928</v>
      </c>
    </row>
    <row r="19" spans="1:12" s="101" customFormat="1" ht="13.5">
      <c r="A19" s="511" t="s">
        <v>36</v>
      </c>
      <c r="B19" s="512"/>
      <c r="C19" s="513"/>
      <c r="D19" s="125">
        <v>0</v>
      </c>
      <c r="E19" s="125">
        <v>0</v>
      </c>
      <c r="F19" s="154">
        <f t="shared" si="0"/>
        <v>0</v>
      </c>
      <c r="G19" s="145"/>
      <c r="H19" s="127">
        <v>0</v>
      </c>
      <c r="I19" s="128">
        <v>0</v>
      </c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3"/>
      <c r="D20" s="125">
        <v>0</v>
      </c>
      <c r="E20" s="138">
        <v>0</v>
      </c>
      <c r="F20" s="154">
        <f t="shared" si="0"/>
        <v>0</v>
      </c>
      <c r="G20" s="145"/>
      <c r="H20" s="122">
        <v>0</v>
      </c>
      <c r="I20" s="123">
        <v>0</v>
      </c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2"/>
      <c r="D21" s="125">
        <v>318</v>
      </c>
      <c r="E21" s="125">
        <v>23</v>
      </c>
      <c r="F21" s="154">
        <f t="shared" si="0"/>
        <v>-295</v>
      </c>
      <c r="G21" s="145">
        <f t="shared" si="3"/>
        <v>0.07232704402515723</v>
      </c>
      <c r="H21" s="127">
        <v>13</v>
      </c>
      <c r="I21" s="128">
        <v>0</v>
      </c>
      <c r="J21" s="156">
        <f t="shared" si="1"/>
        <v>13</v>
      </c>
      <c r="K21" s="144">
        <f t="shared" si="2"/>
        <v>-10</v>
      </c>
      <c r="L21" s="150">
        <f t="shared" si="4"/>
        <v>0.5652173913043478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2"/>
      <c r="D22" s="125">
        <v>318</v>
      </c>
      <c r="E22" s="125">
        <v>23</v>
      </c>
      <c r="F22" s="154">
        <f t="shared" si="0"/>
        <v>-295</v>
      </c>
      <c r="G22" s="145">
        <f t="shared" si="3"/>
        <v>0.07232704402515723</v>
      </c>
      <c r="H22" s="127">
        <v>13</v>
      </c>
      <c r="I22" s="128">
        <v>0</v>
      </c>
      <c r="J22" s="156">
        <f t="shared" si="1"/>
        <v>13</v>
      </c>
      <c r="K22" s="144">
        <f t="shared" si="2"/>
        <v>-10</v>
      </c>
      <c r="L22" s="150">
        <f t="shared" si="4"/>
        <v>0.5652173913043478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2"/>
      <c r="D23" s="125">
        <v>0</v>
      </c>
      <c r="E23" s="125">
        <v>0</v>
      </c>
      <c r="F23" s="154">
        <f t="shared" si="0"/>
        <v>0</v>
      </c>
      <c r="G23" s="145"/>
      <c r="H23" s="127">
        <v>0</v>
      </c>
      <c r="I23" s="128">
        <v>0</v>
      </c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2"/>
      <c r="D24" s="125">
        <v>0</v>
      </c>
      <c r="E24" s="125">
        <v>0</v>
      </c>
      <c r="F24" s="154">
        <f t="shared" si="0"/>
        <v>0</v>
      </c>
      <c r="G24" s="145"/>
      <c r="H24" s="127">
        <v>0</v>
      </c>
      <c r="I24" s="128">
        <v>0</v>
      </c>
      <c r="J24" s="156">
        <f t="shared" si="1"/>
        <v>0</v>
      </c>
      <c r="K24" s="144">
        <f t="shared" si="2"/>
        <v>0</v>
      </c>
      <c r="L24" s="150"/>
    </row>
    <row r="25" spans="1:12" s="101" customFormat="1" ht="13.5">
      <c r="A25" s="520" t="s">
        <v>163</v>
      </c>
      <c r="B25" s="521"/>
      <c r="C25" s="522"/>
      <c r="D25" s="125">
        <v>0</v>
      </c>
      <c r="E25" s="125">
        <v>0</v>
      </c>
      <c r="F25" s="154">
        <f t="shared" si="0"/>
        <v>0</v>
      </c>
      <c r="G25" s="145"/>
      <c r="H25" s="127">
        <v>0</v>
      </c>
      <c r="I25" s="128">
        <v>0</v>
      </c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9"/>
      <c r="D26" s="125">
        <v>0</v>
      </c>
      <c r="E26" s="125">
        <v>12</v>
      </c>
      <c r="F26" s="154">
        <f t="shared" si="0"/>
        <v>12</v>
      </c>
      <c r="G26" s="145"/>
      <c r="H26" s="127">
        <v>12</v>
      </c>
      <c r="I26" s="128">
        <v>0</v>
      </c>
      <c r="J26" s="156">
        <f t="shared" si="1"/>
        <v>12</v>
      </c>
      <c r="K26" s="144">
        <f t="shared" si="2"/>
        <v>0</v>
      </c>
      <c r="L26" s="150">
        <f t="shared" si="4"/>
        <v>1</v>
      </c>
    </row>
    <row r="27" spans="1:12" s="101" customFormat="1" ht="13.5">
      <c r="A27" s="511" t="s">
        <v>40</v>
      </c>
      <c r="B27" s="512"/>
      <c r="C27" s="513"/>
      <c r="D27" s="125">
        <v>0</v>
      </c>
      <c r="E27" s="125">
        <v>12</v>
      </c>
      <c r="F27" s="154">
        <f t="shared" si="0"/>
        <v>12</v>
      </c>
      <c r="G27" s="145"/>
      <c r="H27" s="127">
        <v>12</v>
      </c>
      <c r="I27" s="128">
        <v>0</v>
      </c>
      <c r="J27" s="156">
        <f t="shared" si="1"/>
        <v>12</v>
      </c>
      <c r="K27" s="144">
        <f t="shared" si="2"/>
        <v>0</v>
      </c>
      <c r="L27" s="150">
        <f t="shared" si="4"/>
        <v>1</v>
      </c>
    </row>
    <row r="28" spans="1:12" s="101" customFormat="1" ht="13.5">
      <c r="A28" s="511" t="s">
        <v>41</v>
      </c>
      <c r="B28" s="512"/>
      <c r="C28" s="513"/>
      <c r="D28" s="125">
        <v>0</v>
      </c>
      <c r="E28" s="125">
        <v>0</v>
      </c>
      <c r="F28" s="154">
        <f t="shared" si="0"/>
        <v>0</v>
      </c>
      <c r="G28" s="145"/>
      <c r="H28" s="127"/>
      <c r="I28" s="128">
        <v>0</v>
      </c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9"/>
      <c r="D29" s="125">
        <v>14677</v>
      </c>
      <c r="E29" s="138">
        <v>14603</v>
      </c>
      <c r="F29" s="154">
        <f t="shared" si="0"/>
        <v>-74</v>
      </c>
      <c r="G29" s="145">
        <f t="shared" si="3"/>
        <v>0.9949580977038904</v>
      </c>
      <c r="H29" s="122">
        <v>13398</v>
      </c>
      <c r="I29" s="123">
        <v>0</v>
      </c>
      <c r="J29" s="156">
        <f t="shared" si="1"/>
        <v>13398</v>
      </c>
      <c r="K29" s="144">
        <f t="shared" si="2"/>
        <v>-1205</v>
      </c>
      <c r="L29" s="150">
        <f t="shared" si="4"/>
        <v>0.9174827090323906</v>
      </c>
    </row>
    <row r="30" spans="1:14" s="101" customFormat="1" ht="13.5">
      <c r="A30" s="514" t="s">
        <v>164</v>
      </c>
      <c r="B30" s="515"/>
      <c r="C30" s="516"/>
      <c r="D30" s="131">
        <v>2887</v>
      </c>
      <c r="E30" s="131">
        <v>2887</v>
      </c>
      <c r="F30" s="155">
        <f t="shared" si="0"/>
        <v>0</v>
      </c>
      <c r="G30" s="147">
        <f t="shared" si="3"/>
        <v>1</v>
      </c>
      <c r="H30" s="363">
        <v>2887</v>
      </c>
      <c r="I30" s="133">
        <v>0</v>
      </c>
      <c r="J30" s="157">
        <f t="shared" si="1"/>
        <v>2887</v>
      </c>
      <c r="K30" s="146">
        <f t="shared" si="2"/>
        <v>0</v>
      </c>
      <c r="L30" s="151">
        <f t="shared" si="4"/>
        <v>1</v>
      </c>
      <c r="N30" s="129"/>
    </row>
    <row r="31" spans="1:12" s="101" customFormat="1" ht="13.5">
      <c r="A31" s="514" t="s">
        <v>43</v>
      </c>
      <c r="B31" s="515"/>
      <c r="C31" s="516"/>
      <c r="D31" s="125">
        <v>11790</v>
      </c>
      <c r="E31" s="125">
        <v>11716</v>
      </c>
      <c r="F31" s="154">
        <f t="shared" si="0"/>
        <v>-74</v>
      </c>
      <c r="G31" s="145">
        <f t="shared" si="3"/>
        <v>0.9937234944868533</v>
      </c>
      <c r="H31" s="127">
        <v>10511</v>
      </c>
      <c r="I31" s="128">
        <v>0</v>
      </c>
      <c r="J31" s="156">
        <f t="shared" si="1"/>
        <v>10511</v>
      </c>
      <c r="K31" s="144">
        <f t="shared" si="2"/>
        <v>-1205</v>
      </c>
      <c r="L31" s="150">
        <f t="shared" si="4"/>
        <v>0.8971491976783885</v>
      </c>
    </row>
    <row r="32" spans="1:12" s="101" customFormat="1" ht="13.5">
      <c r="A32" s="511" t="s">
        <v>44</v>
      </c>
      <c r="B32" s="512"/>
      <c r="C32" s="513"/>
      <c r="D32" s="138">
        <v>0</v>
      </c>
      <c r="E32" s="138"/>
      <c r="F32" s="154">
        <f t="shared" si="0"/>
        <v>0</v>
      </c>
      <c r="G32" s="145"/>
      <c r="H32" s="122">
        <v>0</v>
      </c>
      <c r="I32" s="123">
        <v>0</v>
      </c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514" t="s">
        <v>45</v>
      </c>
      <c r="B33" s="515"/>
      <c r="C33" s="516"/>
      <c r="D33" s="153">
        <v>0</v>
      </c>
      <c r="E33" s="153"/>
      <c r="F33" s="154">
        <f t="shared" si="0"/>
        <v>0</v>
      </c>
      <c r="G33" s="145"/>
      <c r="H33" s="158">
        <v>0</v>
      </c>
      <c r="I33" s="159">
        <v>0</v>
      </c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523" t="s">
        <v>46</v>
      </c>
      <c r="B34" s="524"/>
      <c r="C34" s="525"/>
      <c r="D34" s="171">
        <v>49867</v>
      </c>
      <c r="E34" s="172">
        <v>50165</v>
      </c>
      <c r="F34" s="173">
        <f t="shared" si="0"/>
        <v>298</v>
      </c>
      <c r="G34" s="174">
        <f t="shared" si="3"/>
        <v>1.005975895883049</v>
      </c>
      <c r="H34" s="172">
        <v>49305</v>
      </c>
      <c r="I34" s="172"/>
      <c r="J34" s="175">
        <f t="shared" si="1"/>
        <v>49305</v>
      </c>
      <c r="K34" s="173">
        <f t="shared" si="2"/>
        <v>-860</v>
      </c>
      <c r="L34" s="176">
        <f t="shared" si="4"/>
        <v>0.9828565733080833</v>
      </c>
    </row>
    <row r="35" spans="1:12" s="101" customFormat="1" ht="13.5">
      <c r="A35" s="526" t="s">
        <v>47</v>
      </c>
      <c r="B35" s="527"/>
      <c r="C35" s="528"/>
      <c r="D35" s="135">
        <v>8895</v>
      </c>
      <c r="E35" s="136">
        <v>7129</v>
      </c>
      <c r="F35" s="148">
        <f t="shared" si="0"/>
        <v>-1766</v>
      </c>
      <c r="G35" s="149">
        <f t="shared" si="3"/>
        <v>0.8014614952220348</v>
      </c>
      <c r="H35" s="137">
        <v>7292</v>
      </c>
      <c r="I35" s="137">
        <v>0</v>
      </c>
      <c r="J35" s="134">
        <f t="shared" si="1"/>
        <v>7292</v>
      </c>
      <c r="K35" s="148">
        <f t="shared" si="2"/>
        <v>163</v>
      </c>
      <c r="L35" s="152">
        <f t="shared" si="4"/>
        <v>1.0228643568522935</v>
      </c>
    </row>
    <row r="36" spans="1:12" s="101" customFormat="1" ht="13.5">
      <c r="A36" s="514" t="s">
        <v>48</v>
      </c>
      <c r="B36" s="515"/>
      <c r="C36" s="516"/>
      <c r="D36" s="125">
        <v>5314</v>
      </c>
      <c r="E36" s="126">
        <v>5511</v>
      </c>
      <c r="F36" s="144">
        <f t="shared" si="0"/>
        <v>197</v>
      </c>
      <c r="G36" s="145">
        <f t="shared" si="3"/>
        <v>1.0370718855852465</v>
      </c>
      <c r="H36" s="127">
        <v>5566</v>
      </c>
      <c r="I36" s="128">
        <v>0</v>
      </c>
      <c r="J36" s="124">
        <f t="shared" si="1"/>
        <v>5566</v>
      </c>
      <c r="K36" s="144">
        <f t="shared" si="2"/>
        <v>55</v>
      </c>
      <c r="L36" s="150">
        <f t="shared" si="4"/>
        <v>1.0099800399201597</v>
      </c>
    </row>
    <row r="37" spans="1:12" s="101" customFormat="1" ht="13.5">
      <c r="A37" s="514" t="s">
        <v>49</v>
      </c>
      <c r="B37" s="515"/>
      <c r="C37" s="516"/>
      <c r="D37" s="125">
        <v>34</v>
      </c>
      <c r="E37" s="126">
        <v>42</v>
      </c>
      <c r="F37" s="144">
        <f t="shared" si="0"/>
        <v>8</v>
      </c>
      <c r="G37" s="145">
        <f t="shared" si="3"/>
        <v>1.2352941176470589</v>
      </c>
      <c r="H37" s="127">
        <v>45</v>
      </c>
      <c r="I37" s="128">
        <v>0</v>
      </c>
      <c r="J37" s="124">
        <f t="shared" si="1"/>
        <v>45</v>
      </c>
      <c r="K37" s="144">
        <f t="shared" si="2"/>
        <v>3</v>
      </c>
      <c r="L37" s="150">
        <f t="shared" si="4"/>
        <v>1.0714285714285714</v>
      </c>
    </row>
    <row r="38" spans="1:12" s="101" customFormat="1" ht="13.5">
      <c r="A38" s="514" t="s">
        <v>50</v>
      </c>
      <c r="B38" s="515"/>
      <c r="C38" s="516"/>
      <c r="D38" s="138">
        <v>240</v>
      </c>
      <c r="E38" s="130">
        <v>343</v>
      </c>
      <c r="F38" s="144">
        <f t="shared" si="0"/>
        <v>103</v>
      </c>
      <c r="G38" s="145">
        <f t="shared" si="3"/>
        <v>1.4291666666666667</v>
      </c>
      <c r="H38" s="122">
        <v>340</v>
      </c>
      <c r="I38" s="123">
        <v>0</v>
      </c>
      <c r="J38" s="124">
        <f t="shared" si="1"/>
        <v>340</v>
      </c>
      <c r="K38" s="144">
        <f t="shared" si="2"/>
        <v>-3</v>
      </c>
      <c r="L38" s="150">
        <f t="shared" si="4"/>
        <v>0.9912536443148688</v>
      </c>
    </row>
    <row r="39" spans="1:12" s="101" customFormat="1" ht="13.5">
      <c r="A39" s="514" t="s">
        <v>51</v>
      </c>
      <c r="B39" s="515"/>
      <c r="C39" s="516"/>
      <c r="D39" s="125">
        <v>28</v>
      </c>
      <c r="E39" s="126">
        <v>22</v>
      </c>
      <c r="F39" s="144">
        <f t="shared" si="0"/>
        <v>-6</v>
      </c>
      <c r="G39" s="145">
        <f t="shared" si="3"/>
        <v>0.7857142857142857</v>
      </c>
      <c r="H39" s="127">
        <v>22</v>
      </c>
      <c r="I39" s="128">
        <v>0</v>
      </c>
      <c r="J39" s="124">
        <f t="shared" si="1"/>
        <v>22</v>
      </c>
      <c r="K39" s="144">
        <f t="shared" si="2"/>
        <v>0</v>
      </c>
      <c r="L39" s="150">
        <f t="shared" si="4"/>
        <v>1</v>
      </c>
    </row>
    <row r="40" spans="1:12" s="101" customFormat="1" ht="13.5">
      <c r="A40" s="514" t="s">
        <v>52</v>
      </c>
      <c r="B40" s="515"/>
      <c r="C40" s="516"/>
      <c r="D40" s="125">
        <v>42</v>
      </c>
      <c r="E40" s="126">
        <v>37</v>
      </c>
      <c r="F40" s="144">
        <f t="shared" si="0"/>
        <v>-5</v>
      </c>
      <c r="G40" s="145">
        <f t="shared" si="3"/>
        <v>0.8809523809523809</v>
      </c>
      <c r="H40" s="127">
        <v>42</v>
      </c>
      <c r="I40" s="128">
        <v>0</v>
      </c>
      <c r="J40" s="124">
        <f t="shared" si="1"/>
        <v>42</v>
      </c>
      <c r="K40" s="144">
        <f t="shared" si="2"/>
        <v>5</v>
      </c>
      <c r="L40" s="150">
        <f t="shared" si="4"/>
        <v>1.135135135135135</v>
      </c>
    </row>
    <row r="41" spans="1:14" s="101" customFormat="1" ht="13.5">
      <c r="A41" s="514" t="s">
        <v>53</v>
      </c>
      <c r="B41" s="515"/>
      <c r="C41" s="516"/>
      <c r="D41" s="125">
        <v>154</v>
      </c>
      <c r="E41" s="126">
        <v>88</v>
      </c>
      <c r="F41" s="144">
        <f t="shared" si="0"/>
        <v>-66</v>
      </c>
      <c r="G41" s="145">
        <f t="shared" si="3"/>
        <v>0.5714285714285714</v>
      </c>
      <c r="H41" s="127">
        <v>90</v>
      </c>
      <c r="I41" s="128">
        <v>0</v>
      </c>
      <c r="J41" s="124">
        <f t="shared" si="1"/>
        <v>90</v>
      </c>
      <c r="K41" s="144">
        <f t="shared" si="2"/>
        <v>2</v>
      </c>
      <c r="L41" s="150">
        <f t="shared" si="4"/>
        <v>1.0227272727272727</v>
      </c>
      <c r="N41" s="129"/>
    </row>
    <row r="42" spans="1:12" s="101" customFormat="1" ht="13.5">
      <c r="A42" s="514" t="s">
        <v>54</v>
      </c>
      <c r="B42" s="515"/>
      <c r="C42" s="516"/>
      <c r="D42" s="125">
        <v>794</v>
      </c>
      <c r="E42" s="126">
        <v>682</v>
      </c>
      <c r="F42" s="144">
        <f t="shared" si="0"/>
        <v>-112</v>
      </c>
      <c r="G42" s="145">
        <f t="shared" si="3"/>
        <v>0.8589420654911839</v>
      </c>
      <c r="H42" s="127">
        <v>700</v>
      </c>
      <c r="I42" s="128">
        <v>0</v>
      </c>
      <c r="J42" s="124">
        <f t="shared" si="1"/>
        <v>700</v>
      </c>
      <c r="K42" s="144">
        <f t="shared" si="2"/>
        <v>18</v>
      </c>
      <c r="L42" s="150">
        <f t="shared" si="4"/>
        <v>1.0263929618768328</v>
      </c>
    </row>
    <row r="43" spans="1:14" s="101" customFormat="1" ht="13.5">
      <c r="A43" s="514" t="s">
        <v>166</v>
      </c>
      <c r="B43" s="515"/>
      <c r="C43" s="516"/>
      <c r="D43" s="125">
        <v>0</v>
      </c>
      <c r="E43" s="126">
        <v>0</v>
      </c>
      <c r="F43" s="144">
        <f t="shared" si="0"/>
        <v>0</v>
      </c>
      <c r="G43" s="145"/>
      <c r="H43" s="127">
        <v>0</v>
      </c>
      <c r="I43" s="128">
        <v>0</v>
      </c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6"/>
      <c r="D44" s="125">
        <v>0</v>
      </c>
      <c r="E44" s="126">
        <v>72</v>
      </c>
      <c r="F44" s="144">
        <f t="shared" si="0"/>
        <v>72</v>
      </c>
      <c r="G44" s="145"/>
      <c r="H44" s="127">
        <v>414</v>
      </c>
      <c r="I44" s="128">
        <v>0</v>
      </c>
      <c r="J44" s="124">
        <f t="shared" si="1"/>
        <v>414</v>
      </c>
      <c r="K44" s="144">
        <f t="shared" si="2"/>
        <v>342</v>
      </c>
      <c r="L44" s="150">
        <f t="shared" si="4"/>
        <v>5.75</v>
      </c>
    </row>
    <row r="45" spans="1:12" s="101" customFormat="1" ht="13.5">
      <c r="A45" s="514" t="s">
        <v>55</v>
      </c>
      <c r="B45" s="515"/>
      <c r="C45" s="516"/>
      <c r="D45" s="125">
        <v>2289</v>
      </c>
      <c r="E45" s="126">
        <v>404</v>
      </c>
      <c r="F45" s="144">
        <f t="shared" si="0"/>
        <v>-1885</v>
      </c>
      <c r="G45" s="145">
        <f t="shared" si="3"/>
        <v>0.1764962865880297</v>
      </c>
      <c r="H45" s="127">
        <v>73</v>
      </c>
      <c r="I45" s="128">
        <v>0</v>
      </c>
      <c r="J45" s="124">
        <f t="shared" si="1"/>
        <v>73</v>
      </c>
      <c r="K45" s="144">
        <f t="shared" si="2"/>
        <v>-331</v>
      </c>
      <c r="L45" s="150">
        <f t="shared" si="4"/>
        <v>0.1806930693069307</v>
      </c>
    </row>
    <row r="46" spans="1:14" s="101" customFormat="1" ht="13.5">
      <c r="A46" s="526" t="s">
        <v>56</v>
      </c>
      <c r="B46" s="527"/>
      <c r="C46" s="528"/>
      <c r="D46" s="125">
        <v>3275</v>
      </c>
      <c r="E46" s="126">
        <v>3675</v>
      </c>
      <c r="F46" s="144">
        <f t="shared" si="0"/>
        <v>400</v>
      </c>
      <c r="G46" s="145">
        <f t="shared" si="3"/>
        <v>1.1221374045801527</v>
      </c>
      <c r="H46" s="127">
        <v>3730</v>
      </c>
      <c r="I46" s="127">
        <v>0</v>
      </c>
      <c r="J46" s="124">
        <f t="shared" si="1"/>
        <v>3730</v>
      </c>
      <c r="K46" s="144">
        <f t="shared" si="2"/>
        <v>55</v>
      </c>
      <c r="L46" s="150">
        <f t="shared" si="4"/>
        <v>1.014965986394558</v>
      </c>
      <c r="N46" s="129"/>
    </row>
    <row r="47" spans="1:12" s="101" customFormat="1" ht="13.5">
      <c r="A47" s="514" t="s">
        <v>57</v>
      </c>
      <c r="B47" s="515"/>
      <c r="C47" s="516"/>
      <c r="D47" s="125">
        <v>1302</v>
      </c>
      <c r="E47" s="126">
        <v>1374</v>
      </c>
      <c r="F47" s="144">
        <f t="shared" si="0"/>
        <v>72</v>
      </c>
      <c r="G47" s="145">
        <f t="shared" si="3"/>
        <v>1.055299539170507</v>
      </c>
      <c r="H47" s="127">
        <v>1374</v>
      </c>
      <c r="I47" s="128">
        <v>0</v>
      </c>
      <c r="J47" s="124">
        <f t="shared" si="1"/>
        <v>1374</v>
      </c>
      <c r="K47" s="144">
        <f t="shared" si="2"/>
        <v>0</v>
      </c>
      <c r="L47" s="150">
        <f t="shared" si="4"/>
        <v>1</v>
      </c>
    </row>
    <row r="48" spans="1:12" s="101" customFormat="1" ht="13.5">
      <c r="A48" s="514" t="s">
        <v>58</v>
      </c>
      <c r="B48" s="515"/>
      <c r="C48" s="516"/>
      <c r="D48" s="125">
        <v>1096</v>
      </c>
      <c r="E48" s="126">
        <v>1320</v>
      </c>
      <c r="F48" s="144">
        <f t="shared" si="0"/>
        <v>224</v>
      </c>
      <c r="G48" s="145">
        <f t="shared" si="3"/>
        <v>1.2043795620437956</v>
      </c>
      <c r="H48" s="127">
        <v>1320</v>
      </c>
      <c r="I48" s="128">
        <v>0</v>
      </c>
      <c r="J48" s="124">
        <f t="shared" si="1"/>
        <v>1320</v>
      </c>
      <c r="K48" s="144">
        <f t="shared" si="2"/>
        <v>0</v>
      </c>
      <c r="L48" s="150">
        <f t="shared" si="4"/>
        <v>1</v>
      </c>
    </row>
    <row r="49" spans="1:12" s="101" customFormat="1" ht="13.5">
      <c r="A49" s="514" t="s">
        <v>59</v>
      </c>
      <c r="B49" s="515"/>
      <c r="C49" s="516"/>
      <c r="D49" s="125">
        <v>877</v>
      </c>
      <c r="E49" s="126">
        <v>981</v>
      </c>
      <c r="F49" s="144">
        <f t="shared" si="0"/>
        <v>104</v>
      </c>
      <c r="G49" s="145">
        <f t="shared" si="3"/>
        <v>1.1185860889395667</v>
      </c>
      <c r="H49" s="127">
        <v>1036</v>
      </c>
      <c r="I49" s="128">
        <v>0</v>
      </c>
      <c r="J49" s="124">
        <f t="shared" si="1"/>
        <v>1036</v>
      </c>
      <c r="K49" s="144">
        <f t="shared" si="2"/>
        <v>55</v>
      </c>
      <c r="L49" s="150">
        <f t="shared" si="4"/>
        <v>1.056065239551478</v>
      </c>
    </row>
    <row r="50" spans="1:12" s="101" customFormat="1" ht="13.5">
      <c r="A50" s="514" t="s">
        <v>168</v>
      </c>
      <c r="B50" s="515"/>
      <c r="C50" s="516"/>
      <c r="D50" s="125">
        <v>0</v>
      </c>
      <c r="E50" s="126">
        <v>0</v>
      </c>
      <c r="F50" s="144">
        <f t="shared" si="0"/>
        <v>0</v>
      </c>
      <c r="G50" s="145"/>
      <c r="H50" s="127">
        <v>0</v>
      </c>
      <c r="I50" s="128">
        <v>0</v>
      </c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8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>
        <v>0</v>
      </c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8"/>
      <c r="D52" s="125">
        <v>0</v>
      </c>
      <c r="E52" s="126">
        <v>0</v>
      </c>
      <c r="F52" s="144">
        <f t="shared" si="0"/>
        <v>0</v>
      </c>
      <c r="G52" s="145"/>
      <c r="H52" s="127">
        <v>0</v>
      </c>
      <c r="I52" s="128">
        <v>0</v>
      </c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8"/>
      <c r="D53" s="125">
        <v>4498</v>
      </c>
      <c r="E53" s="126">
        <v>3452</v>
      </c>
      <c r="F53" s="144">
        <f t="shared" si="0"/>
        <v>-1046</v>
      </c>
      <c r="G53" s="145">
        <f t="shared" si="3"/>
        <v>0.7674522009782125</v>
      </c>
      <c r="H53" s="127">
        <v>3320</v>
      </c>
      <c r="I53" s="128">
        <v>0</v>
      </c>
      <c r="J53" s="124">
        <v>3320</v>
      </c>
      <c r="K53" s="144">
        <f t="shared" si="2"/>
        <v>-132</v>
      </c>
      <c r="L53" s="150">
        <f t="shared" si="4"/>
        <v>0.9617612977983777</v>
      </c>
    </row>
    <row r="54" spans="1:12" s="101" customFormat="1" ht="13.5">
      <c r="A54" s="529" t="s">
        <v>63</v>
      </c>
      <c r="B54" s="530"/>
      <c r="C54" s="531"/>
      <c r="D54" s="125">
        <v>3430</v>
      </c>
      <c r="E54" s="126">
        <v>3255</v>
      </c>
      <c r="F54" s="144">
        <f t="shared" si="0"/>
        <v>-175</v>
      </c>
      <c r="G54" s="145">
        <f t="shared" si="3"/>
        <v>0.9489795918367347</v>
      </c>
      <c r="H54" s="127">
        <v>3100</v>
      </c>
      <c r="I54" s="128">
        <v>0</v>
      </c>
      <c r="J54" s="124">
        <v>3100</v>
      </c>
      <c r="K54" s="144">
        <f t="shared" si="2"/>
        <v>-155</v>
      </c>
      <c r="L54" s="150">
        <f t="shared" si="4"/>
        <v>0.9523809523809523</v>
      </c>
    </row>
    <row r="55" spans="1:12" s="101" customFormat="1" ht="13.5">
      <c r="A55" s="529" t="s">
        <v>169</v>
      </c>
      <c r="B55" s="530"/>
      <c r="C55" s="531"/>
      <c r="D55" s="125">
        <v>1045</v>
      </c>
      <c r="E55" s="126">
        <v>192</v>
      </c>
      <c r="F55" s="144">
        <f t="shared" si="0"/>
        <v>-853</v>
      </c>
      <c r="G55" s="145">
        <f t="shared" si="3"/>
        <v>0.18373205741626794</v>
      </c>
      <c r="H55" s="127">
        <v>215</v>
      </c>
      <c r="I55" s="128">
        <v>0</v>
      </c>
      <c r="J55" s="124">
        <f t="shared" si="1"/>
        <v>215</v>
      </c>
      <c r="K55" s="144">
        <f t="shared" si="2"/>
        <v>23</v>
      </c>
      <c r="L55" s="150">
        <f t="shared" si="4"/>
        <v>1.1197916666666667</v>
      </c>
    </row>
    <row r="56" spans="1:12" s="101" customFormat="1" ht="13.5">
      <c r="A56" s="529" t="s">
        <v>133</v>
      </c>
      <c r="B56" s="530"/>
      <c r="C56" s="531"/>
      <c r="D56" s="125">
        <v>23</v>
      </c>
      <c r="E56" s="126">
        <v>5</v>
      </c>
      <c r="F56" s="144">
        <f t="shared" si="0"/>
        <v>-18</v>
      </c>
      <c r="G56" s="145">
        <f t="shared" si="3"/>
        <v>0.21739130434782608</v>
      </c>
      <c r="H56" s="127">
        <v>5</v>
      </c>
      <c r="I56" s="128">
        <v>0</v>
      </c>
      <c r="J56" s="124">
        <v>5</v>
      </c>
      <c r="K56" s="144">
        <f t="shared" si="2"/>
        <v>0</v>
      </c>
      <c r="L56" s="150">
        <f t="shared" si="4"/>
        <v>1</v>
      </c>
    </row>
    <row r="57" spans="1:12" s="101" customFormat="1" ht="13.5">
      <c r="A57" s="526" t="s">
        <v>64</v>
      </c>
      <c r="B57" s="527"/>
      <c r="C57" s="528"/>
      <c r="D57" s="125">
        <v>114</v>
      </c>
      <c r="E57" s="126">
        <v>97</v>
      </c>
      <c r="F57" s="144">
        <f t="shared" si="0"/>
        <v>-17</v>
      </c>
      <c r="G57" s="145">
        <f t="shared" si="3"/>
        <v>0.8508771929824561</v>
      </c>
      <c r="H57" s="127">
        <v>97</v>
      </c>
      <c r="I57" s="128">
        <v>0</v>
      </c>
      <c r="J57" s="124">
        <f t="shared" si="1"/>
        <v>97</v>
      </c>
      <c r="K57" s="144">
        <f t="shared" si="2"/>
        <v>0</v>
      </c>
      <c r="L57" s="150">
        <f t="shared" si="4"/>
        <v>1</v>
      </c>
    </row>
    <row r="58" spans="1:12" s="101" customFormat="1" ht="13.5">
      <c r="A58" s="526" t="s">
        <v>65</v>
      </c>
      <c r="B58" s="527"/>
      <c r="C58" s="528"/>
      <c r="D58" s="125">
        <v>6</v>
      </c>
      <c r="E58" s="126">
        <v>8</v>
      </c>
      <c r="F58" s="144">
        <f t="shared" si="0"/>
        <v>2</v>
      </c>
      <c r="G58" s="145">
        <f t="shared" si="3"/>
        <v>1.3333333333333333</v>
      </c>
      <c r="H58" s="127">
        <v>8</v>
      </c>
      <c r="I58" s="128">
        <v>0</v>
      </c>
      <c r="J58" s="124">
        <f t="shared" si="1"/>
        <v>8</v>
      </c>
      <c r="K58" s="144">
        <f t="shared" si="2"/>
        <v>0</v>
      </c>
      <c r="L58" s="150">
        <f t="shared" si="4"/>
        <v>1</v>
      </c>
    </row>
    <row r="59" spans="1:14" s="101" customFormat="1" ht="13.5">
      <c r="A59" s="526" t="s">
        <v>66</v>
      </c>
      <c r="B59" s="527"/>
      <c r="C59" s="528"/>
      <c r="D59" s="125">
        <v>995</v>
      </c>
      <c r="E59" s="126">
        <v>1102</v>
      </c>
      <c r="F59" s="144">
        <f t="shared" si="0"/>
        <v>107</v>
      </c>
      <c r="G59" s="145">
        <f t="shared" si="3"/>
        <v>1.107537688442211</v>
      </c>
      <c r="H59" s="127">
        <v>1156</v>
      </c>
      <c r="I59" s="128">
        <v>0</v>
      </c>
      <c r="J59" s="124">
        <f t="shared" si="1"/>
        <v>1156</v>
      </c>
      <c r="K59" s="144">
        <f t="shared" si="2"/>
        <v>54</v>
      </c>
      <c r="L59" s="150">
        <f t="shared" si="4"/>
        <v>1.0490018148820326</v>
      </c>
      <c r="N59" s="129"/>
    </row>
    <row r="60" spans="1:12" s="101" customFormat="1" ht="13.5">
      <c r="A60" s="514" t="s">
        <v>67</v>
      </c>
      <c r="B60" s="515"/>
      <c r="C60" s="516"/>
      <c r="D60" s="125">
        <v>101</v>
      </c>
      <c r="E60" s="126">
        <v>100</v>
      </c>
      <c r="F60" s="144">
        <f t="shared" si="0"/>
        <v>-1</v>
      </c>
      <c r="G60" s="145">
        <f t="shared" si="3"/>
        <v>0.9900990099009901</v>
      </c>
      <c r="H60" s="127">
        <v>100</v>
      </c>
      <c r="I60" s="128">
        <v>0</v>
      </c>
      <c r="J60" s="124">
        <f t="shared" si="1"/>
        <v>100</v>
      </c>
      <c r="K60" s="144">
        <f t="shared" si="2"/>
        <v>0</v>
      </c>
      <c r="L60" s="150">
        <f t="shared" si="4"/>
        <v>1</v>
      </c>
    </row>
    <row r="61" spans="1:12" s="101" customFormat="1" ht="13.5">
      <c r="A61" s="514" t="s">
        <v>68</v>
      </c>
      <c r="B61" s="515"/>
      <c r="C61" s="516"/>
      <c r="D61" s="125">
        <v>45</v>
      </c>
      <c r="E61" s="126">
        <v>44</v>
      </c>
      <c r="F61" s="144">
        <f t="shared" si="0"/>
        <v>-1</v>
      </c>
      <c r="G61" s="145">
        <f t="shared" si="3"/>
        <v>0.9777777777777777</v>
      </c>
      <c r="H61" s="127">
        <v>44</v>
      </c>
      <c r="I61" s="128">
        <v>0</v>
      </c>
      <c r="J61" s="124">
        <f t="shared" si="1"/>
        <v>44</v>
      </c>
      <c r="K61" s="144">
        <f t="shared" si="2"/>
        <v>0</v>
      </c>
      <c r="L61" s="150">
        <f t="shared" si="4"/>
        <v>1</v>
      </c>
    </row>
    <row r="62" spans="1:12" s="101" customFormat="1" ht="13.5">
      <c r="A62" s="514" t="s">
        <v>69</v>
      </c>
      <c r="B62" s="515"/>
      <c r="C62" s="516"/>
      <c r="D62" s="125">
        <v>0</v>
      </c>
      <c r="E62" s="126">
        <v>0</v>
      </c>
      <c r="F62" s="144">
        <f t="shared" si="0"/>
        <v>0</v>
      </c>
      <c r="G62" s="145"/>
      <c r="H62" s="127">
        <v>0</v>
      </c>
      <c r="I62" s="128">
        <v>0</v>
      </c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6"/>
      <c r="D63" s="125">
        <v>0</v>
      </c>
      <c r="E63" s="126">
        <v>0</v>
      </c>
      <c r="F63" s="144">
        <f t="shared" si="0"/>
        <v>0</v>
      </c>
      <c r="G63" s="145"/>
      <c r="H63" s="127">
        <v>0</v>
      </c>
      <c r="I63" s="128">
        <v>0</v>
      </c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514" t="s">
        <v>71</v>
      </c>
      <c r="B64" s="515"/>
      <c r="C64" s="516"/>
      <c r="D64" s="125">
        <v>0</v>
      </c>
      <c r="E64" s="126">
        <v>0</v>
      </c>
      <c r="F64" s="144">
        <f t="shared" si="0"/>
        <v>0</v>
      </c>
      <c r="G64" s="145"/>
      <c r="H64" s="127">
        <v>0</v>
      </c>
      <c r="I64" s="128">
        <v>0</v>
      </c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6"/>
      <c r="D65" s="125">
        <v>219</v>
      </c>
      <c r="E65" s="126">
        <v>263</v>
      </c>
      <c r="F65" s="144">
        <f t="shared" si="0"/>
        <v>44</v>
      </c>
      <c r="G65" s="145">
        <f t="shared" si="3"/>
        <v>1.2009132420091324</v>
      </c>
      <c r="H65" s="127">
        <v>263</v>
      </c>
      <c r="I65" s="128">
        <v>0</v>
      </c>
      <c r="J65" s="124">
        <f t="shared" si="1"/>
        <v>263</v>
      </c>
      <c r="K65" s="144">
        <f t="shared" si="2"/>
        <v>0</v>
      </c>
      <c r="L65" s="150">
        <f t="shared" si="4"/>
        <v>1</v>
      </c>
    </row>
    <row r="66" spans="1:12" s="101" customFormat="1" ht="13.5">
      <c r="A66" s="514" t="s">
        <v>72</v>
      </c>
      <c r="B66" s="515"/>
      <c r="C66" s="516"/>
      <c r="D66" s="125">
        <v>0</v>
      </c>
      <c r="E66" s="126">
        <v>235</v>
      </c>
      <c r="F66" s="144">
        <f t="shared" si="0"/>
        <v>235</v>
      </c>
      <c r="G66" s="145"/>
      <c r="H66" s="127">
        <v>289</v>
      </c>
      <c r="I66" s="128">
        <v>0</v>
      </c>
      <c r="J66" s="124">
        <f t="shared" si="1"/>
        <v>289</v>
      </c>
      <c r="K66" s="144">
        <f t="shared" si="2"/>
        <v>54</v>
      </c>
      <c r="L66" s="150">
        <f t="shared" si="4"/>
        <v>1.2297872340425533</v>
      </c>
    </row>
    <row r="67" spans="1:12" s="101" customFormat="1" ht="13.5">
      <c r="A67" s="514" t="s">
        <v>73</v>
      </c>
      <c r="B67" s="515"/>
      <c r="C67" s="516"/>
      <c r="D67" s="125">
        <v>630</v>
      </c>
      <c r="E67" s="126">
        <v>460</v>
      </c>
      <c r="F67" s="144">
        <f t="shared" si="0"/>
        <v>-170</v>
      </c>
      <c r="G67" s="145">
        <f>E67/D67</f>
        <v>0.7301587301587301</v>
      </c>
      <c r="H67" s="127">
        <v>460</v>
      </c>
      <c r="I67" s="128">
        <v>0</v>
      </c>
      <c r="J67" s="124">
        <f t="shared" si="1"/>
        <v>460</v>
      </c>
      <c r="K67" s="144">
        <f t="shared" si="2"/>
        <v>0</v>
      </c>
      <c r="L67" s="150">
        <f t="shared" si="4"/>
        <v>1</v>
      </c>
    </row>
    <row r="68" spans="1:12" s="101" customFormat="1" ht="13.5">
      <c r="A68" s="514" t="s">
        <v>171</v>
      </c>
      <c r="B68" s="515"/>
      <c r="C68" s="516"/>
      <c r="D68" s="125">
        <v>0</v>
      </c>
      <c r="E68" s="126">
        <v>0</v>
      </c>
      <c r="F68" s="144">
        <f t="shared" si="0"/>
        <v>0</v>
      </c>
      <c r="G68" s="145"/>
      <c r="H68" s="127">
        <v>0</v>
      </c>
      <c r="I68" s="128">
        <v>0</v>
      </c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8"/>
      <c r="D69" s="125">
        <v>30777</v>
      </c>
      <c r="E69" s="126">
        <v>31753</v>
      </c>
      <c r="F69" s="144">
        <f t="shared" si="0"/>
        <v>976</v>
      </c>
      <c r="G69" s="145">
        <f t="shared" si="3"/>
        <v>1.0317119927218377</v>
      </c>
      <c r="H69" s="127">
        <v>31849</v>
      </c>
      <c r="I69" s="128">
        <v>0</v>
      </c>
      <c r="J69" s="124">
        <f t="shared" si="1"/>
        <v>31849</v>
      </c>
      <c r="K69" s="144">
        <f t="shared" si="2"/>
        <v>96</v>
      </c>
      <c r="L69" s="150">
        <f t="shared" si="4"/>
        <v>1.003023336377665</v>
      </c>
      <c r="N69" s="129"/>
    </row>
    <row r="70" spans="1:12" s="101" customFormat="1" ht="13.5">
      <c r="A70" s="514" t="s">
        <v>75</v>
      </c>
      <c r="B70" s="515"/>
      <c r="C70" s="516"/>
      <c r="D70" s="125">
        <v>22694</v>
      </c>
      <c r="E70" s="126">
        <v>23294</v>
      </c>
      <c r="F70" s="144">
        <f t="shared" si="0"/>
        <v>600</v>
      </c>
      <c r="G70" s="145">
        <f t="shared" si="3"/>
        <v>1.0264387062659734</v>
      </c>
      <c r="H70" s="127">
        <v>23340</v>
      </c>
      <c r="I70" s="128">
        <v>0</v>
      </c>
      <c r="J70" s="124">
        <f t="shared" si="1"/>
        <v>23340</v>
      </c>
      <c r="K70" s="144">
        <f t="shared" si="2"/>
        <v>46</v>
      </c>
      <c r="L70" s="150">
        <f t="shared" si="4"/>
        <v>1.00197475744827</v>
      </c>
    </row>
    <row r="71" spans="1:12" s="101" customFormat="1" ht="13.5">
      <c r="A71" s="514" t="s">
        <v>76</v>
      </c>
      <c r="B71" s="515"/>
      <c r="C71" s="516"/>
      <c r="D71" s="125">
        <v>22550</v>
      </c>
      <c r="E71" s="126">
        <v>23173</v>
      </c>
      <c r="F71" s="144">
        <f t="shared" si="0"/>
        <v>623</v>
      </c>
      <c r="G71" s="145">
        <f t="shared" si="3"/>
        <v>1.0276274944567627</v>
      </c>
      <c r="H71" s="127">
        <v>23190</v>
      </c>
      <c r="I71" s="128">
        <v>0</v>
      </c>
      <c r="J71" s="124">
        <f t="shared" si="1"/>
        <v>23190</v>
      </c>
      <c r="K71" s="144">
        <f t="shared" si="2"/>
        <v>17</v>
      </c>
      <c r="L71" s="150">
        <f t="shared" si="4"/>
        <v>1.000733612393734</v>
      </c>
    </row>
    <row r="72" spans="1:12" s="101" customFormat="1" ht="13.5">
      <c r="A72" s="514" t="s">
        <v>172</v>
      </c>
      <c r="B72" s="515"/>
      <c r="C72" s="516"/>
      <c r="D72" s="125">
        <v>22550</v>
      </c>
      <c r="E72" s="126">
        <v>23050</v>
      </c>
      <c r="F72" s="144">
        <f t="shared" si="0"/>
        <v>500</v>
      </c>
      <c r="G72" s="145">
        <f t="shared" si="3"/>
        <v>1.0221729490022173</v>
      </c>
      <c r="H72" s="127">
        <v>23050</v>
      </c>
      <c r="I72" s="128">
        <v>0</v>
      </c>
      <c r="J72" s="124">
        <f t="shared" si="1"/>
        <v>23050</v>
      </c>
      <c r="K72" s="144">
        <f t="shared" si="2"/>
        <v>0</v>
      </c>
      <c r="L72" s="150">
        <f t="shared" si="4"/>
        <v>1</v>
      </c>
    </row>
    <row r="73" spans="1:14" s="101" customFormat="1" ht="13.5">
      <c r="A73" s="514" t="s">
        <v>77</v>
      </c>
      <c r="B73" s="515"/>
      <c r="C73" s="516"/>
      <c r="D73" s="125">
        <v>144</v>
      </c>
      <c r="E73" s="126">
        <v>121</v>
      </c>
      <c r="F73" s="144">
        <f t="shared" si="0"/>
        <v>-23</v>
      </c>
      <c r="G73" s="145">
        <f t="shared" si="3"/>
        <v>0.8402777777777778</v>
      </c>
      <c r="H73" s="127">
        <v>150</v>
      </c>
      <c r="I73" s="128">
        <v>0</v>
      </c>
      <c r="J73" s="124">
        <f t="shared" si="1"/>
        <v>150</v>
      </c>
      <c r="K73" s="144">
        <f t="shared" si="2"/>
        <v>29</v>
      </c>
      <c r="L73" s="150">
        <f t="shared" si="4"/>
        <v>1.2396694214876034</v>
      </c>
      <c r="N73" s="129"/>
    </row>
    <row r="74" spans="1:12" s="101" customFormat="1" ht="13.5">
      <c r="A74" s="514" t="s">
        <v>78</v>
      </c>
      <c r="B74" s="515"/>
      <c r="C74" s="516"/>
      <c r="D74" s="125">
        <v>8083</v>
      </c>
      <c r="E74" s="126">
        <v>8459</v>
      </c>
      <c r="F74" s="144">
        <f t="shared" si="0"/>
        <v>376</v>
      </c>
      <c r="G74" s="145">
        <f t="shared" si="3"/>
        <v>1.046517382160089</v>
      </c>
      <c r="H74" s="127">
        <v>8509</v>
      </c>
      <c r="I74" s="128">
        <v>0</v>
      </c>
      <c r="J74" s="124">
        <f t="shared" si="1"/>
        <v>8509</v>
      </c>
      <c r="K74" s="144">
        <f t="shared" si="2"/>
        <v>50</v>
      </c>
      <c r="L74" s="150">
        <f t="shared" si="4"/>
        <v>1.0059108641683414</v>
      </c>
    </row>
    <row r="75" spans="1:15" s="101" customFormat="1" ht="13.5">
      <c r="A75" s="526" t="s">
        <v>79</v>
      </c>
      <c r="B75" s="527"/>
      <c r="C75" s="528"/>
      <c r="D75" s="125">
        <v>0</v>
      </c>
      <c r="E75" s="126">
        <v>0</v>
      </c>
      <c r="F75" s="144">
        <f t="shared" si="0"/>
        <v>0</v>
      </c>
      <c r="G75" s="145"/>
      <c r="H75" s="127">
        <v>0</v>
      </c>
      <c r="I75" s="128">
        <v>0</v>
      </c>
      <c r="J75" s="124">
        <f t="shared" si="1"/>
        <v>0</v>
      </c>
      <c r="K75" s="144">
        <f t="shared" si="2"/>
        <v>0</v>
      </c>
      <c r="L75" s="150"/>
      <c r="N75" s="129"/>
      <c r="O75" s="139"/>
    </row>
    <row r="76" spans="1:12" s="101" customFormat="1" ht="13.5">
      <c r="A76" s="514" t="s">
        <v>80</v>
      </c>
      <c r="B76" s="515"/>
      <c r="C76" s="516"/>
      <c r="D76" s="125">
        <v>0</v>
      </c>
      <c r="E76" s="126">
        <v>0</v>
      </c>
      <c r="F76" s="144">
        <f aca="true" t="shared" si="5" ref="F76:F90">E76-D76</f>
        <v>0</v>
      </c>
      <c r="G76" s="145"/>
      <c r="H76" s="127">
        <v>0</v>
      </c>
      <c r="I76" s="128">
        <v>0</v>
      </c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8"/>
      <c r="D77" s="125">
        <v>0</v>
      </c>
      <c r="E77" s="126">
        <v>60</v>
      </c>
      <c r="F77" s="144">
        <f t="shared" si="5"/>
        <v>60</v>
      </c>
      <c r="G77" s="145"/>
      <c r="H77" s="127">
        <v>60</v>
      </c>
      <c r="I77" s="128">
        <v>0</v>
      </c>
      <c r="J77" s="124">
        <f t="shared" si="6"/>
        <v>60</v>
      </c>
      <c r="K77" s="144">
        <f t="shared" si="7"/>
        <v>0</v>
      </c>
      <c r="L77" s="150">
        <f aca="true" t="shared" si="8" ref="L77:L88">J77/E77</f>
        <v>1</v>
      </c>
    </row>
    <row r="78" spans="1:12" s="101" customFormat="1" ht="13.5">
      <c r="A78" s="514" t="s">
        <v>82</v>
      </c>
      <c r="B78" s="515"/>
      <c r="C78" s="516"/>
      <c r="D78" s="138">
        <v>0</v>
      </c>
      <c r="E78" s="130">
        <v>0</v>
      </c>
      <c r="F78" s="144">
        <f t="shared" si="5"/>
        <v>0</v>
      </c>
      <c r="G78" s="145"/>
      <c r="H78" s="122">
        <v>0</v>
      </c>
      <c r="I78" s="123">
        <v>0</v>
      </c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6"/>
      <c r="D79" s="125">
        <v>0</v>
      </c>
      <c r="E79" s="126">
        <v>0</v>
      </c>
      <c r="F79" s="144">
        <f t="shared" si="5"/>
        <v>0</v>
      </c>
      <c r="G79" s="145"/>
      <c r="H79" s="127">
        <v>0</v>
      </c>
      <c r="I79" s="128">
        <v>0</v>
      </c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8"/>
      <c r="D80" s="125">
        <v>1180</v>
      </c>
      <c r="E80" s="126">
        <v>2888</v>
      </c>
      <c r="F80" s="144">
        <f t="shared" si="5"/>
        <v>1708</v>
      </c>
      <c r="G80" s="145">
        <f>E80/D80</f>
        <v>2.447457627118644</v>
      </c>
      <c r="H80" s="127">
        <v>1792</v>
      </c>
      <c r="I80" s="128">
        <v>0</v>
      </c>
      <c r="J80" s="124">
        <f t="shared" si="6"/>
        <v>1792</v>
      </c>
      <c r="K80" s="144">
        <f t="shared" si="7"/>
        <v>-1096</v>
      </c>
      <c r="L80" s="150">
        <f t="shared" si="8"/>
        <v>0.6204986149584487</v>
      </c>
    </row>
    <row r="81" spans="1:12" s="101" customFormat="1" ht="13.5">
      <c r="A81" s="514" t="s">
        <v>85</v>
      </c>
      <c r="B81" s="515"/>
      <c r="C81" s="516"/>
      <c r="D81" s="125">
        <v>1165</v>
      </c>
      <c r="E81" s="126">
        <v>1246</v>
      </c>
      <c r="F81" s="144">
        <f t="shared" si="5"/>
        <v>81</v>
      </c>
      <c r="G81" s="145">
        <f>E81/D81</f>
        <v>1.069527896995708</v>
      </c>
      <c r="H81" s="366">
        <v>1272</v>
      </c>
      <c r="I81" s="128">
        <v>0</v>
      </c>
      <c r="J81" s="124">
        <f t="shared" si="6"/>
        <v>1272</v>
      </c>
      <c r="K81" s="144">
        <f t="shared" si="7"/>
        <v>26</v>
      </c>
      <c r="L81" s="150">
        <f t="shared" si="8"/>
        <v>1.0208667736757624</v>
      </c>
    </row>
    <row r="82" spans="1:12" s="101" customFormat="1" ht="13.5">
      <c r="A82" s="514" t="s">
        <v>86</v>
      </c>
      <c r="B82" s="515"/>
      <c r="C82" s="516"/>
      <c r="D82" s="125">
        <v>0</v>
      </c>
      <c r="E82" s="126">
        <v>0</v>
      </c>
      <c r="F82" s="144">
        <f t="shared" si="5"/>
        <v>0</v>
      </c>
      <c r="G82" s="145"/>
      <c r="H82" s="127">
        <v>0</v>
      </c>
      <c r="I82" s="128">
        <v>0</v>
      </c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514" t="s">
        <v>173</v>
      </c>
      <c r="B83" s="515"/>
      <c r="C83" s="516"/>
      <c r="D83" s="125">
        <v>15</v>
      </c>
      <c r="E83" s="126">
        <v>0</v>
      </c>
      <c r="F83" s="144">
        <f t="shared" si="5"/>
        <v>-15</v>
      </c>
      <c r="G83" s="145">
        <f>E83/D83</f>
        <v>0</v>
      </c>
      <c r="H83" s="127">
        <v>0</v>
      </c>
      <c r="I83" s="128">
        <v>0</v>
      </c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6"/>
      <c r="D84" s="125">
        <v>0</v>
      </c>
      <c r="E84" s="126">
        <v>1642</v>
      </c>
      <c r="F84" s="144">
        <f t="shared" si="5"/>
        <v>1642</v>
      </c>
      <c r="G84" s="145"/>
      <c r="H84" s="127">
        <v>520</v>
      </c>
      <c r="I84" s="128">
        <v>0</v>
      </c>
      <c r="J84" s="124">
        <f t="shared" si="6"/>
        <v>520</v>
      </c>
      <c r="K84" s="144">
        <f t="shared" si="7"/>
        <v>-1122</v>
      </c>
      <c r="L84" s="150">
        <f t="shared" si="8"/>
        <v>0.3166869671132765</v>
      </c>
    </row>
    <row r="85" spans="1:12" s="101" customFormat="1" ht="13.5">
      <c r="A85" s="514" t="s">
        <v>174</v>
      </c>
      <c r="B85" s="515"/>
      <c r="C85" s="516"/>
      <c r="D85" s="125">
        <v>0</v>
      </c>
      <c r="E85" s="126">
        <v>754</v>
      </c>
      <c r="F85" s="144">
        <f t="shared" si="5"/>
        <v>754</v>
      </c>
      <c r="G85" s="145"/>
      <c r="H85" s="127">
        <v>520</v>
      </c>
      <c r="I85" s="128">
        <v>0</v>
      </c>
      <c r="J85" s="124">
        <f t="shared" si="6"/>
        <v>520</v>
      </c>
      <c r="K85" s="144">
        <f t="shared" si="7"/>
        <v>-234</v>
      </c>
      <c r="L85" s="150">
        <f t="shared" si="8"/>
        <v>0.6896551724137931</v>
      </c>
    </row>
    <row r="86" spans="1:14" s="101" customFormat="1" ht="13.5">
      <c r="A86" s="514" t="s">
        <v>175</v>
      </c>
      <c r="B86" s="515"/>
      <c r="C86" s="516"/>
      <c r="D86" s="125">
        <v>0</v>
      </c>
      <c r="E86" s="126">
        <v>32</v>
      </c>
      <c r="F86" s="144">
        <f t="shared" si="5"/>
        <v>32</v>
      </c>
      <c r="G86" s="145"/>
      <c r="H86" s="127">
        <v>0</v>
      </c>
      <c r="I86" s="128">
        <v>0</v>
      </c>
      <c r="J86" s="124">
        <f t="shared" si="6"/>
        <v>0</v>
      </c>
      <c r="K86" s="144">
        <f t="shared" si="7"/>
        <v>-32</v>
      </c>
      <c r="L86" s="150">
        <f t="shared" si="8"/>
        <v>0</v>
      </c>
      <c r="N86" s="129"/>
    </row>
    <row r="87" spans="1:12" s="101" customFormat="1" ht="13.5">
      <c r="A87" s="526" t="s">
        <v>88</v>
      </c>
      <c r="B87" s="527"/>
      <c r="C87" s="528"/>
      <c r="D87" s="125">
        <v>117</v>
      </c>
      <c r="E87" s="126">
        <v>1</v>
      </c>
      <c r="F87" s="144">
        <f t="shared" si="5"/>
        <v>-116</v>
      </c>
      <c r="G87" s="145">
        <f>E87/D87</f>
        <v>0.008547008547008548</v>
      </c>
      <c r="H87" s="127">
        <v>1</v>
      </c>
      <c r="I87" s="128">
        <v>0</v>
      </c>
      <c r="J87" s="124">
        <f t="shared" si="6"/>
        <v>1</v>
      </c>
      <c r="K87" s="144">
        <f t="shared" si="7"/>
        <v>0</v>
      </c>
      <c r="L87" s="150">
        <f t="shared" si="8"/>
        <v>1</v>
      </c>
    </row>
    <row r="88" spans="1:12" s="101" customFormat="1" ht="13.5">
      <c r="A88" s="514" t="s">
        <v>89</v>
      </c>
      <c r="B88" s="515"/>
      <c r="C88" s="516"/>
      <c r="D88" s="125">
        <v>117</v>
      </c>
      <c r="E88" s="126">
        <v>1</v>
      </c>
      <c r="F88" s="144">
        <f t="shared" si="5"/>
        <v>-116</v>
      </c>
      <c r="G88" s="145">
        <f>E88/D88</f>
        <v>0.008547008547008548</v>
      </c>
      <c r="H88" s="127">
        <v>1</v>
      </c>
      <c r="I88" s="128">
        <v>0</v>
      </c>
      <c r="J88" s="124">
        <f t="shared" si="6"/>
        <v>1</v>
      </c>
      <c r="K88" s="144">
        <f t="shared" si="7"/>
        <v>0</v>
      </c>
      <c r="L88" s="150">
        <f t="shared" si="8"/>
        <v>1</v>
      </c>
    </row>
    <row r="89" spans="1:14" s="101" customFormat="1" ht="13.5">
      <c r="A89" s="526" t="s">
        <v>90</v>
      </c>
      <c r="B89" s="527"/>
      <c r="C89" s="528"/>
      <c r="D89" s="125">
        <v>0</v>
      </c>
      <c r="E89" s="126">
        <v>0</v>
      </c>
      <c r="F89" s="144">
        <f t="shared" si="5"/>
        <v>0</v>
      </c>
      <c r="G89" s="145"/>
      <c r="H89" s="127">
        <v>0</v>
      </c>
      <c r="I89" s="128">
        <v>0</v>
      </c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32"/>
      <c r="D90" s="102">
        <v>0</v>
      </c>
      <c r="E90" s="140">
        <v>0</v>
      </c>
      <c r="F90" s="144">
        <f t="shared" si="5"/>
        <v>0</v>
      </c>
      <c r="G90" s="145"/>
      <c r="H90" s="127">
        <v>0</v>
      </c>
      <c r="I90" s="128">
        <v>0</v>
      </c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49857</v>
      </c>
      <c r="E91" s="178">
        <v>50165</v>
      </c>
      <c r="F91" s="179"/>
      <c r="G91" s="179"/>
      <c r="H91" s="180">
        <v>49305</v>
      </c>
      <c r="I91" s="180">
        <v>0</v>
      </c>
      <c r="J91" s="181">
        <v>49305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v>10</v>
      </c>
      <c r="E92" s="184">
        <v>0</v>
      </c>
      <c r="F92" s="185"/>
      <c r="G92" s="185"/>
      <c r="H92" s="184">
        <v>0</v>
      </c>
      <c r="I92" s="184">
        <v>0</v>
      </c>
      <c r="J92" s="186">
        <v>0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4.25" customHeight="1" thickBot="1">
      <c r="A94" s="416" t="s">
        <v>178</v>
      </c>
      <c r="B94" s="417"/>
      <c r="C94" s="420" t="s">
        <v>104</v>
      </c>
      <c r="D94" s="42"/>
      <c r="E94" s="425" t="s">
        <v>179</v>
      </c>
      <c r="F94" s="426"/>
      <c r="G94" s="426"/>
      <c r="H94" s="426"/>
      <c r="I94" s="429" t="s">
        <v>104</v>
      </c>
      <c r="J94" s="43"/>
      <c r="K94" s="43"/>
      <c r="L94" s="43"/>
      <c r="M94" s="43"/>
      <c r="N94" s="43"/>
    </row>
    <row r="95" spans="1:14" ht="14.25" thickBot="1">
      <c r="A95" s="418"/>
      <c r="B95" s="419"/>
      <c r="C95" s="421"/>
      <c r="D95" s="42"/>
      <c r="E95" s="427"/>
      <c r="F95" s="428"/>
      <c r="G95" s="428"/>
      <c r="H95" s="428"/>
      <c r="I95" s="430"/>
      <c r="J95" s="43"/>
      <c r="K95" s="43"/>
      <c r="L95" s="43"/>
      <c r="M95" s="43"/>
      <c r="N95" s="43"/>
    </row>
    <row r="96" spans="1:14" ht="14.25" thickBot="1">
      <c r="A96" s="539" t="s">
        <v>293</v>
      </c>
      <c r="B96" s="540"/>
      <c r="C96" s="369">
        <v>740</v>
      </c>
      <c r="D96" s="92"/>
      <c r="E96" s="544" t="s">
        <v>296</v>
      </c>
      <c r="F96" s="545"/>
      <c r="G96" s="545"/>
      <c r="H96" s="546"/>
      <c r="I96" s="221">
        <v>970</v>
      </c>
      <c r="J96" s="43"/>
      <c r="K96" s="43"/>
      <c r="L96" s="43"/>
      <c r="M96" s="43"/>
      <c r="N96" s="38" t="s">
        <v>105</v>
      </c>
    </row>
    <row r="97" spans="1:14" ht="13.5">
      <c r="A97" s="539" t="s">
        <v>294</v>
      </c>
      <c r="B97" s="540"/>
      <c r="C97" s="109">
        <v>300</v>
      </c>
      <c r="D97" s="92"/>
      <c r="E97" s="541" t="s">
        <v>297</v>
      </c>
      <c r="F97" s="542"/>
      <c r="G97" s="542"/>
      <c r="H97" s="543"/>
      <c r="I97" s="222">
        <v>860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539" t="s">
        <v>295</v>
      </c>
      <c r="B98" s="540"/>
      <c r="C98" s="109">
        <v>100</v>
      </c>
      <c r="D98" s="92"/>
      <c r="E98" s="541" t="s">
        <v>298</v>
      </c>
      <c r="F98" s="542"/>
      <c r="G98" s="542"/>
      <c r="H98" s="543"/>
      <c r="I98" s="222">
        <v>220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539"/>
      <c r="B99" s="540"/>
      <c r="C99" s="109"/>
      <c r="D99" s="92"/>
      <c r="E99" s="541" t="s">
        <v>299</v>
      </c>
      <c r="F99" s="542"/>
      <c r="G99" s="542"/>
      <c r="H99" s="543"/>
      <c r="I99" s="222">
        <v>350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539"/>
      <c r="B100" s="540"/>
      <c r="C100" s="109"/>
      <c r="D100" s="92"/>
      <c r="E100" s="541" t="s">
        <v>300</v>
      </c>
      <c r="F100" s="542"/>
      <c r="G100" s="542"/>
      <c r="H100" s="543"/>
      <c r="I100" s="223">
        <v>190</v>
      </c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539"/>
      <c r="B101" s="540"/>
      <c r="C101" s="109"/>
      <c r="D101" s="92"/>
      <c r="E101" s="541" t="s">
        <v>301</v>
      </c>
      <c r="F101" s="542"/>
      <c r="G101" s="542"/>
      <c r="H101" s="543"/>
      <c r="I101" s="223">
        <v>350</v>
      </c>
      <c r="J101" s="43"/>
      <c r="K101" s="43"/>
      <c r="L101" s="43"/>
      <c r="M101" s="43"/>
      <c r="N101" s="43"/>
    </row>
    <row r="102" spans="1:14" ht="13.5">
      <c r="A102" s="539"/>
      <c r="B102" s="540"/>
      <c r="C102" s="109"/>
      <c r="D102" s="35"/>
      <c r="E102" s="541" t="s">
        <v>302</v>
      </c>
      <c r="F102" s="542"/>
      <c r="G102" s="542"/>
      <c r="H102" s="543"/>
      <c r="I102" s="222">
        <v>220</v>
      </c>
      <c r="J102" s="43"/>
      <c r="K102" s="43"/>
      <c r="L102" s="43"/>
      <c r="M102" s="43"/>
      <c r="N102" s="43"/>
    </row>
    <row r="103" spans="1:14" ht="14.25" thickBot="1">
      <c r="A103" s="539"/>
      <c r="B103" s="540"/>
      <c r="C103" s="217"/>
      <c r="D103" s="35"/>
      <c r="E103" s="547" t="s">
        <v>303</v>
      </c>
      <c r="F103" s="548"/>
      <c r="G103" s="548"/>
      <c r="H103" s="549"/>
      <c r="I103" s="224">
        <v>160</v>
      </c>
      <c r="J103" s="43"/>
      <c r="K103" s="43"/>
      <c r="L103" s="43"/>
      <c r="M103" s="43"/>
      <c r="N103" s="43"/>
    </row>
    <row r="104" spans="1:14" ht="14.25" thickBot="1">
      <c r="A104" s="445" t="s">
        <v>97</v>
      </c>
      <c r="B104" s="446"/>
      <c r="C104" s="202">
        <f>SUM(C96:C102)</f>
        <v>1140</v>
      </c>
      <c r="D104" s="59"/>
      <c r="E104" s="447" t="s">
        <v>97</v>
      </c>
      <c r="F104" s="448"/>
      <c r="G104" s="448"/>
      <c r="H104" s="448"/>
      <c r="I104" s="203">
        <f>SUM(I96:I103)</f>
        <v>3320</v>
      </c>
      <c r="J104" s="43"/>
      <c r="K104" s="43"/>
      <c r="L104" s="43"/>
      <c r="M104" s="43"/>
      <c r="N104" s="61"/>
    </row>
    <row r="105" spans="1:5" s="34" customFormat="1" ht="13.5" customHeight="1">
      <c r="A105" s="59"/>
      <c r="B105" s="62"/>
      <c r="C105" s="62"/>
      <c r="D105" s="62"/>
      <c r="E105" s="62"/>
    </row>
    <row r="106" spans="1:12" s="34" customFormat="1" ht="14.25" thickBot="1">
      <c r="A106" s="63" t="s">
        <v>181</v>
      </c>
      <c r="B106" s="36"/>
      <c r="C106" s="36"/>
      <c r="D106" s="36"/>
      <c r="E106" s="39"/>
      <c r="F106" s="41"/>
      <c r="G106" s="41"/>
      <c r="H106" s="35"/>
      <c r="I106" s="36"/>
      <c r="J106" s="36" t="s">
        <v>110</v>
      </c>
      <c r="K106" s="36"/>
      <c r="L106" s="39"/>
    </row>
    <row r="107" spans="1:11" s="34" customFormat="1" ht="13.5">
      <c r="A107" s="449" t="s">
        <v>111</v>
      </c>
      <c r="B107" s="452" t="s">
        <v>248</v>
      </c>
      <c r="C107" s="459" t="s">
        <v>182</v>
      </c>
      <c r="D107" s="460"/>
      <c r="E107" s="460"/>
      <c r="F107" s="460"/>
      <c r="G107" s="460"/>
      <c r="H107" s="460"/>
      <c r="I107" s="460"/>
      <c r="J107" s="461"/>
      <c r="K107" s="455" t="s">
        <v>183</v>
      </c>
    </row>
    <row r="108" spans="1:11" s="34" customFormat="1" ht="13.5">
      <c r="A108" s="450"/>
      <c r="B108" s="453"/>
      <c r="C108" s="458" t="s">
        <v>112</v>
      </c>
      <c r="D108" s="462" t="s">
        <v>113</v>
      </c>
      <c r="E108" s="462"/>
      <c r="F108" s="462"/>
      <c r="G108" s="462"/>
      <c r="H108" s="462"/>
      <c r="I108" s="462"/>
      <c r="J108" s="463"/>
      <c r="K108" s="456"/>
    </row>
    <row r="109" spans="1:12" s="34" customFormat="1" ht="14.25" thickBot="1">
      <c r="A109" s="451"/>
      <c r="B109" s="454"/>
      <c r="C109" s="458"/>
      <c r="D109" s="164">
        <v>1</v>
      </c>
      <c r="E109" s="164">
        <v>2</v>
      </c>
      <c r="F109" s="164">
        <v>3</v>
      </c>
      <c r="G109" s="164">
        <v>4</v>
      </c>
      <c r="H109" s="164">
        <v>5</v>
      </c>
      <c r="I109" s="164">
        <v>6</v>
      </c>
      <c r="J109" s="165">
        <v>7</v>
      </c>
      <c r="K109" s="457"/>
      <c r="L109" s="71"/>
    </row>
    <row r="110" spans="1:11" s="34" customFormat="1" ht="14.25" thickBot="1">
      <c r="A110" s="64">
        <v>87863.061</v>
      </c>
      <c r="B110" s="65">
        <v>16659.7</v>
      </c>
      <c r="C110" s="364">
        <f>SUM(D110:J110)</f>
        <v>1271.632</v>
      </c>
      <c r="D110" s="167">
        <v>113.457</v>
      </c>
      <c r="E110" s="167">
        <v>376</v>
      </c>
      <c r="F110" s="167">
        <v>0</v>
      </c>
      <c r="G110" s="167">
        <v>0</v>
      </c>
      <c r="H110" s="167">
        <v>0.775</v>
      </c>
      <c r="I110" s="168">
        <v>0</v>
      </c>
      <c r="J110" s="225">
        <v>781.4</v>
      </c>
      <c r="K110" s="163">
        <v>1271.79</v>
      </c>
    </row>
    <row r="111" spans="1:5" s="34" customFormat="1" ht="13.5">
      <c r="A111" s="59"/>
      <c r="B111" s="62"/>
      <c r="C111" s="62"/>
      <c r="D111" s="62"/>
      <c r="E111" s="62"/>
    </row>
    <row r="112" spans="1:8" s="34" customFormat="1" ht="14.25" thickBot="1">
      <c r="A112" s="63" t="s">
        <v>184</v>
      </c>
      <c r="C112" s="36"/>
      <c r="D112" s="36"/>
      <c r="E112" s="36"/>
      <c r="F112" s="36" t="s">
        <v>110</v>
      </c>
      <c r="G112" s="41"/>
      <c r="H112" s="35"/>
    </row>
    <row r="113" spans="1:6" s="34" customFormat="1" ht="15" customHeight="1" thickBot="1">
      <c r="A113" s="467" t="s">
        <v>114</v>
      </c>
      <c r="B113" s="469" t="s">
        <v>188</v>
      </c>
      <c r="C113" s="188" t="s">
        <v>185</v>
      </c>
      <c r="D113" s="189"/>
      <c r="E113" s="189"/>
      <c r="F113" s="190"/>
    </row>
    <row r="114" spans="1:6" s="34" customFormat="1" ht="27.75" thickBot="1">
      <c r="A114" s="468"/>
      <c r="B114" s="469"/>
      <c r="C114" s="67" t="s">
        <v>186</v>
      </c>
      <c r="D114" s="66" t="s">
        <v>115</v>
      </c>
      <c r="E114" s="67" t="s">
        <v>116</v>
      </c>
      <c r="F114" s="191" t="s">
        <v>187</v>
      </c>
    </row>
    <row r="115" spans="1:6" s="34" customFormat="1" ht="13.5">
      <c r="A115" s="192" t="s">
        <v>117</v>
      </c>
      <c r="B115" s="218">
        <v>2576.6</v>
      </c>
      <c r="C115" s="68" t="s">
        <v>118</v>
      </c>
      <c r="D115" s="69" t="s">
        <v>118</v>
      </c>
      <c r="E115" s="69" t="s">
        <v>118</v>
      </c>
      <c r="F115" s="193" t="s">
        <v>118</v>
      </c>
    </row>
    <row r="116" spans="1:13" s="34" customFormat="1" ht="13.5">
      <c r="A116" s="194" t="s">
        <v>119</v>
      </c>
      <c r="B116" s="219">
        <v>0</v>
      </c>
      <c r="C116" s="197">
        <v>0</v>
      </c>
      <c r="D116" s="106">
        <v>0</v>
      </c>
      <c r="E116" s="106">
        <v>0</v>
      </c>
      <c r="F116" s="198">
        <f>C116-E116</f>
        <v>0</v>
      </c>
      <c r="M116" s="71"/>
    </row>
    <row r="117" spans="1:13" s="34" customFormat="1" ht="13.5">
      <c r="A117" s="194" t="s">
        <v>120</v>
      </c>
      <c r="B117" s="219">
        <v>90</v>
      </c>
      <c r="C117" s="197">
        <f>77+13</f>
        <v>90</v>
      </c>
      <c r="D117" s="106">
        <v>0</v>
      </c>
      <c r="E117" s="106">
        <v>13</v>
      </c>
      <c r="F117" s="198">
        <f>C117+D117-E117</f>
        <v>77</v>
      </c>
      <c r="M117" s="71"/>
    </row>
    <row r="118" spans="1:13" s="34" customFormat="1" ht="13.5">
      <c r="A118" s="194" t="s">
        <v>121</v>
      </c>
      <c r="B118" s="219">
        <v>62</v>
      </c>
      <c r="C118" s="72">
        <v>62</v>
      </c>
      <c r="D118" s="206">
        <v>1272</v>
      </c>
      <c r="E118" s="206">
        <v>1140</v>
      </c>
      <c r="F118" s="198">
        <f>C118+D118-E118</f>
        <v>194</v>
      </c>
      <c r="M118" s="71"/>
    </row>
    <row r="119" spans="1:13" s="34" customFormat="1" ht="13.5">
      <c r="A119" s="194" t="s">
        <v>122</v>
      </c>
      <c r="B119" s="219">
        <f>B115-B116-B117-B118</f>
        <v>2424.6</v>
      </c>
      <c r="C119" s="74" t="s">
        <v>118</v>
      </c>
      <c r="D119" s="75" t="s">
        <v>118</v>
      </c>
      <c r="E119" s="76" t="s">
        <v>118</v>
      </c>
      <c r="F119" s="195" t="s">
        <v>118</v>
      </c>
      <c r="M119" s="71"/>
    </row>
    <row r="120" spans="1:13" s="34" customFormat="1" ht="14.25" thickBot="1">
      <c r="A120" s="196" t="s">
        <v>123</v>
      </c>
      <c r="B120" s="220">
        <v>25.4</v>
      </c>
      <c r="C120" s="199">
        <v>34</v>
      </c>
      <c r="D120" s="200">
        <v>232</v>
      </c>
      <c r="E120" s="207">
        <v>230</v>
      </c>
      <c r="F120" s="201">
        <f>C120+D120-E120</f>
        <v>36</v>
      </c>
      <c r="M120" s="71"/>
    </row>
    <row r="121" spans="1:15" s="34" customFormat="1" ht="13.5">
      <c r="A121" s="35"/>
      <c r="B121" s="36"/>
      <c r="C121" s="36"/>
      <c r="D121" s="37"/>
      <c r="E121" s="38"/>
      <c r="F121" s="36"/>
      <c r="G121" s="36"/>
      <c r="H121" s="39"/>
      <c r="I121" s="40"/>
      <c r="J121" s="41"/>
      <c r="K121" s="35"/>
      <c r="L121" s="36"/>
      <c r="M121" s="36"/>
      <c r="N121" s="36"/>
      <c r="O121" s="39"/>
    </row>
    <row r="122" spans="1:11" ht="13.5">
      <c r="A122" s="63"/>
      <c r="K122" s="36"/>
    </row>
    <row r="123" spans="1:11" ht="14.25" thickBot="1">
      <c r="A123" s="63" t="s">
        <v>189</v>
      </c>
      <c r="K123" s="36" t="s">
        <v>110</v>
      </c>
    </row>
    <row r="124" spans="1:11" ht="13.5">
      <c r="A124" s="464" t="s">
        <v>124</v>
      </c>
      <c r="B124" s="465"/>
      <c r="C124" s="466"/>
      <c r="D124" s="78"/>
      <c r="E124" s="464" t="s">
        <v>125</v>
      </c>
      <c r="F124" s="465"/>
      <c r="G124" s="466"/>
      <c r="I124" s="464" t="s">
        <v>126</v>
      </c>
      <c r="J124" s="465"/>
      <c r="K124" s="466"/>
    </row>
    <row r="125" spans="1:11" ht="14.25" thickBot="1">
      <c r="A125" s="79" t="s">
        <v>127</v>
      </c>
      <c r="B125" s="80" t="s">
        <v>128</v>
      </c>
      <c r="C125" s="81" t="s">
        <v>129</v>
      </c>
      <c r="D125" s="78"/>
      <c r="E125" s="82"/>
      <c r="F125" s="470" t="s">
        <v>130</v>
      </c>
      <c r="G125" s="471"/>
      <c r="I125" s="79"/>
      <c r="J125" s="80" t="s">
        <v>131</v>
      </c>
      <c r="K125" s="81" t="s">
        <v>129</v>
      </c>
    </row>
    <row r="126" spans="1:11" ht="13.5">
      <c r="A126" s="83">
        <v>2012</v>
      </c>
      <c r="B126" s="84">
        <v>105</v>
      </c>
      <c r="C126" s="85">
        <v>105</v>
      </c>
      <c r="D126" s="37"/>
      <c r="E126" s="83">
        <v>2012</v>
      </c>
      <c r="F126" s="472">
        <v>195</v>
      </c>
      <c r="G126" s="473"/>
      <c r="I126" s="83">
        <v>2012</v>
      </c>
      <c r="J126" s="84">
        <v>23050</v>
      </c>
      <c r="K126" s="85">
        <v>23050</v>
      </c>
    </row>
    <row r="127" spans="1:11" ht="14.25" thickBot="1">
      <c r="A127" s="86">
        <v>2013</v>
      </c>
      <c r="B127" s="87">
        <v>105</v>
      </c>
      <c r="C127" s="88" t="s">
        <v>92</v>
      </c>
      <c r="D127" s="37"/>
      <c r="E127" s="86">
        <v>2013</v>
      </c>
      <c r="F127" s="388">
        <v>195</v>
      </c>
      <c r="G127" s="389"/>
      <c r="I127" s="86">
        <v>2013</v>
      </c>
      <c r="J127" s="87">
        <v>23050</v>
      </c>
      <c r="K127" s="88" t="s">
        <v>92</v>
      </c>
    </row>
    <row r="128" ht="13.5">
      <c r="D128" s="37"/>
    </row>
    <row r="129" ht="13.5">
      <c r="D129" s="78"/>
    </row>
    <row r="130" ht="13.5">
      <c r="D130" s="78"/>
    </row>
    <row r="131" ht="13.5">
      <c r="D131" s="37"/>
    </row>
    <row r="132" ht="13.5">
      <c r="D132" s="37"/>
    </row>
  </sheetData>
  <sheetProtection selectLockedCells="1" selectUnlockedCells="1"/>
  <mergeCells count="129">
    <mergeCell ref="E104:H104"/>
    <mergeCell ref="A103:B103"/>
    <mergeCell ref="A104:B104"/>
    <mergeCell ref="A91:C91"/>
    <mergeCell ref="E98:H98"/>
    <mergeCell ref="E100:H100"/>
    <mergeCell ref="A102:B102"/>
    <mergeCell ref="E102:H102"/>
    <mergeCell ref="A98:B98"/>
    <mergeCell ref="A99:B99"/>
    <mergeCell ref="A100:B100"/>
    <mergeCell ref="A101:B101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  <mergeCell ref="B107:B109"/>
    <mergeCell ref="C107:J107"/>
    <mergeCell ref="A92:C92"/>
    <mergeCell ref="A94:B95"/>
    <mergeCell ref="C94:C95"/>
    <mergeCell ref="E94:H95"/>
    <mergeCell ref="I94:I95"/>
    <mergeCell ref="A96:B96"/>
    <mergeCell ref="E96:H96"/>
    <mergeCell ref="E103:H103"/>
    <mergeCell ref="A113:A114"/>
    <mergeCell ref="B113:B114"/>
    <mergeCell ref="A124:C124"/>
    <mergeCell ref="E124:G124"/>
    <mergeCell ref="I124:K124"/>
    <mergeCell ref="A97:B97"/>
    <mergeCell ref="E97:H97"/>
    <mergeCell ref="E99:H99"/>
    <mergeCell ref="E101:H101"/>
    <mergeCell ref="A107:A109"/>
    <mergeCell ref="F125:G125"/>
    <mergeCell ref="F126:G126"/>
    <mergeCell ref="F127:G127"/>
    <mergeCell ref="K107:K109"/>
    <mergeCell ref="C108:C109"/>
    <mergeCell ref="D108:J108"/>
  </mergeCells>
  <printOptions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1" r:id="rId1"/>
  <headerFooter alignWithMargins="0">
    <oddFooter>&amp;C&amp;"Arial CE,Běžné"&amp;P</oddFooter>
  </headerFooter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T129"/>
  <sheetViews>
    <sheetView view="pageBreakPreview" zoomScale="70" zoomScaleNormal="90" zoomScaleSheetLayoutView="70" zoomScalePageLayoutView="0" workbookViewId="0" topLeftCell="A10">
      <selection activeCell="M22" sqref="M22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15.851562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141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90"/>
      <c r="D4" s="497" t="s">
        <v>157</v>
      </c>
      <c r="E4" s="500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3"/>
      <c r="D5" s="498"/>
      <c r="E5" s="501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6"/>
      <c r="D6" s="499"/>
      <c r="E6" s="502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10"/>
      <c r="D7" s="121">
        <v>30075</v>
      </c>
      <c r="E7" s="121">
        <v>30275</v>
      </c>
      <c r="F7" s="154">
        <f>E7-D7</f>
        <v>200</v>
      </c>
      <c r="G7" s="145">
        <f>E7/D7</f>
        <v>1.0066500415627597</v>
      </c>
      <c r="H7" s="122">
        <v>31136</v>
      </c>
      <c r="I7" s="123"/>
      <c r="J7" s="156">
        <f>H7+I7</f>
        <v>31136</v>
      </c>
      <c r="K7" s="144">
        <f>J7-E7</f>
        <v>861</v>
      </c>
      <c r="L7" s="150">
        <f>J7/E7</f>
        <v>1.0284393063583814</v>
      </c>
    </row>
    <row r="8" spans="1:12" s="101" customFormat="1" ht="13.5">
      <c r="A8" s="511" t="s">
        <v>25</v>
      </c>
      <c r="B8" s="512"/>
      <c r="C8" s="513"/>
      <c r="D8" s="125"/>
      <c r="E8" s="125"/>
      <c r="F8" s="154">
        <f aca="true" t="shared" si="0" ref="F8:F75">E8-D8</f>
        <v>0</v>
      </c>
      <c r="G8" s="145"/>
      <c r="H8" s="127"/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3"/>
      <c r="D9" s="125">
        <v>30064</v>
      </c>
      <c r="E9" s="125">
        <v>30264</v>
      </c>
      <c r="F9" s="154">
        <f t="shared" si="0"/>
        <v>200</v>
      </c>
      <c r="G9" s="145">
        <f aca="true" t="shared" si="3" ref="G9:G75">E9/D9</f>
        <v>1.006652474720596</v>
      </c>
      <c r="H9" s="127">
        <v>31125</v>
      </c>
      <c r="I9" s="128"/>
      <c r="J9" s="156">
        <f t="shared" si="1"/>
        <v>31125</v>
      </c>
      <c r="K9" s="144">
        <f t="shared" si="2"/>
        <v>861</v>
      </c>
      <c r="L9" s="150">
        <f aca="true" t="shared" si="4" ref="L9:L75">J9/E9</f>
        <v>1.0284496431403647</v>
      </c>
    </row>
    <row r="10" spans="1:12" s="101" customFormat="1" ht="13.5">
      <c r="A10" s="514" t="s">
        <v>27</v>
      </c>
      <c r="B10" s="515"/>
      <c r="C10" s="516"/>
      <c r="D10" s="125">
        <v>16160</v>
      </c>
      <c r="E10" s="125">
        <v>17422</v>
      </c>
      <c r="F10" s="154">
        <f t="shared" si="0"/>
        <v>1262</v>
      </c>
      <c r="G10" s="145">
        <f t="shared" si="3"/>
        <v>1.0780940594059405</v>
      </c>
      <c r="H10" s="127">
        <v>17920</v>
      </c>
      <c r="I10" s="128"/>
      <c r="J10" s="156">
        <f t="shared" si="1"/>
        <v>17920</v>
      </c>
      <c r="K10" s="144">
        <f t="shared" si="2"/>
        <v>498</v>
      </c>
      <c r="L10" s="150">
        <f t="shared" si="4"/>
        <v>1.0285845482722993</v>
      </c>
    </row>
    <row r="11" spans="1:12" s="101" customFormat="1" ht="13.5">
      <c r="A11" s="514" t="s">
        <v>28</v>
      </c>
      <c r="B11" s="515"/>
      <c r="C11" s="516"/>
      <c r="D11" s="125">
        <v>11679</v>
      </c>
      <c r="E11" s="125">
        <v>10931</v>
      </c>
      <c r="F11" s="154">
        <f t="shared" si="0"/>
        <v>-748</v>
      </c>
      <c r="G11" s="145">
        <f t="shared" si="3"/>
        <v>0.9359534206695779</v>
      </c>
      <c r="H11" s="127">
        <v>11350</v>
      </c>
      <c r="I11" s="128"/>
      <c r="J11" s="156">
        <f t="shared" si="1"/>
        <v>11350</v>
      </c>
      <c r="K11" s="144">
        <f t="shared" si="2"/>
        <v>419</v>
      </c>
      <c r="L11" s="150">
        <f t="shared" si="4"/>
        <v>1.0383313512030006</v>
      </c>
    </row>
    <row r="12" spans="1:12" s="101" customFormat="1" ht="13.5">
      <c r="A12" s="514" t="s">
        <v>29</v>
      </c>
      <c r="B12" s="515"/>
      <c r="C12" s="516"/>
      <c r="D12" s="125">
        <v>18</v>
      </c>
      <c r="E12" s="125">
        <v>12</v>
      </c>
      <c r="F12" s="154">
        <f t="shared" si="0"/>
        <v>-6</v>
      </c>
      <c r="G12" s="145">
        <f t="shared" si="3"/>
        <v>0.6666666666666666</v>
      </c>
      <c r="H12" s="127">
        <v>12</v>
      </c>
      <c r="I12" s="128"/>
      <c r="J12" s="156">
        <f t="shared" si="1"/>
        <v>12</v>
      </c>
      <c r="K12" s="144">
        <f t="shared" si="2"/>
        <v>0</v>
      </c>
      <c r="L12" s="150">
        <f t="shared" si="4"/>
        <v>1</v>
      </c>
    </row>
    <row r="13" spans="1:12" s="101" customFormat="1" ht="13.5">
      <c r="A13" s="514" t="s">
        <v>30</v>
      </c>
      <c r="B13" s="515"/>
      <c r="C13" s="516"/>
      <c r="D13" s="125">
        <v>1821</v>
      </c>
      <c r="E13" s="125">
        <v>1202</v>
      </c>
      <c r="F13" s="154">
        <f t="shared" si="0"/>
        <v>-619</v>
      </c>
      <c r="G13" s="145">
        <f t="shared" si="3"/>
        <v>0.6600768808347062</v>
      </c>
      <c r="H13" s="127">
        <v>1323</v>
      </c>
      <c r="I13" s="128"/>
      <c r="J13" s="156">
        <f t="shared" si="1"/>
        <v>1323</v>
      </c>
      <c r="K13" s="144">
        <f t="shared" si="2"/>
        <v>121</v>
      </c>
      <c r="L13" s="150">
        <f t="shared" si="4"/>
        <v>1.100665557404326</v>
      </c>
    </row>
    <row r="14" spans="1:12" s="101" customFormat="1" ht="13.5">
      <c r="A14" s="514" t="s">
        <v>31</v>
      </c>
      <c r="B14" s="515"/>
      <c r="C14" s="516"/>
      <c r="D14" s="125">
        <v>386</v>
      </c>
      <c r="E14" s="125">
        <v>426</v>
      </c>
      <c r="F14" s="154">
        <f t="shared" si="0"/>
        <v>40</v>
      </c>
      <c r="G14" s="145">
        <f t="shared" si="3"/>
        <v>1.1036269430051813</v>
      </c>
      <c r="H14" s="127">
        <v>420</v>
      </c>
      <c r="I14" s="128"/>
      <c r="J14" s="156">
        <f t="shared" si="1"/>
        <v>420</v>
      </c>
      <c r="K14" s="144">
        <f t="shared" si="2"/>
        <v>-6</v>
      </c>
      <c r="L14" s="150">
        <f t="shared" si="4"/>
        <v>0.9859154929577465</v>
      </c>
    </row>
    <row r="15" spans="1:14" s="101" customFormat="1" ht="13.5">
      <c r="A15" s="514" t="s">
        <v>32</v>
      </c>
      <c r="B15" s="515"/>
      <c r="C15" s="516"/>
      <c r="D15" s="125"/>
      <c r="E15" s="125">
        <v>271</v>
      </c>
      <c r="F15" s="154">
        <f t="shared" si="0"/>
        <v>271</v>
      </c>
      <c r="G15" s="145"/>
      <c r="H15" s="127">
        <v>100</v>
      </c>
      <c r="I15" s="128"/>
      <c r="J15" s="156">
        <f t="shared" si="1"/>
        <v>100</v>
      </c>
      <c r="K15" s="144">
        <f t="shared" si="2"/>
        <v>-171</v>
      </c>
      <c r="L15" s="150">
        <f t="shared" si="4"/>
        <v>0.36900369003690037</v>
      </c>
      <c r="N15" s="129"/>
    </row>
    <row r="16" spans="1:12" s="101" customFormat="1" ht="13.5">
      <c r="A16" s="511" t="s">
        <v>33</v>
      </c>
      <c r="B16" s="512"/>
      <c r="C16" s="513"/>
      <c r="D16" s="125">
        <v>11</v>
      </c>
      <c r="E16" s="125">
        <v>11</v>
      </c>
      <c r="F16" s="154">
        <f t="shared" si="0"/>
        <v>0</v>
      </c>
      <c r="G16" s="145">
        <f t="shared" si="3"/>
        <v>1</v>
      </c>
      <c r="H16" s="127">
        <v>11</v>
      </c>
      <c r="I16" s="128"/>
      <c r="J16" s="156">
        <f t="shared" si="1"/>
        <v>11</v>
      </c>
      <c r="K16" s="144">
        <f t="shared" si="2"/>
        <v>0</v>
      </c>
      <c r="L16" s="150">
        <f t="shared" si="4"/>
        <v>1</v>
      </c>
    </row>
    <row r="17" spans="1:12" s="101" customFormat="1" ht="13.5">
      <c r="A17" s="511" t="s">
        <v>34</v>
      </c>
      <c r="B17" s="512"/>
      <c r="C17" s="513"/>
      <c r="D17" s="125"/>
      <c r="E17" s="125"/>
      <c r="F17" s="154">
        <f t="shared" si="0"/>
        <v>0</v>
      </c>
      <c r="G17" s="145"/>
      <c r="H17" s="127"/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9"/>
      <c r="D18" s="125">
        <v>284</v>
      </c>
      <c r="E18" s="125">
        <v>709</v>
      </c>
      <c r="F18" s="154">
        <f t="shared" si="0"/>
        <v>425</v>
      </c>
      <c r="G18" s="145">
        <f t="shared" si="3"/>
        <v>2.4964788732394365</v>
      </c>
      <c r="H18" s="127">
        <v>384</v>
      </c>
      <c r="I18" s="128"/>
      <c r="J18" s="156">
        <f t="shared" si="1"/>
        <v>384</v>
      </c>
      <c r="K18" s="144">
        <f t="shared" si="2"/>
        <v>-325</v>
      </c>
      <c r="L18" s="150">
        <f t="shared" si="4"/>
        <v>0.5416078984485191</v>
      </c>
    </row>
    <row r="19" spans="1:12" s="101" customFormat="1" ht="13.5">
      <c r="A19" s="511" t="s">
        <v>36</v>
      </c>
      <c r="B19" s="512"/>
      <c r="C19" s="513"/>
      <c r="D19" s="125"/>
      <c r="E19" s="125"/>
      <c r="F19" s="154">
        <f t="shared" si="0"/>
        <v>0</v>
      </c>
      <c r="G19" s="145"/>
      <c r="H19" s="127"/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3"/>
      <c r="D20" s="125"/>
      <c r="E20" s="138"/>
      <c r="F20" s="154">
        <f t="shared" si="0"/>
        <v>0</v>
      </c>
      <c r="G20" s="145"/>
      <c r="H20" s="122"/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2"/>
      <c r="D21" s="125">
        <v>284</v>
      </c>
      <c r="E21" s="125">
        <v>709</v>
      </c>
      <c r="F21" s="154">
        <f t="shared" si="0"/>
        <v>425</v>
      </c>
      <c r="G21" s="145">
        <f t="shared" si="3"/>
        <v>2.4964788732394365</v>
      </c>
      <c r="H21" s="348">
        <v>384</v>
      </c>
      <c r="I21" s="128"/>
      <c r="J21" s="156">
        <f t="shared" si="1"/>
        <v>384</v>
      </c>
      <c r="K21" s="144">
        <f t="shared" si="2"/>
        <v>-325</v>
      </c>
      <c r="L21" s="150">
        <f t="shared" si="4"/>
        <v>0.5416078984485191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2"/>
      <c r="D22" s="125"/>
      <c r="E22" s="125">
        <v>709</v>
      </c>
      <c r="F22" s="154">
        <f t="shared" si="0"/>
        <v>709</v>
      </c>
      <c r="G22" s="145"/>
      <c r="H22" s="366">
        <v>262</v>
      </c>
      <c r="I22" s="128"/>
      <c r="J22" s="156">
        <f t="shared" si="1"/>
        <v>262</v>
      </c>
      <c r="K22" s="144">
        <f t="shared" si="2"/>
        <v>-447</v>
      </c>
      <c r="L22" s="150">
        <f t="shared" si="4"/>
        <v>0.3695345557122708</v>
      </c>
      <c r="M22" s="371"/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2"/>
      <c r="D23" s="125"/>
      <c r="E23" s="125"/>
      <c r="F23" s="154">
        <f t="shared" si="0"/>
        <v>0</v>
      </c>
      <c r="G23" s="145"/>
      <c r="H23" s="127"/>
      <c r="I23" s="128"/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2"/>
      <c r="D24" s="125"/>
      <c r="E24" s="125"/>
      <c r="F24" s="154">
        <f t="shared" si="0"/>
        <v>0</v>
      </c>
      <c r="G24" s="145"/>
      <c r="H24" s="366">
        <v>122</v>
      </c>
      <c r="I24" s="128"/>
      <c r="J24" s="156">
        <f t="shared" si="1"/>
        <v>122</v>
      </c>
      <c r="K24" s="144">
        <f t="shared" si="2"/>
        <v>122</v>
      </c>
      <c r="L24" s="150"/>
    </row>
    <row r="25" spans="1:12" s="101" customFormat="1" ht="13.5">
      <c r="A25" s="520" t="s">
        <v>163</v>
      </c>
      <c r="B25" s="521"/>
      <c r="C25" s="522"/>
      <c r="D25" s="125"/>
      <c r="E25" s="125"/>
      <c r="F25" s="154">
        <f t="shared" si="0"/>
        <v>0</v>
      </c>
      <c r="G25" s="145"/>
      <c r="H25" s="127"/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9"/>
      <c r="D26" s="125">
        <v>2</v>
      </c>
      <c r="E26" s="125">
        <v>2</v>
      </c>
      <c r="F26" s="154">
        <f t="shared" si="0"/>
        <v>0</v>
      </c>
      <c r="G26" s="145">
        <f t="shared" si="3"/>
        <v>1</v>
      </c>
      <c r="H26" s="127">
        <v>2</v>
      </c>
      <c r="I26" s="128"/>
      <c r="J26" s="156">
        <f t="shared" si="1"/>
        <v>2</v>
      </c>
      <c r="K26" s="144">
        <f t="shared" si="2"/>
        <v>0</v>
      </c>
      <c r="L26" s="150">
        <f t="shared" si="4"/>
        <v>1</v>
      </c>
    </row>
    <row r="27" spans="1:12" s="101" customFormat="1" ht="13.5">
      <c r="A27" s="511" t="s">
        <v>40</v>
      </c>
      <c r="B27" s="512"/>
      <c r="C27" s="513"/>
      <c r="D27" s="125">
        <v>2</v>
      </c>
      <c r="E27" s="125">
        <v>2</v>
      </c>
      <c r="F27" s="154">
        <f t="shared" si="0"/>
        <v>0</v>
      </c>
      <c r="G27" s="145">
        <f t="shared" si="3"/>
        <v>1</v>
      </c>
      <c r="H27" s="127">
        <v>2</v>
      </c>
      <c r="I27" s="128"/>
      <c r="J27" s="156">
        <f t="shared" si="1"/>
        <v>2</v>
      </c>
      <c r="K27" s="144">
        <f t="shared" si="2"/>
        <v>0</v>
      </c>
      <c r="L27" s="150">
        <f t="shared" si="4"/>
        <v>1</v>
      </c>
    </row>
    <row r="28" spans="1:12" s="101" customFormat="1" ht="13.5">
      <c r="A28" s="511" t="s">
        <v>41</v>
      </c>
      <c r="B28" s="512"/>
      <c r="C28" s="513"/>
      <c r="D28" s="125"/>
      <c r="E28" s="125"/>
      <c r="F28" s="154">
        <f t="shared" si="0"/>
        <v>0</v>
      </c>
      <c r="G28" s="145"/>
      <c r="H28" s="127"/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9"/>
      <c r="D29" s="125">
        <v>14012</v>
      </c>
      <c r="E29" s="138">
        <v>12962</v>
      </c>
      <c r="F29" s="154">
        <f t="shared" si="0"/>
        <v>-1050</v>
      </c>
      <c r="G29" s="145">
        <f t="shared" si="3"/>
        <v>0.9250642306594348</v>
      </c>
      <c r="H29" s="122">
        <v>12086</v>
      </c>
      <c r="I29" s="123"/>
      <c r="J29" s="156">
        <f t="shared" si="1"/>
        <v>12086</v>
      </c>
      <c r="K29" s="144">
        <f t="shared" si="2"/>
        <v>-876</v>
      </c>
      <c r="L29" s="150">
        <f t="shared" si="4"/>
        <v>0.9324178367535874</v>
      </c>
    </row>
    <row r="30" spans="1:14" s="101" customFormat="1" ht="13.5">
      <c r="A30" s="514" t="s">
        <v>164</v>
      </c>
      <c r="B30" s="515"/>
      <c r="C30" s="516"/>
      <c r="D30" s="131">
        <v>2547</v>
      </c>
      <c r="E30" s="131">
        <v>2577</v>
      </c>
      <c r="F30" s="155">
        <f t="shared" si="0"/>
        <v>30</v>
      </c>
      <c r="G30" s="147">
        <f t="shared" si="3"/>
        <v>1.0117785630153122</v>
      </c>
      <c r="H30" s="363">
        <v>2547</v>
      </c>
      <c r="I30" s="133"/>
      <c r="J30" s="157">
        <f t="shared" si="1"/>
        <v>2547</v>
      </c>
      <c r="K30" s="146">
        <f t="shared" si="2"/>
        <v>-30</v>
      </c>
      <c r="L30" s="151">
        <f t="shared" si="4"/>
        <v>0.9883585564610011</v>
      </c>
      <c r="N30" s="129"/>
    </row>
    <row r="31" spans="1:12" s="101" customFormat="1" ht="13.5">
      <c r="A31" s="514" t="s">
        <v>43</v>
      </c>
      <c r="B31" s="515"/>
      <c r="C31" s="516"/>
      <c r="D31" s="125">
        <v>11465</v>
      </c>
      <c r="E31" s="125">
        <v>10320</v>
      </c>
      <c r="F31" s="154">
        <f t="shared" si="0"/>
        <v>-1145</v>
      </c>
      <c r="G31" s="145">
        <f t="shared" si="3"/>
        <v>0.9001308329699084</v>
      </c>
      <c r="H31" s="127">
        <v>9539</v>
      </c>
      <c r="I31" s="128"/>
      <c r="J31" s="156">
        <f t="shared" si="1"/>
        <v>9539</v>
      </c>
      <c r="K31" s="144">
        <f t="shared" si="2"/>
        <v>-781</v>
      </c>
      <c r="L31" s="150">
        <f t="shared" si="4"/>
        <v>0.9243217054263566</v>
      </c>
    </row>
    <row r="32" spans="1:12" s="101" customFormat="1" ht="13.5">
      <c r="A32" s="511" t="s">
        <v>44</v>
      </c>
      <c r="B32" s="512"/>
      <c r="C32" s="513"/>
      <c r="D32" s="138"/>
      <c r="E32" s="138"/>
      <c r="F32" s="154">
        <f t="shared" si="0"/>
        <v>0</v>
      </c>
      <c r="G32" s="145"/>
      <c r="H32" s="122"/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514" t="s">
        <v>45</v>
      </c>
      <c r="B33" s="515"/>
      <c r="C33" s="516"/>
      <c r="D33" s="153"/>
      <c r="E33" s="153">
        <v>65</v>
      </c>
      <c r="F33" s="154">
        <f t="shared" si="0"/>
        <v>65</v>
      </c>
      <c r="G33" s="145"/>
      <c r="H33" s="158"/>
      <c r="I33" s="159"/>
      <c r="J33" s="160">
        <f t="shared" si="1"/>
        <v>0</v>
      </c>
      <c r="K33" s="161">
        <f t="shared" si="2"/>
        <v>-65</v>
      </c>
      <c r="L33" s="162">
        <f t="shared" si="4"/>
        <v>0</v>
      </c>
      <c r="N33" s="129"/>
    </row>
    <row r="34" spans="1:12" s="101" customFormat="1" ht="14.25" thickBot="1">
      <c r="A34" s="523" t="s">
        <v>46</v>
      </c>
      <c r="B34" s="524"/>
      <c r="C34" s="525"/>
      <c r="D34" s="171">
        <v>44372</v>
      </c>
      <c r="E34" s="172">
        <v>43948</v>
      </c>
      <c r="F34" s="173">
        <f t="shared" si="0"/>
        <v>-424</v>
      </c>
      <c r="G34" s="174">
        <f t="shared" si="3"/>
        <v>0.9904444244117913</v>
      </c>
      <c r="H34" s="172">
        <v>43608</v>
      </c>
      <c r="I34" s="172"/>
      <c r="J34" s="175">
        <f t="shared" si="1"/>
        <v>43608</v>
      </c>
      <c r="K34" s="173">
        <f t="shared" si="2"/>
        <v>-340</v>
      </c>
      <c r="L34" s="176">
        <f t="shared" si="4"/>
        <v>0.9922635842359152</v>
      </c>
    </row>
    <row r="35" spans="1:12" s="101" customFormat="1" ht="13.5">
      <c r="A35" s="526" t="s">
        <v>47</v>
      </c>
      <c r="B35" s="527"/>
      <c r="C35" s="528"/>
      <c r="D35" s="135">
        <v>7277</v>
      </c>
      <c r="E35" s="136">
        <v>6540</v>
      </c>
      <c r="F35" s="148">
        <f t="shared" si="0"/>
        <v>-737</v>
      </c>
      <c r="G35" s="149">
        <f t="shared" si="3"/>
        <v>0.8987220008245156</v>
      </c>
      <c r="H35" s="137">
        <v>6568</v>
      </c>
      <c r="I35" s="137"/>
      <c r="J35" s="134">
        <f t="shared" si="1"/>
        <v>6568</v>
      </c>
      <c r="K35" s="148">
        <f t="shared" si="2"/>
        <v>28</v>
      </c>
      <c r="L35" s="152">
        <f t="shared" si="4"/>
        <v>1.0042813455657493</v>
      </c>
    </row>
    <row r="36" spans="1:12" s="101" customFormat="1" ht="13.5">
      <c r="A36" s="514" t="s">
        <v>48</v>
      </c>
      <c r="B36" s="515"/>
      <c r="C36" s="516"/>
      <c r="D36" s="125">
        <v>4581</v>
      </c>
      <c r="E36" s="126">
        <v>4923</v>
      </c>
      <c r="F36" s="144">
        <f t="shared" si="0"/>
        <v>342</v>
      </c>
      <c r="G36" s="145">
        <f t="shared" si="3"/>
        <v>1.074656188605108</v>
      </c>
      <c r="H36" s="127">
        <v>4963</v>
      </c>
      <c r="I36" s="128"/>
      <c r="J36" s="124">
        <f t="shared" si="1"/>
        <v>4963</v>
      </c>
      <c r="K36" s="144">
        <f t="shared" si="2"/>
        <v>40</v>
      </c>
      <c r="L36" s="150">
        <f t="shared" si="4"/>
        <v>1.0081251269551086</v>
      </c>
    </row>
    <row r="37" spans="1:12" s="101" customFormat="1" ht="13.5">
      <c r="A37" s="514" t="s">
        <v>49</v>
      </c>
      <c r="B37" s="515"/>
      <c r="C37" s="516"/>
      <c r="D37" s="125">
        <v>99</v>
      </c>
      <c r="E37" s="126">
        <v>92</v>
      </c>
      <c r="F37" s="144">
        <f t="shared" si="0"/>
        <v>-7</v>
      </c>
      <c r="G37" s="145">
        <f t="shared" si="3"/>
        <v>0.9292929292929293</v>
      </c>
      <c r="H37" s="127">
        <v>95</v>
      </c>
      <c r="I37" s="128"/>
      <c r="J37" s="124">
        <f t="shared" si="1"/>
        <v>95</v>
      </c>
      <c r="K37" s="144">
        <f t="shared" si="2"/>
        <v>3</v>
      </c>
      <c r="L37" s="150">
        <f t="shared" si="4"/>
        <v>1.0326086956521738</v>
      </c>
    </row>
    <row r="38" spans="1:12" s="101" customFormat="1" ht="13.5">
      <c r="A38" s="514" t="s">
        <v>50</v>
      </c>
      <c r="B38" s="515"/>
      <c r="C38" s="516"/>
      <c r="D38" s="138">
        <v>0</v>
      </c>
      <c r="E38" s="130">
        <v>40</v>
      </c>
      <c r="F38" s="144">
        <f t="shared" si="0"/>
        <v>40</v>
      </c>
      <c r="G38" s="145"/>
      <c r="H38" s="122">
        <v>40</v>
      </c>
      <c r="I38" s="123"/>
      <c r="J38" s="124">
        <f t="shared" si="1"/>
        <v>40</v>
      </c>
      <c r="K38" s="144">
        <f t="shared" si="2"/>
        <v>0</v>
      </c>
      <c r="L38" s="150">
        <f t="shared" si="4"/>
        <v>1</v>
      </c>
    </row>
    <row r="39" spans="1:12" s="101" customFormat="1" ht="13.5">
      <c r="A39" s="514" t="s">
        <v>51</v>
      </c>
      <c r="B39" s="515"/>
      <c r="C39" s="516"/>
      <c r="D39" s="125">
        <v>0</v>
      </c>
      <c r="E39" s="126">
        <v>14</v>
      </c>
      <c r="F39" s="144">
        <f t="shared" si="0"/>
        <v>14</v>
      </c>
      <c r="G39" s="145"/>
      <c r="H39" s="127">
        <v>10</v>
      </c>
      <c r="I39" s="128"/>
      <c r="J39" s="124">
        <f t="shared" si="1"/>
        <v>10</v>
      </c>
      <c r="K39" s="144">
        <f t="shared" si="2"/>
        <v>-4</v>
      </c>
      <c r="L39" s="150">
        <f t="shared" si="4"/>
        <v>0.7142857142857143</v>
      </c>
    </row>
    <row r="40" spans="1:12" s="101" customFormat="1" ht="13.5">
      <c r="A40" s="514" t="s">
        <v>52</v>
      </c>
      <c r="B40" s="515"/>
      <c r="C40" s="516"/>
      <c r="D40" s="125">
        <v>0</v>
      </c>
      <c r="E40" s="126">
        <v>31</v>
      </c>
      <c r="F40" s="144">
        <f t="shared" si="0"/>
        <v>31</v>
      </c>
      <c r="G40" s="145"/>
      <c r="H40" s="127">
        <v>30</v>
      </c>
      <c r="I40" s="128"/>
      <c r="J40" s="124">
        <f t="shared" si="1"/>
        <v>30</v>
      </c>
      <c r="K40" s="144">
        <f t="shared" si="2"/>
        <v>-1</v>
      </c>
      <c r="L40" s="150">
        <f t="shared" si="4"/>
        <v>0.967741935483871</v>
      </c>
    </row>
    <row r="41" spans="1:14" s="101" customFormat="1" ht="13.5">
      <c r="A41" s="514" t="s">
        <v>53</v>
      </c>
      <c r="B41" s="515"/>
      <c r="C41" s="516"/>
      <c r="D41" s="125">
        <v>0</v>
      </c>
      <c r="E41" s="126">
        <v>205</v>
      </c>
      <c r="F41" s="144">
        <f t="shared" si="0"/>
        <v>205</v>
      </c>
      <c r="G41" s="145"/>
      <c r="H41" s="127">
        <v>200</v>
      </c>
      <c r="I41" s="128"/>
      <c r="J41" s="124">
        <f t="shared" si="1"/>
        <v>200</v>
      </c>
      <c r="K41" s="144">
        <f t="shared" si="2"/>
        <v>-5</v>
      </c>
      <c r="L41" s="150">
        <f t="shared" si="4"/>
        <v>0.975609756097561</v>
      </c>
      <c r="N41" s="129"/>
    </row>
    <row r="42" spans="1:12" s="101" customFormat="1" ht="13.5">
      <c r="A42" s="514" t="s">
        <v>54</v>
      </c>
      <c r="B42" s="515"/>
      <c r="C42" s="516"/>
      <c r="D42" s="125">
        <v>1456</v>
      </c>
      <c r="E42" s="126">
        <v>584</v>
      </c>
      <c r="F42" s="144">
        <f t="shared" si="0"/>
        <v>-872</v>
      </c>
      <c r="G42" s="145">
        <f t="shared" si="3"/>
        <v>0.4010989010989011</v>
      </c>
      <c r="H42" s="127">
        <v>580</v>
      </c>
      <c r="I42" s="128"/>
      <c r="J42" s="124">
        <f t="shared" si="1"/>
        <v>580</v>
      </c>
      <c r="K42" s="144">
        <f t="shared" si="2"/>
        <v>-4</v>
      </c>
      <c r="L42" s="150">
        <f t="shared" si="4"/>
        <v>0.9931506849315068</v>
      </c>
    </row>
    <row r="43" spans="1:14" s="101" customFormat="1" ht="13.5">
      <c r="A43" s="514" t="s">
        <v>166</v>
      </c>
      <c r="B43" s="515"/>
      <c r="C43" s="516"/>
      <c r="D43" s="125"/>
      <c r="E43" s="126"/>
      <c r="F43" s="144">
        <f t="shared" si="0"/>
        <v>0</v>
      </c>
      <c r="G43" s="145"/>
      <c r="H43" s="127"/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6"/>
      <c r="D44" s="125"/>
      <c r="E44" s="126"/>
      <c r="F44" s="144">
        <f t="shared" si="0"/>
        <v>0</v>
      </c>
      <c r="G44" s="145"/>
      <c r="H44" s="127"/>
      <c r="I44" s="128"/>
      <c r="J44" s="124">
        <f t="shared" si="1"/>
        <v>0</v>
      </c>
      <c r="K44" s="144">
        <f t="shared" si="2"/>
        <v>0</v>
      </c>
      <c r="L44" s="150"/>
    </row>
    <row r="45" spans="1:12" s="101" customFormat="1" ht="13.5">
      <c r="A45" s="514" t="s">
        <v>55</v>
      </c>
      <c r="B45" s="515"/>
      <c r="C45" s="516"/>
      <c r="D45" s="125">
        <v>1141</v>
      </c>
      <c r="E45" s="126">
        <v>651</v>
      </c>
      <c r="F45" s="144">
        <f t="shared" si="0"/>
        <v>-490</v>
      </c>
      <c r="G45" s="145">
        <f t="shared" si="3"/>
        <v>0.5705521472392638</v>
      </c>
      <c r="H45" s="127">
        <v>650</v>
      </c>
      <c r="I45" s="128"/>
      <c r="J45" s="124">
        <f t="shared" si="1"/>
        <v>650</v>
      </c>
      <c r="K45" s="144">
        <f t="shared" si="2"/>
        <v>-1</v>
      </c>
      <c r="L45" s="150">
        <f t="shared" si="4"/>
        <v>0.9984639016897081</v>
      </c>
    </row>
    <row r="46" spans="1:14" s="101" customFormat="1" ht="13.5">
      <c r="A46" s="526" t="s">
        <v>56</v>
      </c>
      <c r="B46" s="527"/>
      <c r="C46" s="528"/>
      <c r="D46" s="125">
        <v>3617</v>
      </c>
      <c r="E46" s="126">
        <v>3992</v>
      </c>
      <c r="F46" s="144">
        <f t="shared" si="0"/>
        <v>375</v>
      </c>
      <c r="G46" s="145">
        <f t="shared" si="3"/>
        <v>1.1036770804534144</v>
      </c>
      <c r="H46" s="127">
        <v>4120</v>
      </c>
      <c r="I46" s="127"/>
      <c r="J46" s="124">
        <f t="shared" si="1"/>
        <v>4120</v>
      </c>
      <c r="K46" s="144">
        <f t="shared" si="2"/>
        <v>128</v>
      </c>
      <c r="L46" s="150">
        <f t="shared" si="4"/>
        <v>1.032064128256513</v>
      </c>
      <c r="N46" s="129"/>
    </row>
    <row r="47" spans="1:12" s="101" customFormat="1" ht="13.5">
      <c r="A47" s="514" t="s">
        <v>57</v>
      </c>
      <c r="B47" s="515"/>
      <c r="C47" s="516"/>
      <c r="D47" s="125">
        <v>1432</v>
      </c>
      <c r="E47" s="126">
        <v>1454</v>
      </c>
      <c r="F47" s="144">
        <f t="shared" si="0"/>
        <v>22</v>
      </c>
      <c r="G47" s="145">
        <f t="shared" si="3"/>
        <v>1.01536312849162</v>
      </c>
      <c r="H47" s="127">
        <v>1500</v>
      </c>
      <c r="I47" s="128"/>
      <c r="J47" s="124">
        <f t="shared" si="1"/>
        <v>1500</v>
      </c>
      <c r="K47" s="144">
        <f t="shared" si="2"/>
        <v>46</v>
      </c>
      <c r="L47" s="150">
        <f t="shared" si="4"/>
        <v>1.031636863823934</v>
      </c>
    </row>
    <row r="48" spans="1:12" s="101" customFormat="1" ht="13.5">
      <c r="A48" s="514" t="s">
        <v>58</v>
      </c>
      <c r="B48" s="515"/>
      <c r="C48" s="516"/>
      <c r="D48" s="125">
        <v>1441</v>
      </c>
      <c r="E48" s="126">
        <v>1769</v>
      </c>
      <c r="F48" s="144">
        <f t="shared" si="0"/>
        <v>328</v>
      </c>
      <c r="G48" s="145">
        <f t="shared" si="3"/>
        <v>1.227619708535739</v>
      </c>
      <c r="H48" s="127">
        <v>1850</v>
      </c>
      <c r="I48" s="128"/>
      <c r="J48" s="124">
        <f t="shared" si="1"/>
        <v>1850</v>
      </c>
      <c r="K48" s="144">
        <f t="shared" si="2"/>
        <v>81</v>
      </c>
      <c r="L48" s="150">
        <f t="shared" si="4"/>
        <v>1.0457885811192764</v>
      </c>
    </row>
    <row r="49" spans="1:12" s="101" customFormat="1" ht="13.5">
      <c r="A49" s="514" t="s">
        <v>59</v>
      </c>
      <c r="B49" s="515"/>
      <c r="C49" s="516"/>
      <c r="D49" s="125">
        <v>744</v>
      </c>
      <c r="E49" s="126">
        <v>768</v>
      </c>
      <c r="F49" s="144">
        <f t="shared" si="0"/>
        <v>24</v>
      </c>
      <c r="G49" s="145">
        <f t="shared" si="3"/>
        <v>1.032258064516129</v>
      </c>
      <c r="H49" s="127">
        <v>770</v>
      </c>
      <c r="I49" s="128"/>
      <c r="J49" s="124">
        <f t="shared" si="1"/>
        <v>770</v>
      </c>
      <c r="K49" s="144">
        <f t="shared" si="2"/>
        <v>2</v>
      </c>
      <c r="L49" s="150">
        <f t="shared" si="4"/>
        <v>1.0026041666666667</v>
      </c>
    </row>
    <row r="50" spans="1:12" s="101" customFormat="1" ht="13.5">
      <c r="A50" s="514" t="s">
        <v>168</v>
      </c>
      <c r="B50" s="515"/>
      <c r="C50" s="516"/>
      <c r="D50" s="125"/>
      <c r="E50" s="126"/>
      <c r="F50" s="144">
        <f t="shared" si="0"/>
        <v>0</v>
      </c>
      <c r="G50" s="145"/>
      <c r="H50" s="127"/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8"/>
      <c r="D51" s="125"/>
      <c r="E51" s="126"/>
      <c r="F51" s="144">
        <f t="shared" si="0"/>
        <v>0</v>
      </c>
      <c r="G51" s="145"/>
      <c r="H51" s="127"/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8"/>
      <c r="D52" s="125"/>
      <c r="E52" s="126"/>
      <c r="F52" s="144">
        <f t="shared" si="0"/>
        <v>0</v>
      </c>
      <c r="G52" s="145"/>
      <c r="H52" s="127"/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8"/>
      <c r="D53" s="125">
        <v>720</v>
      </c>
      <c r="E53" s="126">
        <v>587</v>
      </c>
      <c r="F53" s="144">
        <f t="shared" si="0"/>
        <v>-133</v>
      </c>
      <c r="G53" s="145">
        <f t="shared" si="3"/>
        <v>0.8152777777777778</v>
      </c>
      <c r="H53" s="127">
        <v>580</v>
      </c>
      <c r="I53" s="128"/>
      <c r="J53" s="124">
        <f t="shared" si="1"/>
        <v>580</v>
      </c>
      <c r="K53" s="144">
        <f t="shared" si="2"/>
        <v>-7</v>
      </c>
      <c r="L53" s="150">
        <f t="shared" si="4"/>
        <v>0.9880749574105622</v>
      </c>
    </row>
    <row r="54" spans="1:12" s="101" customFormat="1" ht="13.5">
      <c r="A54" s="529" t="s">
        <v>63</v>
      </c>
      <c r="B54" s="530"/>
      <c r="C54" s="531"/>
      <c r="D54" s="125"/>
      <c r="E54" s="126"/>
      <c r="F54" s="144">
        <f t="shared" si="0"/>
        <v>0</v>
      </c>
      <c r="G54" s="145"/>
      <c r="H54" s="127">
        <v>150</v>
      </c>
      <c r="I54" s="128"/>
      <c r="J54" s="124">
        <f t="shared" si="1"/>
        <v>150</v>
      </c>
      <c r="K54" s="144">
        <f t="shared" si="2"/>
        <v>150</v>
      </c>
      <c r="L54" s="150"/>
    </row>
    <row r="55" spans="1:12" s="101" customFormat="1" ht="13.5">
      <c r="A55" s="529" t="s">
        <v>169</v>
      </c>
      <c r="B55" s="530"/>
      <c r="C55" s="531"/>
      <c r="D55" s="125"/>
      <c r="E55" s="126">
        <v>574</v>
      </c>
      <c r="F55" s="144">
        <f t="shared" si="0"/>
        <v>574</v>
      </c>
      <c r="G55" s="145"/>
      <c r="H55" s="127">
        <v>415</v>
      </c>
      <c r="I55" s="128"/>
      <c r="J55" s="124">
        <f t="shared" si="1"/>
        <v>415</v>
      </c>
      <c r="K55" s="144">
        <f t="shared" si="2"/>
        <v>-159</v>
      </c>
      <c r="L55" s="150">
        <f t="shared" si="4"/>
        <v>0.7229965156794426</v>
      </c>
    </row>
    <row r="56" spans="1:12" s="101" customFormat="1" ht="13.5">
      <c r="A56" s="529" t="s">
        <v>133</v>
      </c>
      <c r="B56" s="530"/>
      <c r="C56" s="531"/>
      <c r="D56" s="125"/>
      <c r="E56" s="126">
        <v>13</v>
      </c>
      <c r="F56" s="144">
        <f t="shared" si="0"/>
        <v>13</v>
      </c>
      <c r="G56" s="145"/>
      <c r="H56" s="127">
        <v>15</v>
      </c>
      <c r="I56" s="128"/>
      <c r="J56" s="124">
        <f t="shared" si="1"/>
        <v>15</v>
      </c>
      <c r="K56" s="144">
        <f t="shared" si="2"/>
        <v>2</v>
      </c>
      <c r="L56" s="150">
        <f t="shared" si="4"/>
        <v>1.1538461538461537</v>
      </c>
    </row>
    <row r="57" spans="1:12" s="101" customFormat="1" ht="13.5">
      <c r="A57" s="526" t="s">
        <v>64</v>
      </c>
      <c r="B57" s="527"/>
      <c r="C57" s="528"/>
      <c r="D57" s="125">
        <v>57</v>
      </c>
      <c r="E57" s="126">
        <v>66</v>
      </c>
      <c r="F57" s="144">
        <f t="shared" si="0"/>
        <v>9</v>
      </c>
      <c r="G57" s="145">
        <f t="shared" si="3"/>
        <v>1.1578947368421053</v>
      </c>
      <c r="H57" s="127">
        <v>60</v>
      </c>
      <c r="I57" s="128"/>
      <c r="J57" s="124">
        <f t="shared" si="1"/>
        <v>60</v>
      </c>
      <c r="K57" s="144">
        <f t="shared" si="2"/>
        <v>-6</v>
      </c>
      <c r="L57" s="150">
        <f t="shared" si="4"/>
        <v>0.9090909090909091</v>
      </c>
    </row>
    <row r="58" spans="1:12" s="101" customFormat="1" ht="13.5">
      <c r="A58" s="526" t="s">
        <v>65</v>
      </c>
      <c r="B58" s="527"/>
      <c r="C58" s="528"/>
      <c r="D58" s="125">
        <v>22</v>
      </c>
      <c r="E58" s="126">
        <v>3</v>
      </c>
      <c r="F58" s="144">
        <f t="shared" si="0"/>
        <v>-19</v>
      </c>
      <c r="G58" s="145">
        <f t="shared" si="3"/>
        <v>0.13636363636363635</v>
      </c>
      <c r="H58" s="127">
        <v>3</v>
      </c>
      <c r="I58" s="128"/>
      <c r="J58" s="124">
        <f t="shared" si="1"/>
        <v>3</v>
      </c>
      <c r="K58" s="144">
        <f t="shared" si="2"/>
        <v>0</v>
      </c>
      <c r="L58" s="150">
        <f t="shared" si="4"/>
        <v>1</v>
      </c>
    </row>
    <row r="59" spans="1:14" s="101" customFormat="1" ht="13.5">
      <c r="A59" s="526" t="s">
        <v>66</v>
      </c>
      <c r="B59" s="527"/>
      <c r="C59" s="528"/>
      <c r="D59" s="125">
        <v>954</v>
      </c>
      <c r="E59" s="126">
        <v>1140</v>
      </c>
      <c r="F59" s="144">
        <f t="shared" si="0"/>
        <v>186</v>
      </c>
      <c r="G59" s="145">
        <f t="shared" si="3"/>
        <v>1.1949685534591195</v>
      </c>
      <c r="H59" s="127">
        <v>1120</v>
      </c>
      <c r="I59" s="128"/>
      <c r="J59" s="124">
        <f t="shared" si="1"/>
        <v>1120</v>
      </c>
      <c r="K59" s="144">
        <f t="shared" si="2"/>
        <v>-20</v>
      </c>
      <c r="L59" s="150">
        <f t="shared" si="4"/>
        <v>0.9824561403508771</v>
      </c>
      <c r="N59" s="129"/>
    </row>
    <row r="60" spans="1:12" s="101" customFormat="1" ht="13.5">
      <c r="A60" s="514" t="s">
        <v>67</v>
      </c>
      <c r="B60" s="515"/>
      <c r="C60" s="516"/>
      <c r="D60" s="125">
        <v>136</v>
      </c>
      <c r="E60" s="126">
        <v>104</v>
      </c>
      <c r="F60" s="144">
        <f t="shared" si="0"/>
        <v>-32</v>
      </c>
      <c r="G60" s="145">
        <f t="shared" si="3"/>
        <v>0.7647058823529411</v>
      </c>
      <c r="H60" s="127">
        <v>100</v>
      </c>
      <c r="I60" s="128"/>
      <c r="J60" s="124">
        <f t="shared" si="1"/>
        <v>100</v>
      </c>
      <c r="K60" s="144">
        <f t="shared" si="2"/>
        <v>-4</v>
      </c>
      <c r="L60" s="150">
        <f t="shared" si="4"/>
        <v>0.9615384615384616</v>
      </c>
    </row>
    <row r="61" spans="1:12" s="101" customFormat="1" ht="13.5">
      <c r="A61" s="514" t="s">
        <v>68</v>
      </c>
      <c r="B61" s="515"/>
      <c r="C61" s="516"/>
      <c r="D61" s="125"/>
      <c r="E61" s="126"/>
      <c r="F61" s="144">
        <f t="shared" si="0"/>
        <v>0</v>
      </c>
      <c r="G61" s="145"/>
      <c r="H61" s="127"/>
      <c r="I61" s="128"/>
      <c r="J61" s="124">
        <f t="shared" si="1"/>
        <v>0</v>
      </c>
      <c r="K61" s="144">
        <f t="shared" si="2"/>
        <v>0</v>
      </c>
      <c r="L61" s="150"/>
    </row>
    <row r="62" spans="1:12" s="101" customFormat="1" ht="13.5">
      <c r="A62" s="514" t="s">
        <v>69</v>
      </c>
      <c r="B62" s="515"/>
      <c r="C62" s="516"/>
      <c r="D62" s="125"/>
      <c r="E62" s="126"/>
      <c r="F62" s="144">
        <f t="shared" si="0"/>
        <v>0</v>
      </c>
      <c r="G62" s="145"/>
      <c r="H62" s="127"/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6"/>
      <c r="D63" s="125"/>
      <c r="E63" s="126"/>
      <c r="F63" s="144">
        <f t="shared" si="0"/>
        <v>0</v>
      </c>
      <c r="G63" s="145"/>
      <c r="H63" s="127"/>
      <c r="I63" s="128"/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514" t="s">
        <v>71</v>
      </c>
      <c r="B64" s="515"/>
      <c r="C64" s="516"/>
      <c r="D64" s="125"/>
      <c r="E64" s="126"/>
      <c r="F64" s="144">
        <f t="shared" si="0"/>
        <v>0</v>
      </c>
      <c r="G64" s="145"/>
      <c r="H64" s="127"/>
      <c r="I64" s="128"/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6"/>
      <c r="D65" s="125"/>
      <c r="E65" s="126">
        <v>216</v>
      </c>
      <c r="F65" s="144">
        <f t="shared" si="0"/>
        <v>216</v>
      </c>
      <c r="G65" s="145"/>
      <c r="H65" s="127">
        <v>220</v>
      </c>
      <c r="I65" s="128"/>
      <c r="J65" s="124">
        <f t="shared" si="1"/>
        <v>220</v>
      </c>
      <c r="K65" s="144">
        <f t="shared" si="2"/>
        <v>4</v>
      </c>
      <c r="L65" s="150">
        <f t="shared" si="4"/>
        <v>1.0185185185185186</v>
      </c>
    </row>
    <row r="66" spans="1:12" s="101" customFormat="1" ht="13.5">
      <c r="A66" s="514" t="s">
        <v>72</v>
      </c>
      <c r="B66" s="515"/>
      <c r="C66" s="516"/>
      <c r="D66" s="125"/>
      <c r="E66" s="126">
        <v>168</v>
      </c>
      <c r="F66" s="144">
        <f t="shared" si="0"/>
        <v>168</v>
      </c>
      <c r="G66" s="145"/>
      <c r="H66" s="127">
        <v>150</v>
      </c>
      <c r="I66" s="128"/>
      <c r="J66" s="124">
        <f t="shared" si="1"/>
        <v>150</v>
      </c>
      <c r="K66" s="144">
        <f t="shared" si="2"/>
        <v>-18</v>
      </c>
      <c r="L66" s="150">
        <f t="shared" si="4"/>
        <v>0.8928571428571429</v>
      </c>
    </row>
    <row r="67" spans="1:12" s="101" customFormat="1" ht="13.5">
      <c r="A67" s="514" t="s">
        <v>73</v>
      </c>
      <c r="B67" s="515"/>
      <c r="C67" s="516"/>
      <c r="D67" s="125">
        <v>818</v>
      </c>
      <c r="E67" s="126">
        <v>652</v>
      </c>
      <c r="F67" s="144">
        <f t="shared" si="0"/>
        <v>-166</v>
      </c>
      <c r="G67" s="145">
        <f>E67/D67</f>
        <v>0.7970660146699267</v>
      </c>
      <c r="H67" s="127">
        <v>650</v>
      </c>
      <c r="I67" s="128"/>
      <c r="J67" s="124">
        <f t="shared" si="1"/>
        <v>650</v>
      </c>
      <c r="K67" s="144">
        <f t="shared" si="2"/>
        <v>-2</v>
      </c>
      <c r="L67" s="150">
        <f t="shared" si="4"/>
        <v>0.9969325153374233</v>
      </c>
    </row>
    <row r="68" spans="1:12" s="101" customFormat="1" ht="13.5">
      <c r="A68" s="514" t="s">
        <v>171</v>
      </c>
      <c r="B68" s="515"/>
      <c r="C68" s="516"/>
      <c r="D68" s="125"/>
      <c r="E68" s="126"/>
      <c r="F68" s="144">
        <f t="shared" si="0"/>
        <v>0</v>
      </c>
      <c r="G68" s="145"/>
      <c r="H68" s="127"/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8"/>
      <c r="D69" s="125">
        <v>28842</v>
      </c>
      <c r="E69" s="126">
        <v>29189</v>
      </c>
      <c r="F69" s="144">
        <f t="shared" si="0"/>
        <v>347</v>
      </c>
      <c r="G69" s="145">
        <f t="shared" si="3"/>
        <v>1.0120310658068095</v>
      </c>
      <c r="H69" s="127">
        <v>29081</v>
      </c>
      <c r="I69" s="128"/>
      <c r="J69" s="124">
        <f t="shared" si="1"/>
        <v>29081</v>
      </c>
      <c r="K69" s="144">
        <f t="shared" si="2"/>
        <v>-108</v>
      </c>
      <c r="L69" s="150">
        <f t="shared" si="4"/>
        <v>0.9962999760183631</v>
      </c>
      <c r="N69" s="129"/>
    </row>
    <row r="70" spans="1:12" s="101" customFormat="1" ht="13.5">
      <c r="A70" s="514" t="s">
        <v>75</v>
      </c>
      <c r="B70" s="515"/>
      <c r="C70" s="516"/>
      <c r="D70" s="125">
        <v>21426</v>
      </c>
      <c r="E70" s="126">
        <v>21467</v>
      </c>
      <c r="F70" s="144">
        <f t="shared" si="0"/>
        <v>41</v>
      </c>
      <c r="G70" s="145">
        <f t="shared" si="3"/>
        <v>1.0019135629608886</v>
      </c>
      <c r="H70" s="127">
        <v>21381</v>
      </c>
      <c r="I70" s="128"/>
      <c r="J70" s="124">
        <f t="shared" si="1"/>
        <v>21381</v>
      </c>
      <c r="K70" s="144">
        <f t="shared" si="2"/>
        <v>-86</v>
      </c>
      <c r="L70" s="150">
        <f t="shared" si="4"/>
        <v>0.995993851027158</v>
      </c>
    </row>
    <row r="71" spans="1:12" s="101" customFormat="1" ht="13.5">
      <c r="A71" s="514" t="s">
        <v>76</v>
      </c>
      <c r="B71" s="515"/>
      <c r="C71" s="516"/>
      <c r="D71" s="125">
        <v>21270</v>
      </c>
      <c r="E71" s="126">
        <v>21212</v>
      </c>
      <c r="F71" s="144">
        <f t="shared" si="0"/>
        <v>-58</v>
      </c>
      <c r="G71" s="145">
        <f t="shared" si="3"/>
        <v>0.9972731546779502</v>
      </c>
      <c r="H71" s="127">
        <v>21181</v>
      </c>
      <c r="I71" s="128"/>
      <c r="J71" s="124">
        <f t="shared" si="1"/>
        <v>21181</v>
      </c>
      <c r="K71" s="144">
        <f t="shared" si="2"/>
        <v>-31</v>
      </c>
      <c r="L71" s="150">
        <f t="shared" si="4"/>
        <v>0.9985385630775033</v>
      </c>
    </row>
    <row r="72" spans="1:12" s="101" customFormat="1" ht="13.5">
      <c r="A72" s="514" t="s">
        <v>172</v>
      </c>
      <c r="B72" s="515"/>
      <c r="C72" s="516"/>
      <c r="D72" s="125">
        <v>21061</v>
      </c>
      <c r="E72" s="126">
        <v>21061</v>
      </c>
      <c r="F72" s="144">
        <f t="shared" si="0"/>
        <v>0</v>
      </c>
      <c r="G72" s="145">
        <f t="shared" si="3"/>
        <v>1</v>
      </c>
      <c r="H72" s="127">
        <v>21061</v>
      </c>
      <c r="I72" s="128"/>
      <c r="J72" s="124">
        <f t="shared" si="1"/>
        <v>21061</v>
      </c>
      <c r="K72" s="144">
        <f t="shared" si="2"/>
        <v>0</v>
      </c>
      <c r="L72" s="150">
        <f t="shared" si="4"/>
        <v>1</v>
      </c>
    </row>
    <row r="73" spans="1:14" s="101" customFormat="1" ht="13.5">
      <c r="A73" s="514" t="s">
        <v>77</v>
      </c>
      <c r="B73" s="515"/>
      <c r="C73" s="516"/>
      <c r="D73" s="125">
        <v>156</v>
      </c>
      <c r="E73" s="126">
        <v>255</v>
      </c>
      <c r="F73" s="144">
        <f t="shared" si="0"/>
        <v>99</v>
      </c>
      <c r="G73" s="145">
        <f t="shared" si="3"/>
        <v>1.6346153846153846</v>
      </c>
      <c r="H73" s="127">
        <v>200</v>
      </c>
      <c r="I73" s="128"/>
      <c r="J73" s="124">
        <f t="shared" si="1"/>
        <v>200</v>
      </c>
      <c r="K73" s="144">
        <f t="shared" si="2"/>
        <v>-55</v>
      </c>
      <c r="L73" s="150">
        <f t="shared" si="4"/>
        <v>0.7843137254901961</v>
      </c>
      <c r="N73" s="129"/>
    </row>
    <row r="74" spans="1:12" s="101" customFormat="1" ht="13.5">
      <c r="A74" s="514" t="s">
        <v>78</v>
      </c>
      <c r="B74" s="515"/>
      <c r="C74" s="516"/>
      <c r="D74" s="125">
        <v>7571</v>
      </c>
      <c r="E74" s="126">
        <v>7721</v>
      </c>
      <c r="F74" s="144">
        <f t="shared" si="0"/>
        <v>150</v>
      </c>
      <c r="G74" s="145">
        <f t="shared" si="3"/>
        <v>1.0198124422137103</v>
      </c>
      <c r="H74" s="127">
        <v>7700</v>
      </c>
      <c r="I74" s="128"/>
      <c r="J74" s="124">
        <f t="shared" si="1"/>
        <v>7700</v>
      </c>
      <c r="K74" s="144">
        <f t="shared" si="2"/>
        <v>-21</v>
      </c>
      <c r="L74" s="150">
        <f t="shared" si="4"/>
        <v>0.9972801450589301</v>
      </c>
    </row>
    <row r="75" spans="1:15" s="101" customFormat="1" ht="13.5">
      <c r="A75" s="526" t="s">
        <v>79</v>
      </c>
      <c r="B75" s="527"/>
      <c r="C75" s="528"/>
      <c r="D75" s="125">
        <v>2</v>
      </c>
      <c r="E75" s="126">
        <v>2</v>
      </c>
      <c r="F75" s="144">
        <f t="shared" si="0"/>
        <v>0</v>
      </c>
      <c r="G75" s="145">
        <f t="shared" si="3"/>
        <v>1</v>
      </c>
      <c r="H75" s="127">
        <v>2</v>
      </c>
      <c r="I75" s="128"/>
      <c r="J75" s="124">
        <f t="shared" si="1"/>
        <v>2</v>
      </c>
      <c r="K75" s="144">
        <f t="shared" si="2"/>
        <v>0</v>
      </c>
      <c r="L75" s="150">
        <f t="shared" si="4"/>
        <v>1</v>
      </c>
      <c r="N75" s="129"/>
      <c r="O75" s="139"/>
    </row>
    <row r="76" spans="1:12" s="101" customFormat="1" ht="13.5">
      <c r="A76" s="514" t="s">
        <v>80</v>
      </c>
      <c r="B76" s="515"/>
      <c r="C76" s="516"/>
      <c r="D76" s="125"/>
      <c r="E76" s="126"/>
      <c r="F76" s="144">
        <f aca="true" t="shared" si="5" ref="F76:F90">E76-D76</f>
        <v>0</v>
      </c>
      <c r="G76" s="145"/>
      <c r="H76" s="127"/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8"/>
      <c r="D77" s="125">
        <v>202</v>
      </c>
      <c r="E77" s="126">
        <v>75</v>
      </c>
      <c r="F77" s="144">
        <f t="shared" si="5"/>
        <v>-127</v>
      </c>
      <c r="G77" s="145">
        <f aca="true" t="shared" si="8" ref="G77:G85">E77/D77</f>
        <v>0.3712871287128713</v>
      </c>
      <c r="H77" s="127">
        <v>75</v>
      </c>
      <c r="I77" s="128"/>
      <c r="J77" s="124">
        <f t="shared" si="6"/>
        <v>75</v>
      </c>
      <c r="K77" s="144">
        <f t="shared" si="7"/>
        <v>0</v>
      </c>
      <c r="L77" s="150">
        <f aca="true" t="shared" si="9" ref="L77:L85">J77/E77</f>
        <v>1</v>
      </c>
    </row>
    <row r="78" spans="1:12" s="101" customFormat="1" ht="13.5">
      <c r="A78" s="514" t="s">
        <v>82</v>
      </c>
      <c r="B78" s="515"/>
      <c r="C78" s="516"/>
      <c r="D78" s="138"/>
      <c r="E78" s="130"/>
      <c r="F78" s="144">
        <f t="shared" si="5"/>
        <v>0</v>
      </c>
      <c r="G78" s="145"/>
      <c r="H78" s="122"/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6"/>
      <c r="D79" s="125"/>
      <c r="E79" s="126"/>
      <c r="F79" s="144">
        <f t="shared" si="5"/>
        <v>0</v>
      </c>
      <c r="G79" s="145"/>
      <c r="H79" s="127"/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8"/>
      <c r="D80" s="125">
        <v>2503</v>
      </c>
      <c r="E80" s="126">
        <v>2354</v>
      </c>
      <c r="F80" s="144">
        <f t="shared" si="5"/>
        <v>-149</v>
      </c>
      <c r="G80" s="145">
        <f t="shared" si="8"/>
        <v>0.9404714342788654</v>
      </c>
      <c r="H80" s="127">
        <v>1999</v>
      </c>
      <c r="I80" s="128"/>
      <c r="J80" s="124">
        <f t="shared" si="6"/>
        <v>1999</v>
      </c>
      <c r="K80" s="144">
        <f t="shared" si="7"/>
        <v>-355</v>
      </c>
      <c r="L80" s="150">
        <f t="shared" si="9"/>
        <v>0.8491928632115548</v>
      </c>
    </row>
    <row r="81" spans="1:12" s="101" customFormat="1" ht="13.5">
      <c r="A81" s="514" t="s">
        <v>85</v>
      </c>
      <c r="B81" s="515"/>
      <c r="C81" s="516"/>
      <c r="D81" s="125">
        <v>2500</v>
      </c>
      <c r="E81" s="126">
        <v>2146</v>
      </c>
      <c r="F81" s="144">
        <f t="shared" si="5"/>
        <v>-354</v>
      </c>
      <c r="G81" s="145">
        <f t="shared" si="8"/>
        <v>0.8584</v>
      </c>
      <c r="H81" s="366">
        <v>1799</v>
      </c>
      <c r="I81" s="128"/>
      <c r="J81" s="124">
        <f t="shared" si="6"/>
        <v>1799</v>
      </c>
      <c r="K81" s="144">
        <f t="shared" si="7"/>
        <v>-347</v>
      </c>
      <c r="L81" s="150">
        <f t="shared" si="9"/>
        <v>0.8383038210624417</v>
      </c>
    </row>
    <row r="82" spans="1:12" s="101" customFormat="1" ht="13.5">
      <c r="A82" s="514" t="s">
        <v>86</v>
      </c>
      <c r="B82" s="515"/>
      <c r="C82" s="516"/>
      <c r="D82" s="125"/>
      <c r="E82" s="126"/>
      <c r="F82" s="144">
        <f t="shared" si="5"/>
        <v>0</v>
      </c>
      <c r="G82" s="145"/>
      <c r="H82" s="127"/>
      <c r="I82" s="128"/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514" t="s">
        <v>173</v>
      </c>
      <c r="B83" s="515"/>
      <c r="C83" s="516"/>
      <c r="D83" s="125">
        <v>3</v>
      </c>
      <c r="E83" s="126"/>
      <c r="F83" s="144">
        <f t="shared" si="5"/>
        <v>-3</v>
      </c>
      <c r="G83" s="145">
        <f t="shared" si="8"/>
        <v>0</v>
      </c>
      <c r="H83" s="127"/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6"/>
      <c r="D84" s="125">
        <v>993</v>
      </c>
      <c r="E84" s="126">
        <v>208</v>
      </c>
      <c r="F84" s="144">
        <f t="shared" si="5"/>
        <v>-785</v>
      </c>
      <c r="G84" s="145">
        <f t="shared" si="8"/>
        <v>0.2094662638469285</v>
      </c>
      <c r="H84" s="127">
        <v>200</v>
      </c>
      <c r="I84" s="128"/>
      <c r="J84" s="124">
        <f t="shared" si="6"/>
        <v>200</v>
      </c>
      <c r="K84" s="144">
        <f t="shared" si="7"/>
        <v>-8</v>
      </c>
      <c r="L84" s="150">
        <f t="shared" si="9"/>
        <v>0.9615384615384616</v>
      </c>
    </row>
    <row r="85" spans="1:12" s="101" customFormat="1" ht="13.5">
      <c r="A85" s="514" t="s">
        <v>174</v>
      </c>
      <c r="B85" s="515"/>
      <c r="C85" s="516"/>
      <c r="D85" s="125">
        <v>993</v>
      </c>
      <c r="E85" s="126">
        <v>208</v>
      </c>
      <c r="F85" s="144">
        <f t="shared" si="5"/>
        <v>-785</v>
      </c>
      <c r="G85" s="145">
        <f t="shared" si="8"/>
        <v>0.2094662638469285</v>
      </c>
      <c r="H85" s="127">
        <v>200</v>
      </c>
      <c r="I85" s="128"/>
      <c r="J85" s="124">
        <f t="shared" si="6"/>
        <v>200</v>
      </c>
      <c r="K85" s="144">
        <f t="shared" si="7"/>
        <v>-8</v>
      </c>
      <c r="L85" s="150">
        <f t="shared" si="9"/>
        <v>0.9615384615384616</v>
      </c>
    </row>
    <row r="86" spans="1:14" s="101" customFormat="1" ht="13.5">
      <c r="A86" s="514" t="s">
        <v>175</v>
      </c>
      <c r="B86" s="515"/>
      <c r="C86" s="516"/>
      <c r="D86" s="125"/>
      <c r="E86" s="126"/>
      <c r="F86" s="144">
        <f t="shared" si="5"/>
        <v>0</v>
      </c>
      <c r="G86" s="145"/>
      <c r="H86" s="127"/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526" t="s">
        <v>88</v>
      </c>
      <c r="B87" s="527"/>
      <c r="C87" s="528"/>
      <c r="D87" s="125"/>
      <c r="E87" s="126"/>
      <c r="F87" s="144">
        <f t="shared" si="5"/>
        <v>0</v>
      </c>
      <c r="G87" s="145"/>
      <c r="H87" s="127"/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6"/>
      <c r="D88" s="125"/>
      <c r="E88" s="126"/>
      <c r="F88" s="144">
        <f t="shared" si="5"/>
        <v>0</v>
      </c>
      <c r="G88" s="145"/>
      <c r="H88" s="127"/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8"/>
      <c r="D89" s="125"/>
      <c r="E89" s="126"/>
      <c r="F89" s="144">
        <f t="shared" si="5"/>
        <v>0</v>
      </c>
      <c r="G89" s="145"/>
      <c r="H89" s="127"/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32"/>
      <c r="D90" s="102"/>
      <c r="E90" s="140"/>
      <c r="F90" s="144">
        <f t="shared" si="5"/>
        <v>0</v>
      </c>
      <c r="G90" s="145"/>
      <c r="H90" s="127"/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44197</v>
      </c>
      <c r="E91" s="178">
        <v>43948</v>
      </c>
      <c r="F91" s="179"/>
      <c r="G91" s="179"/>
      <c r="H91" s="180">
        <v>43608</v>
      </c>
      <c r="I91" s="180"/>
      <c r="J91" s="181">
        <f>H91</f>
        <v>43608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v>175</v>
      </c>
      <c r="E92" s="184">
        <v>0</v>
      </c>
      <c r="F92" s="185"/>
      <c r="G92" s="185"/>
      <c r="H92" s="184">
        <v>0</v>
      </c>
      <c r="I92" s="184"/>
      <c r="J92" s="186">
        <f>H92</f>
        <v>0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4.25" customHeight="1" thickBot="1">
      <c r="A94" s="416" t="s">
        <v>178</v>
      </c>
      <c r="B94" s="417"/>
      <c r="C94" s="420" t="s">
        <v>104</v>
      </c>
      <c r="D94" s="42"/>
      <c r="E94" s="425" t="s">
        <v>179</v>
      </c>
      <c r="F94" s="426"/>
      <c r="G94" s="426"/>
      <c r="H94" s="426"/>
      <c r="I94" s="429" t="s">
        <v>104</v>
      </c>
      <c r="J94" s="43"/>
      <c r="K94" s="43"/>
      <c r="L94" s="43"/>
      <c r="M94" s="43"/>
      <c r="N94" s="43"/>
    </row>
    <row r="95" spans="1:14" ht="14.25" thickBot="1">
      <c r="A95" s="418"/>
      <c r="B95" s="419"/>
      <c r="C95" s="421"/>
      <c r="D95" s="42"/>
      <c r="E95" s="427"/>
      <c r="F95" s="428"/>
      <c r="G95" s="428"/>
      <c r="H95" s="428"/>
      <c r="I95" s="430"/>
      <c r="J95" s="43"/>
      <c r="K95" s="43"/>
      <c r="L95" s="43"/>
      <c r="M95" s="43"/>
      <c r="N95" s="43"/>
    </row>
    <row r="96" spans="1:14" ht="14.25" thickBot="1">
      <c r="A96" s="550" t="s">
        <v>206</v>
      </c>
      <c r="B96" s="551"/>
      <c r="C96" s="347">
        <v>400</v>
      </c>
      <c r="D96" s="92"/>
      <c r="E96" s="544" t="s">
        <v>209</v>
      </c>
      <c r="F96" s="545"/>
      <c r="G96" s="545"/>
      <c r="H96" s="546"/>
      <c r="I96" s="221">
        <v>150</v>
      </c>
      <c r="J96" s="43"/>
      <c r="K96" s="43"/>
      <c r="L96" s="43"/>
      <c r="M96" s="43"/>
      <c r="N96" s="38" t="s">
        <v>105</v>
      </c>
    </row>
    <row r="97" spans="1:14" ht="13.5">
      <c r="A97" s="552" t="s">
        <v>207</v>
      </c>
      <c r="B97" s="540"/>
      <c r="C97" s="109">
        <v>474</v>
      </c>
      <c r="D97" s="92"/>
      <c r="E97" s="541" t="s">
        <v>142</v>
      </c>
      <c r="F97" s="542"/>
      <c r="G97" s="542"/>
      <c r="H97" s="543"/>
      <c r="I97" s="222">
        <v>415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552" t="s">
        <v>208</v>
      </c>
      <c r="B98" s="540"/>
      <c r="C98" s="109">
        <v>155</v>
      </c>
      <c r="D98" s="92"/>
      <c r="E98" s="541" t="s">
        <v>210</v>
      </c>
      <c r="F98" s="542"/>
      <c r="G98" s="542"/>
      <c r="H98" s="543"/>
      <c r="I98" s="222">
        <v>15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552" t="s">
        <v>136</v>
      </c>
      <c r="B99" s="540"/>
      <c r="C99" s="369">
        <v>1291</v>
      </c>
      <c r="D99" s="92"/>
      <c r="E99" s="541"/>
      <c r="F99" s="542"/>
      <c r="G99" s="542"/>
      <c r="H99" s="543"/>
      <c r="I99" s="222"/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552"/>
      <c r="B100" s="540"/>
      <c r="C100" s="109"/>
      <c r="D100" s="92"/>
      <c r="E100" s="541"/>
      <c r="F100" s="542"/>
      <c r="G100" s="542"/>
      <c r="H100" s="543"/>
      <c r="I100" s="223"/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552"/>
      <c r="B101" s="540"/>
      <c r="C101" s="109"/>
      <c r="D101" s="92"/>
      <c r="E101" s="541"/>
      <c r="F101" s="542"/>
      <c r="G101" s="542"/>
      <c r="H101" s="543"/>
      <c r="I101" s="223"/>
      <c r="J101" s="43"/>
      <c r="K101" s="43"/>
      <c r="L101" s="43"/>
      <c r="M101" s="43"/>
      <c r="N101" s="43"/>
    </row>
    <row r="102" spans="1:14" ht="13.5">
      <c r="A102" s="552"/>
      <c r="B102" s="540"/>
      <c r="C102" s="109"/>
      <c r="D102" s="35"/>
      <c r="E102" s="541"/>
      <c r="F102" s="542"/>
      <c r="G102" s="542"/>
      <c r="H102" s="543"/>
      <c r="I102" s="222"/>
      <c r="J102" s="43"/>
      <c r="K102" s="43"/>
      <c r="L102" s="43"/>
      <c r="M102" s="43"/>
      <c r="N102" s="43"/>
    </row>
    <row r="103" spans="1:14" ht="14.25" thickBot="1">
      <c r="A103" s="553"/>
      <c r="B103" s="554"/>
      <c r="C103" s="96"/>
      <c r="D103" s="35"/>
      <c r="E103" s="547"/>
      <c r="F103" s="548"/>
      <c r="G103" s="548"/>
      <c r="H103" s="549"/>
      <c r="I103" s="224"/>
      <c r="J103" s="43"/>
      <c r="K103" s="43"/>
      <c r="L103" s="43"/>
      <c r="M103" s="43"/>
      <c r="N103" s="43"/>
    </row>
    <row r="104" spans="1:14" ht="14.25" thickBot="1">
      <c r="A104" s="445" t="s">
        <v>97</v>
      </c>
      <c r="B104" s="446"/>
      <c r="C104" s="202">
        <f>SUM(C96:C102)</f>
        <v>2320</v>
      </c>
      <c r="D104" s="59"/>
      <c r="E104" s="447" t="s">
        <v>97</v>
      </c>
      <c r="F104" s="448"/>
      <c r="G104" s="448"/>
      <c r="H104" s="448"/>
      <c r="I104" s="203">
        <f>SUM(I96:I103)</f>
        <v>580</v>
      </c>
      <c r="J104" s="43"/>
      <c r="K104" s="43"/>
      <c r="L104" s="43"/>
      <c r="M104" s="43"/>
      <c r="N104" s="61"/>
    </row>
    <row r="105" spans="1:5" s="34" customFormat="1" ht="13.5" customHeight="1">
      <c r="A105" s="59"/>
      <c r="B105" s="62"/>
      <c r="C105" s="62"/>
      <c r="D105" s="62"/>
      <c r="E105" s="62"/>
    </row>
    <row r="106" spans="1:12" s="34" customFormat="1" ht="14.25" thickBot="1">
      <c r="A106" s="63" t="s">
        <v>181</v>
      </c>
      <c r="B106" s="36"/>
      <c r="C106" s="36"/>
      <c r="D106" s="36"/>
      <c r="E106" s="39"/>
      <c r="F106" s="41"/>
      <c r="G106" s="41"/>
      <c r="H106" s="35"/>
      <c r="I106" s="36"/>
      <c r="J106" s="36" t="s">
        <v>110</v>
      </c>
      <c r="K106" s="36"/>
      <c r="L106" s="39"/>
    </row>
    <row r="107" spans="1:11" s="34" customFormat="1" ht="13.5">
      <c r="A107" s="449" t="s">
        <v>111</v>
      </c>
      <c r="B107" s="452" t="s">
        <v>248</v>
      </c>
      <c r="C107" s="459" t="s">
        <v>182</v>
      </c>
      <c r="D107" s="460"/>
      <c r="E107" s="460"/>
      <c r="F107" s="460"/>
      <c r="G107" s="460"/>
      <c r="H107" s="460"/>
      <c r="I107" s="460"/>
      <c r="J107" s="461"/>
      <c r="K107" s="455" t="s">
        <v>183</v>
      </c>
    </row>
    <row r="108" spans="1:11" s="34" customFormat="1" ht="13.5">
      <c r="A108" s="450"/>
      <c r="B108" s="453"/>
      <c r="C108" s="458" t="s">
        <v>112</v>
      </c>
      <c r="D108" s="462" t="s">
        <v>113</v>
      </c>
      <c r="E108" s="462"/>
      <c r="F108" s="462"/>
      <c r="G108" s="462"/>
      <c r="H108" s="462"/>
      <c r="I108" s="462"/>
      <c r="J108" s="463"/>
      <c r="K108" s="456"/>
    </row>
    <row r="109" spans="1:12" s="34" customFormat="1" ht="14.25" thickBot="1">
      <c r="A109" s="451"/>
      <c r="B109" s="454"/>
      <c r="C109" s="458"/>
      <c r="D109" s="164">
        <v>1</v>
      </c>
      <c r="E109" s="164">
        <v>2</v>
      </c>
      <c r="F109" s="164">
        <v>3</v>
      </c>
      <c r="G109" s="164">
        <v>4</v>
      </c>
      <c r="H109" s="164">
        <v>5</v>
      </c>
      <c r="I109" s="164">
        <v>6</v>
      </c>
      <c r="J109" s="165">
        <v>7</v>
      </c>
      <c r="K109" s="457"/>
      <c r="L109" s="71"/>
    </row>
    <row r="110" spans="1:11" s="34" customFormat="1" ht="14.25" thickBot="1">
      <c r="A110" s="64">
        <v>150337</v>
      </c>
      <c r="B110" s="65">
        <v>30899</v>
      </c>
      <c r="C110" s="364">
        <f>SUM(D110:J110)</f>
        <v>1799</v>
      </c>
      <c r="D110" s="167">
        <v>128</v>
      </c>
      <c r="E110" s="167">
        <v>209</v>
      </c>
      <c r="F110" s="167">
        <v>0</v>
      </c>
      <c r="G110" s="167">
        <v>0</v>
      </c>
      <c r="H110" s="167">
        <v>147</v>
      </c>
      <c r="I110" s="168">
        <v>0</v>
      </c>
      <c r="J110" s="225">
        <v>1315</v>
      </c>
      <c r="K110" s="163">
        <v>1799</v>
      </c>
    </row>
    <row r="111" spans="1:5" s="34" customFormat="1" ht="13.5">
      <c r="A111" s="59"/>
      <c r="B111" s="62"/>
      <c r="C111" s="62"/>
      <c r="D111" s="62"/>
      <c r="E111" s="62"/>
    </row>
    <row r="112" spans="1:8" s="34" customFormat="1" ht="14.25" thickBot="1">
      <c r="A112" s="63" t="s">
        <v>184</v>
      </c>
      <c r="C112" s="36"/>
      <c r="D112" s="36"/>
      <c r="E112" s="36"/>
      <c r="F112" s="36" t="s">
        <v>110</v>
      </c>
      <c r="G112" s="41"/>
      <c r="H112" s="35"/>
    </row>
    <row r="113" spans="1:6" s="34" customFormat="1" ht="15" customHeight="1" thickBot="1">
      <c r="A113" s="467" t="s">
        <v>114</v>
      </c>
      <c r="B113" s="469" t="s">
        <v>188</v>
      </c>
      <c r="C113" s="188" t="s">
        <v>185</v>
      </c>
      <c r="D113" s="189"/>
      <c r="E113" s="189"/>
      <c r="F113" s="190"/>
    </row>
    <row r="114" spans="1:6" s="34" customFormat="1" ht="27.75" thickBot="1">
      <c r="A114" s="468"/>
      <c r="B114" s="469"/>
      <c r="C114" s="67" t="s">
        <v>186</v>
      </c>
      <c r="D114" s="66" t="s">
        <v>115</v>
      </c>
      <c r="E114" s="67" t="s">
        <v>116</v>
      </c>
      <c r="F114" s="191" t="s">
        <v>187</v>
      </c>
    </row>
    <row r="115" spans="1:6" s="34" customFormat="1" ht="13.5">
      <c r="A115" s="192" t="s">
        <v>117</v>
      </c>
      <c r="B115" s="218">
        <v>3863</v>
      </c>
      <c r="C115" s="68" t="s">
        <v>118</v>
      </c>
      <c r="D115" s="69" t="s">
        <v>118</v>
      </c>
      <c r="E115" s="69" t="s">
        <v>118</v>
      </c>
      <c r="F115" s="193" t="s">
        <v>118</v>
      </c>
    </row>
    <row r="116" spans="1:13" s="34" customFormat="1" ht="13.5">
      <c r="A116" s="194" t="s">
        <v>119</v>
      </c>
      <c r="B116" s="219">
        <v>122</v>
      </c>
      <c r="C116" s="197">
        <v>122</v>
      </c>
      <c r="D116" s="51">
        <v>0</v>
      </c>
      <c r="E116" s="106">
        <v>122</v>
      </c>
      <c r="F116" s="198">
        <f>C116-E116</f>
        <v>0</v>
      </c>
      <c r="M116" s="71"/>
    </row>
    <row r="117" spans="1:13" s="34" customFormat="1" ht="13.5">
      <c r="A117" s="194" t="s">
        <v>120</v>
      </c>
      <c r="B117" s="219">
        <v>326</v>
      </c>
      <c r="C117" s="197">
        <f>242+83</f>
        <v>325</v>
      </c>
      <c r="D117" s="51">
        <f>0+50</f>
        <v>50</v>
      </c>
      <c r="E117" s="106">
        <v>262</v>
      </c>
      <c r="F117" s="198">
        <f>C117+D117-E117</f>
        <v>113</v>
      </c>
      <c r="G117" s="232"/>
      <c r="M117" s="71"/>
    </row>
    <row r="118" spans="1:13" s="34" customFormat="1" ht="13.5">
      <c r="A118" s="194" t="s">
        <v>121</v>
      </c>
      <c r="B118" s="219">
        <v>559</v>
      </c>
      <c r="C118" s="72">
        <v>559</v>
      </c>
      <c r="D118" s="206">
        <v>1799</v>
      </c>
      <c r="E118" s="206">
        <v>2320</v>
      </c>
      <c r="F118" s="198">
        <f>C118+D118-E118</f>
        <v>38</v>
      </c>
      <c r="M118" s="71"/>
    </row>
    <row r="119" spans="1:13" s="34" customFormat="1" ht="13.5">
      <c r="A119" s="194" t="s">
        <v>122</v>
      </c>
      <c r="B119" s="219">
        <f>B115-B116-B117-B118</f>
        <v>2856</v>
      </c>
      <c r="C119" s="74" t="s">
        <v>118</v>
      </c>
      <c r="D119" s="75" t="s">
        <v>118</v>
      </c>
      <c r="E119" s="76" t="s">
        <v>118</v>
      </c>
      <c r="F119" s="195" t="s">
        <v>118</v>
      </c>
      <c r="M119" s="71"/>
    </row>
    <row r="120" spans="1:13" s="34" customFormat="1" ht="14.25" thickBot="1">
      <c r="A120" s="196" t="s">
        <v>123</v>
      </c>
      <c r="B120" s="220">
        <v>212</v>
      </c>
      <c r="C120" s="199">
        <v>216</v>
      </c>
      <c r="D120" s="200">
        <v>212</v>
      </c>
      <c r="E120" s="207">
        <v>210</v>
      </c>
      <c r="F120" s="201">
        <f>C120+D120-E120</f>
        <v>218</v>
      </c>
      <c r="M120" s="71"/>
    </row>
    <row r="121" spans="1:15" s="34" customFormat="1" ht="13.5">
      <c r="A121" s="35"/>
      <c r="B121" s="36"/>
      <c r="C121" s="36"/>
      <c r="D121" s="37"/>
      <c r="E121" s="38"/>
      <c r="F121" s="36"/>
      <c r="G121" s="36"/>
      <c r="H121" s="39"/>
      <c r="I121" s="40"/>
      <c r="J121" s="41"/>
      <c r="K121" s="35"/>
      <c r="L121" s="36"/>
      <c r="M121" s="36"/>
      <c r="N121" s="36"/>
      <c r="O121" s="39"/>
    </row>
    <row r="122" spans="1:11" ht="13.5">
      <c r="A122" s="63"/>
      <c r="K122" s="36"/>
    </row>
    <row r="123" spans="1:11" ht="14.25" thickBot="1">
      <c r="A123" s="63" t="s">
        <v>189</v>
      </c>
      <c r="K123" s="36" t="s">
        <v>110</v>
      </c>
    </row>
    <row r="124" spans="1:11" ht="13.5">
      <c r="A124" s="464" t="s">
        <v>124</v>
      </c>
      <c r="B124" s="465"/>
      <c r="C124" s="466"/>
      <c r="D124" s="78"/>
      <c r="E124" s="464" t="s">
        <v>125</v>
      </c>
      <c r="F124" s="465"/>
      <c r="G124" s="466"/>
      <c r="I124" s="464" t="s">
        <v>126</v>
      </c>
      <c r="J124" s="465"/>
      <c r="K124" s="466"/>
    </row>
    <row r="125" spans="1:11" ht="14.25" thickBot="1">
      <c r="A125" s="79" t="s">
        <v>127</v>
      </c>
      <c r="B125" s="80" t="s">
        <v>128</v>
      </c>
      <c r="C125" s="81" t="s">
        <v>129</v>
      </c>
      <c r="D125" s="78"/>
      <c r="E125" s="82"/>
      <c r="F125" s="470" t="s">
        <v>130</v>
      </c>
      <c r="G125" s="471"/>
      <c r="I125" s="79"/>
      <c r="J125" s="80" t="s">
        <v>131</v>
      </c>
      <c r="K125" s="81" t="s">
        <v>129</v>
      </c>
    </row>
    <row r="126" spans="1:11" ht="13.5">
      <c r="A126" s="83">
        <v>2012</v>
      </c>
      <c r="B126" s="84">
        <v>100</v>
      </c>
      <c r="C126" s="85">
        <v>97</v>
      </c>
      <c r="D126" s="37"/>
      <c r="E126" s="83">
        <v>2012</v>
      </c>
      <c r="F126" s="472">
        <v>172</v>
      </c>
      <c r="G126" s="473"/>
      <c r="I126" s="83">
        <v>2012</v>
      </c>
      <c r="J126" s="84">
        <v>21061</v>
      </c>
      <c r="K126" s="85">
        <v>201061</v>
      </c>
    </row>
    <row r="127" spans="1:11" ht="14.25" thickBot="1">
      <c r="A127" s="86">
        <v>2013</v>
      </c>
      <c r="B127" s="87">
        <v>100</v>
      </c>
      <c r="C127" s="88" t="s">
        <v>92</v>
      </c>
      <c r="D127" s="37"/>
      <c r="E127" s="86">
        <v>2013</v>
      </c>
      <c r="F127" s="388">
        <v>172</v>
      </c>
      <c r="G127" s="389"/>
      <c r="I127" s="86">
        <v>2013</v>
      </c>
      <c r="J127" s="87">
        <v>21061</v>
      </c>
      <c r="K127" s="88" t="s">
        <v>92</v>
      </c>
    </row>
    <row r="128" spans="4:5" ht="13.5">
      <c r="D128" s="37"/>
      <c r="E128" s="1"/>
    </row>
    <row r="129" spans="4:5" ht="13.5">
      <c r="D129" s="37"/>
      <c r="E129" s="1"/>
    </row>
  </sheetData>
  <sheetProtection selectLockedCells="1" selectUnlockedCells="1"/>
  <mergeCells count="129">
    <mergeCell ref="F125:G125"/>
    <mergeCell ref="F126:G126"/>
    <mergeCell ref="F127:G127"/>
    <mergeCell ref="K107:K109"/>
    <mergeCell ref="C108:C109"/>
    <mergeCell ref="D108:J108"/>
    <mergeCell ref="A113:A114"/>
    <mergeCell ref="B113:B114"/>
    <mergeCell ref="A124:C124"/>
    <mergeCell ref="E124:G124"/>
    <mergeCell ref="I124:K124"/>
    <mergeCell ref="A102:B102"/>
    <mergeCell ref="E102:H102"/>
    <mergeCell ref="A103:B103"/>
    <mergeCell ref="E103:H103"/>
    <mergeCell ref="A104:B104"/>
    <mergeCell ref="E104:H104"/>
    <mergeCell ref="A107:A109"/>
    <mergeCell ref="B107:B109"/>
    <mergeCell ref="C107:J107"/>
    <mergeCell ref="A99:B99"/>
    <mergeCell ref="E99:H99"/>
    <mergeCell ref="A100:B100"/>
    <mergeCell ref="E100:H100"/>
    <mergeCell ref="A101:B101"/>
    <mergeCell ref="E101:H101"/>
    <mergeCell ref="E94:H95"/>
    <mergeCell ref="I94:I95"/>
    <mergeCell ref="A96:B96"/>
    <mergeCell ref="E96:H96"/>
    <mergeCell ref="E97:H97"/>
    <mergeCell ref="A98:B98"/>
    <mergeCell ref="E98:H98"/>
    <mergeCell ref="A97:B97"/>
    <mergeCell ref="A85:C85"/>
    <mergeCell ref="A86:C86"/>
    <mergeCell ref="A87:C87"/>
    <mergeCell ref="A88:C88"/>
    <mergeCell ref="A94:B95"/>
    <mergeCell ref="C94:C95"/>
    <mergeCell ref="A89:C89"/>
    <mergeCell ref="A90:C90"/>
    <mergeCell ref="A91:C91"/>
    <mergeCell ref="A92:C92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1" r:id="rId1"/>
  <headerFooter alignWithMargins="0">
    <oddFooter>&amp;C&amp;"Arial CE,Běžné"&amp;P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T137"/>
  <sheetViews>
    <sheetView view="pageBreakPreview" zoomScale="70" zoomScaleSheetLayoutView="70" zoomScalePageLayoutView="0" workbookViewId="0" topLeftCell="A1">
      <selection activeCell="M18" sqref="M18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20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143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09"/>
      <c r="D7" s="121">
        <f>SUM(D10:D17)</f>
        <v>18221</v>
      </c>
      <c r="E7" s="239">
        <f>SUM(E10:E17)</f>
        <v>19120</v>
      </c>
      <c r="F7" s="154">
        <f>SUM(F10:F17)</f>
        <v>899</v>
      </c>
      <c r="G7" s="145"/>
      <c r="H7" s="122">
        <f>SUM(H10:H17)</f>
        <v>18724</v>
      </c>
      <c r="I7" s="123">
        <f>SUM(I10:I17)</f>
        <v>666</v>
      </c>
      <c r="J7" s="156">
        <f>H7+I7</f>
        <v>19390</v>
      </c>
      <c r="K7" s="144">
        <f>J7-E7</f>
        <v>270</v>
      </c>
      <c r="L7" s="150">
        <f>J7/E7</f>
        <v>1.014121338912134</v>
      </c>
    </row>
    <row r="8" spans="1:12" s="101" customFormat="1" ht="13.5">
      <c r="A8" s="511" t="s">
        <v>25</v>
      </c>
      <c r="B8" s="512"/>
      <c r="C8" s="512"/>
      <c r="D8" s="125"/>
      <c r="E8" s="240"/>
      <c r="F8" s="154"/>
      <c r="G8" s="145"/>
      <c r="H8" s="127"/>
      <c r="I8" s="128"/>
      <c r="J8" s="156">
        <f aca="true" t="shared" si="0" ref="J8:J75">H8+I8</f>
        <v>0</v>
      </c>
      <c r="K8" s="144">
        <f aca="true" t="shared" si="1" ref="K8:K75">J8-E8</f>
        <v>0</v>
      </c>
      <c r="L8" s="150"/>
    </row>
    <row r="9" spans="1:12" s="101" customFormat="1" ht="13.5">
      <c r="A9" s="511" t="s">
        <v>26</v>
      </c>
      <c r="B9" s="512"/>
      <c r="C9" s="512"/>
      <c r="D9" s="125">
        <f>SUM(D10:D14)</f>
        <v>18094</v>
      </c>
      <c r="E9" s="240">
        <f>SUM(E10:E15)</f>
        <v>18985</v>
      </c>
      <c r="F9" s="154">
        <f aca="true" t="shared" si="2" ref="F9:F75">E9-D9</f>
        <v>891</v>
      </c>
      <c r="G9" s="145">
        <f aca="true" t="shared" si="3" ref="G9:G75">E9/D9</f>
        <v>1.0492428429313585</v>
      </c>
      <c r="H9" s="127">
        <f>SUM(H10:H15)</f>
        <v>18574</v>
      </c>
      <c r="I9" s="128">
        <f>SUM(I10:I15)</f>
        <v>666</v>
      </c>
      <c r="J9" s="156">
        <f t="shared" si="0"/>
        <v>19240</v>
      </c>
      <c r="K9" s="144">
        <f t="shared" si="1"/>
        <v>255</v>
      </c>
      <c r="L9" s="150">
        <f aca="true" t="shared" si="4" ref="L9:L75">J9/E9</f>
        <v>1.0134316565709771</v>
      </c>
    </row>
    <row r="10" spans="1:12" s="101" customFormat="1" ht="13.5">
      <c r="A10" s="514" t="s">
        <v>27</v>
      </c>
      <c r="B10" s="515"/>
      <c r="C10" s="515"/>
      <c r="D10" s="125">
        <v>9840</v>
      </c>
      <c r="E10" s="240">
        <v>10192</v>
      </c>
      <c r="F10" s="154">
        <f t="shared" si="2"/>
        <v>352</v>
      </c>
      <c r="G10" s="145">
        <f t="shared" si="3"/>
        <v>1.0357723577235773</v>
      </c>
      <c r="H10" s="127">
        <v>10500</v>
      </c>
      <c r="I10" s="128"/>
      <c r="J10" s="156">
        <f t="shared" si="0"/>
        <v>10500</v>
      </c>
      <c r="K10" s="144">
        <f t="shared" si="1"/>
        <v>308</v>
      </c>
      <c r="L10" s="150">
        <f t="shared" si="4"/>
        <v>1.0302197802197801</v>
      </c>
    </row>
    <row r="11" spans="1:12" s="101" customFormat="1" ht="13.5">
      <c r="A11" s="514" t="s">
        <v>28</v>
      </c>
      <c r="B11" s="515"/>
      <c r="C11" s="515"/>
      <c r="D11" s="125">
        <v>6516</v>
      </c>
      <c r="E11" s="240">
        <v>7628</v>
      </c>
      <c r="F11" s="154">
        <f t="shared" si="2"/>
        <v>1112</v>
      </c>
      <c r="G11" s="145">
        <f t="shared" si="3"/>
        <v>1.1706568446899939</v>
      </c>
      <c r="H11" s="127">
        <v>7630</v>
      </c>
      <c r="I11" s="128"/>
      <c r="J11" s="156">
        <f t="shared" si="0"/>
        <v>7630</v>
      </c>
      <c r="K11" s="144">
        <f t="shared" si="1"/>
        <v>2</v>
      </c>
      <c r="L11" s="150">
        <f t="shared" si="4"/>
        <v>1.0002621919244887</v>
      </c>
    </row>
    <row r="12" spans="1:12" s="101" customFormat="1" ht="13.5">
      <c r="A12" s="514" t="s">
        <v>29</v>
      </c>
      <c r="B12" s="515"/>
      <c r="C12" s="515"/>
      <c r="D12" s="125">
        <v>61</v>
      </c>
      <c r="E12" s="240">
        <v>59</v>
      </c>
      <c r="F12" s="154">
        <f t="shared" si="2"/>
        <v>-2</v>
      </c>
      <c r="G12" s="145">
        <f t="shared" si="3"/>
        <v>0.9672131147540983</v>
      </c>
      <c r="H12" s="127">
        <v>0</v>
      </c>
      <c r="I12" s="128"/>
      <c r="J12" s="156">
        <f t="shared" si="0"/>
        <v>0</v>
      </c>
      <c r="K12" s="144">
        <f t="shared" si="1"/>
        <v>-59</v>
      </c>
      <c r="L12" s="150">
        <f t="shared" si="4"/>
        <v>0</v>
      </c>
    </row>
    <row r="13" spans="1:12" s="101" customFormat="1" ht="13.5">
      <c r="A13" s="514" t="s">
        <v>30</v>
      </c>
      <c r="B13" s="515"/>
      <c r="C13" s="515"/>
      <c r="D13" s="125">
        <v>860</v>
      </c>
      <c r="E13" s="240">
        <v>209</v>
      </c>
      <c r="F13" s="154">
        <f t="shared" si="2"/>
        <v>-651</v>
      </c>
      <c r="G13" s="145">
        <f t="shared" si="3"/>
        <v>0.24302325581395348</v>
      </c>
      <c r="H13" s="127">
        <v>210</v>
      </c>
      <c r="I13" s="128"/>
      <c r="J13" s="156">
        <f t="shared" si="0"/>
        <v>210</v>
      </c>
      <c r="K13" s="144">
        <f t="shared" si="1"/>
        <v>1</v>
      </c>
      <c r="L13" s="150">
        <f t="shared" si="4"/>
        <v>1.0047846889952152</v>
      </c>
    </row>
    <row r="14" spans="1:12" s="101" customFormat="1" ht="13.5">
      <c r="A14" s="514" t="s">
        <v>31</v>
      </c>
      <c r="B14" s="515"/>
      <c r="C14" s="515"/>
      <c r="D14" s="125">
        <v>817</v>
      </c>
      <c r="E14" s="240">
        <v>895</v>
      </c>
      <c r="F14" s="154">
        <f t="shared" si="2"/>
        <v>78</v>
      </c>
      <c r="G14" s="145">
        <f t="shared" si="3"/>
        <v>1.0954712362301102</v>
      </c>
      <c r="H14" s="127">
        <v>234</v>
      </c>
      <c r="I14" s="128">
        <v>666</v>
      </c>
      <c r="J14" s="156">
        <f t="shared" si="0"/>
        <v>900</v>
      </c>
      <c r="K14" s="144">
        <f t="shared" si="1"/>
        <v>5</v>
      </c>
      <c r="L14" s="150">
        <f t="shared" si="4"/>
        <v>1.005586592178771</v>
      </c>
    </row>
    <row r="15" spans="1:14" s="101" customFormat="1" ht="13.5">
      <c r="A15" s="514" t="s">
        <v>32</v>
      </c>
      <c r="B15" s="515"/>
      <c r="C15" s="515"/>
      <c r="D15" s="125"/>
      <c r="E15" s="240">
        <v>2</v>
      </c>
      <c r="F15" s="154">
        <f t="shared" si="2"/>
        <v>2</v>
      </c>
      <c r="G15" s="145"/>
      <c r="H15" s="127"/>
      <c r="I15" s="128"/>
      <c r="J15" s="156">
        <f t="shared" si="0"/>
        <v>0</v>
      </c>
      <c r="K15" s="144">
        <f t="shared" si="1"/>
        <v>-2</v>
      </c>
      <c r="L15" s="150">
        <f t="shared" si="4"/>
        <v>0</v>
      </c>
      <c r="N15" s="129"/>
    </row>
    <row r="16" spans="1:12" s="101" customFormat="1" ht="13.5">
      <c r="A16" s="511" t="s">
        <v>33</v>
      </c>
      <c r="B16" s="512"/>
      <c r="C16" s="512"/>
      <c r="D16" s="125">
        <v>127</v>
      </c>
      <c r="E16" s="240">
        <v>135</v>
      </c>
      <c r="F16" s="154">
        <f t="shared" si="2"/>
        <v>8</v>
      </c>
      <c r="G16" s="145">
        <f t="shared" si="3"/>
        <v>1.062992125984252</v>
      </c>
      <c r="H16" s="127">
        <v>150</v>
      </c>
      <c r="I16" s="128"/>
      <c r="J16" s="156">
        <f t="shared" si="0"/>
        <v>150</v>
      </c>
      <c r="K16" s="144">
        <f t="shared" si="1"/>
        <v>15</v>
      </c>
      <c r="L16" s="150">
        <f t="shared" si="4"/>
        <v>1.1111111111111112</v>
      </c>
    </row>
    <row r="17" spans="1:12" s="101" customFormat="1" ht="13.5">
      <c r="A17" s="511" t="s">
        <v>34</v>
      </c>
      <c r="B17" s="512"/>
      <c r="C17" s="512"/>
      <c r="D17" s="125"/>
      <c r="E17" s="240"/>
      <c r="F17" s="154">
        <f t="shared" si="2"/>
        <v>0</v>
      </c>
      <c r="G17" s="145"/>
      <c r="H17" s="127"/>
      <c r="I17" s="128"/>
      <c r="J17" s="156">
        <f t="shared" si="0"/>
        <v>0</v>
      </c>
      <c r="K17" s="144">
        <f t="shared" si="1"/>
        <v>0</v>
      </c>
      <c r="L17" s="150"/>
    </row>
    <row r="18" spans="1:12" s="101" customFormat="1" ht="13.5">
      <c r="A18" s="517" t="s">
        <v>35</v>
      </c>
      <c r="B18" s="518"/>
      <c r="C18" s="518"/>
      <c r="D18" s="125">
        <f>SUM(D22:D23)</f>
        <v>168</v>
      </c>
      <c r="E18" s="240">
        <v>194</v>
      </c>
      <c r="F18" s="154">
        <f t="shared" si="2"/>
        <v>26</v>
      </c>
      <c r="G18" s="145">
        <f t="shared" si="3"/>
        <v>1.1547619047619047</v>
      </c>
      <c r="H18" s="127"/>
      <c r="I18" s="128"/>
      <c r="J18" s="156">
        <f t="shared" si="0"/>
        <v>0</v>
      </c>
      <c r="K18" s="144">
        <f t="shared" si="1"/>
        <v>-194</v>
      </c>
      <c r="L18" s="150">
        <f t="shared" si="4"/>
        <v>0</v>
      </c>
    </row>
    <row r="19" spans="1:12" s="101" customFormat="1" ht="13.5">
      <c r="A19" s="511" t="s">
        <v>36</v>
      </c>
      <c r="B19" s="512"/>
      <c r="C19" s="512"/>
      <c r="D19" s="125"/>
      <c r="E19" s="240"/>
      <c r="F19" s="154">
        <f t="shared" si="2"/>
        <v>0</v>
      </c>
      <c r="G19" s="145"/>
      <c r="H19" s="127"/>
      <c r="I19" s="128"/>
      <c r="J19" s="156">
        <f t="shared" si="0"/>
        <v>0</v>
      </c>
      <c r="K19" s="144">
        <f t="shared" si="1"/>
        <v>0</v>
      </c>
      <c r="L19" s="150"/>
    </row>
    <row r="20" spans="1:20" s="101" customFormat="1" ht="13.5">
      <c r="A20" s="511" t="s">
        <v>37</v>
      </c>
      <c r="B20" s="512"/>
      <c r="C20" s="512"/>
      <c r="D20" s="125"/>
      <c r="E20" s="241"/>
      <c r="F20" s="154">
        <f t="shared" si="2"/>
        <v>0</v>
      </c>
      <c r="G20" s="145"/>
      <c r="H20" s="122"/>
      <c r="I20" s="123"/>
      <c r="J20" s="156">
        <f t="shared" si="0"/>
        <v>0</v>
      </c>
      <c r="K20" s="144">
        <f t="shared" si="1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1"/>
      <c r="D21" s="125">
        <v>168</v>
      </c>
      <c r="E21" s="240">
        <v>194</v>
      </c>
      <c r="F21" s="154">
        <f t="shared" si="2"/>
        <v>26</v>
      </c>
      <c r="G21" s="145">
        <f t="shared" si="3"/>
        <v>1.1547619047619047</v>
      </c>
      <c r="H21" s="127">
        <v>222</v>
      </c>
      <c r="I21" s="128"/>
      <c r="J21" s="156">
        <f t="shared" si="0"/>
        <v>222</v>
      </c>
      <c r="K21" s="144">
        <f t="shared" si="1"/>
        <v>28</v>
      </c>
      <c r="L21" s="150">
        <f t="shared" si="4"/>
        <v>1.1443298969072164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1"/>
      <c r="D22" s="125">
        <v>27</v>
      </c>
      <c r="E22" s="240">
        <v>60</v>
      </c>
      <c r="F22" s="154">
        <f t="shared" si="2"/>
        <v>33</v>
      </c>
      <c r="G22" s="145">
        <f t="shared" si="3"/>
        <v>2.2222222222222223</v>
      </c>
      <c r="H22" s="366">
        <v>72</v>
      </c>
      <c r="I22" s="128"/>
      <c r="J22" s="156">
        <f t="shared" si="0"/>
        <v>72</v>
      </c>
      <c r="K22" s="144">
        <f t="shared" si="1"/>
        <v>12</v>
      </c>
      <c r="L22" s="150">
        <f t="shared" si="4"/>
        <v>1.2</v>
      </c>
      <c r="M22" s="371"/>
      <c r="N22" s="375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1"/>
      <c r="D23" s="125">
        <v>141</v>
      </c>
      <c r="E23" s="240">
        <v>134</v>
      </c>
      <c r="F23" s="154">
        <f t="shared" si="2"/>
        <v>-7</v>
      </c>
      <c r="G23" s="145">
        <f t="shared" si="3"/>
        <v>0.950354609929078</v>
      </c>
      <c r="H23" s="127"/>
      <c r="I23" s="128"/>
      <c r="J23" s="156">
        <f t="shared" si="0"/>
        <v>0</v>
      </c>
      <c r="K23" s="144">
        <f t="shared" si="1"/>
        <v>-134</v>
      </c>
      <c r="L23" s="150">
        <f t="shared" si="4"/>
        <v>0</v>
      </c>
      <c r="M23" s="371"/>
      <c r="N23" s="237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1"/>
      <c r="D24" s="125"/>
      <c r="E24" s="240"/>
      <c r="F24" s="154">
        <f t="shared" si="2"/>
        <v>0</v>
      </c>
      <c r="G24" s="145"/>
      <c r="H24" s="127"/>
      <c r="I24" s="128"/>
      <c r="J24" s="156">
        <f t="shared" si="0"/>
        <v>0</v>
      </c>
      <c r="K24" s="144">
        <f t="shared" si="1"/>
        <v>0</v>
      </c>
      <c r="L24" s="150"/>
    </row>
    <row r="25" spans="1:12" s="101" customFormat="1" ht="13.5">
      <c r="A25" s="520" t="s">
        <v>163</v>
      </c>
      <c r="B25" s="521"/>
      <c r="C25" s="521"/>
      <c r="D25" s="125"/>
      <c r="E25" s="240"/>
      <c r="F25" s="154">
        <f t="shared" si="2"/>
        <v>0</v>
      </c>
      <c r="G25" s="145"/>
      <c r="H25" s="127"/>
      <c r="I25" s="128"/>
      <c r="J25" s="156">
        <f t="shared" si="0"/>
        <v>0</v>
      </c>
      <c r="K25" s="144">
        <f t="shared" si="1"/>
        <v>0</v>
      </c>
      <c r="L25" s="150"/>
    </row>
    <row r="26" spans="1:12" s="101" customFormat="1" ht="13.5">
      <c r="A26" s="517" t="s">
        <v>39</v>
      </c>
      <c r="B26" s="518"/>
      <c r="C26" s="518"/>
      <c r="D26" s="125">
        <v>1</v>
      </c>
      <c r="E26" s="240">
        <v>1</v>
      </c>
      <c r="F26" s="154">
        <f t="shared" si="2"/>
        <v>0</v>
      </c>
      <c r="G26" s="145">
        <f t="shared" si="3"/>
        <v>1</v>
      </c>
      <c r="H26" s="127">
        <v>1</v>
      </c>
      <c r="I26" s="128"/>
      <c r="J26" s="156">
        <f t="shared" si="0"/>
        <v>1</v>
      </c>
      <c r="K26" s="144">
        <f t="shared" si="1"/>
        <v>0</v>
      </c>
      <c r="L26" s="150">
        <f t="shared" si="4"/>
        <v>1</v>
      </c>
    </row>
    <row r="27" spans="1:12" s="101" customFormat="1" ht="13.5">
      <c r="A27" s="511" t="s">
        <v>40</v>
      </c>
      <c r="B27" s="512"/>
      <c r="C27" s="512"/>
      <c r="D27" s="125">
        <v>1</v>
      </c>
      <c r="E27" s="240">
        <v>1</v>
      </c>
      <c r="F27" s="154">
        <f t="shared" si="2"/>
        <v>0</v>
      </c>
      <c r="G27" s="145">
        <f t="shared" si="3"/>
        <v>1</v>
      </c>
      <c r="H27" s="127">
        <v>1</v>
      </c>
      <c r="I27" s="128"/>
      <c r="J27" s="156">
        <f t="shared" si="0"/>
        <v>1</v>
      </c>
      <c r="K27" s="144">
        <f t="shared" si="1"/>
        <v>0</v>
      </c>
      <c r="L27" s="150">
        <f t="shared" si="4"/>
        <v>1</v>
      </c>
    </row>
    <row r="28" spans="1:12" s="101" customFormat="1" ht="13.5">
      <c r="A28" s="511" t="s">
        <v>41</v>
      </c>
      <c r="B28" s="512"/>
      <c r="C28" s="512"/>
      <c r="D28" s="125"/>
      <c r="E28" s="240"/>
      <c r="F28" s="154">
        <f t="shared" si="2"/>
        <v>0</v>
      </c>
      <c r="G28" s="145"/>
      <c r="H28" s="127"/>
      <c r="I28" s="128"/>
      <c r="J28" s="156">
        <f t="shared" si="0"/>
        <v>0</v>
      </c>
      <c r="K28" s="144">
        <f t="shared" si="1"/>
        <v>0</v>
      </c>
      <c r="L28" s="150"/>
    </row>
    <row r="29" spans="1:12" s="101" customFormat="1" ht="13.5">
      <c r="A29" s="517" t="s">
        <v>42</v>
      </c>
      <c r="B29" s="518"/>
      <c r="C29" s="518"/>
      <c r="D29" s="125">
        <f>SUM(D30:D32)</f>
        <v>9827</v>
      </c>
      <c r="E29" s="241">
        <f>SUM(E30:E33)</f>
        <v>9485</v>
      </c>
      <c r="F29" s="154">
        <f t="shared" si="2"/>
        <v>-342</v>
      </c>
      <c r="G29" s="145">
        <f t="shared" si="3"/>
        <v>0.9651979240866999</v>
      </c>
      <c r="H29" s="122">
        <f>SUM(H30:H33)</f>
        <v>6556</v>
      </c>
      <c r="I29" s="123"/>
      <c r="J29" s="156">
        <f t="shared" si="0"/>
        <v>6556</v>
      </c>
      <c r="K29" s="144">
        <f t="shared" si="1"/>
        <v>-2929</v>
      </c>
      <c r="L29" s="150">
        <f t="shared" si="4"/>
        <v>0.6911966262519768</v>
      </c>
    </row>
    <row r="30" spans="1:14" s="101" customFormat="1" ht="13.5">
      <c r="A30" s="514" t="s">
        <v>164</v>
      </c>
      <c r="B30" s="515"/>
      <c r="C30" s="515"/>
      <c r="D30" s="131">
        <v>3202</v>
      </c>
      <c r="E30" s="242">
        <v>3862</v>
      </c>
      <c r="F30" s="155">
        <f t="shared" si="2"/>
        <v>660</v>
      </c>
      <c r="G30" s="147">
        <f t="shared" si="3"/>
        <v>1.2061211742660838</v>
      </c>
      <c r="H30" s="363">
        <v>1362</v>
      </c>
      <c r="I30" s="133"/>
      <c r="J30" s="157">
        <f t="shared" si="0"/>
        <v>1362</v>
      </c>
      <c r="K30" s="146">
        <f t="shared" si="1"/>
        <v>-2500</v>
      </c>
      <c r="L30" s="151">
        <f t="shared" si="4"/>
        <v>0.352667011910927</v>
      </c>
      <c r="N30" s="129"/>
    </row>
    <row r="31" spans="1:12" s="101" customFormat="1" ht="13.5">
      <c r="A31" s="514" t="s">
        <v>43</v>
      </c>
      <c r="B31" s="515"/>
      <c r="C31" s="515"/>
      <c r="D31" s="125">
        <v>6400</v>
      </c>
      <c r="E31" s="240">
        <v>5520</v>
      </c>
      <c r="F31" s="154">
        <f t="shared" si="2"/>
        <v>-880</v>
      </c>
      <c r="G31" s="145">
        <f t="shared" si="3"/>
        <v>0.8625</v>
      </c>
      <c r="H31" s="127">
        <v>5194</v>
      </c>
      <c r="I31" s="128"/>
      <c r="J31" s="156">
        <f t="shared" si="0"/>
        <v>5194</v>
      </c>
      <c r="K31" s="144">
        <f t="shared" si="1"/>
        <v>-326</v>
      </c>
      <c r="L31" s="150">
        <f t="shared" si="4"/>
        <v>0.9409420289855073</v>
      </c>
    </row>
    <row r="32" spans="1:12" s="101" customFormat="1" ht="13.5">
      <c r="A32" s="511" t="s">
        <v>44</v>
      </c>
      <c r="B32" s="512"/>
      <c r="C32" s="512"/>
      <c r="D32" s="138">
        <v>225</v>
      </c>
      <c r="E32" s="241">
        <v>38</v>
      </c>
      <c r="F32" s="154">
        <f t="shared" si="2"/>
        <v>-187</v>
      </c>
      <c r="G32" s="145">
        <f t="shared" si="3"/>
        <v>0.1688888888888889</v>
      </c>
      <c r="H32" s="122"/>
      <c r="I32" s="123"/>
      <c r="J32" s="156">
        <f t="shared" si="0"/>
        <v>0</v>
      </c>
      <c r="K32" s="144">
        <f t="shared" si="1"/>
        <v>-38</v>
      </c>
      <c r="L32" s="150">
        <f t="shared" si="4"/>
        <v>0</v>
      </c>
    </row>
    <row r="33" spans="1:14" s="101" customFormat="1" ht="14.25" thickBot="1">
      <c r="A33" s="514" t="s">
        <v>211</v>
      </c>
      <c r="B33" s="515"/>
      <c r="C33" s="515"/>
      <c r="D33" s="153"/>
      <c r="E33" s="243">
        <v>65</v>
      </c>
      <c r="F33" s="154">
        <f t="shared" si="2"/>
        <v>65</v>
      </c>
      <c r="G33" s="145"/>
      <c r="H33" s="158"/>
      <c r="I33" s="159"/>
      <c r="J33" s="160">
        <f t="shared" si="0"/>
        <v>0</v>
      </c>
      <c r="K33" s="161">
        <f t="shared" si="1"/>
        <v>-65</v>
      </c>
      <c r="L33" s="162">
        <f t="shared" si="4"/>
        <v>0</v>
      </c>
      <c r="N33" s="129"/>
    </row>
    <row r="34" spans="1:12" s="101" customFormat="1" ht="14.25" thickBot="1">
      <c r="A34" s="523" t="s">
        <v>46</v>
      </c>
      <c r="B34" s="524"/>
      <c r="C34" s="524"/>
      <c r="D34" s="171">
        <f>D9+D16+D18+D26+D29</f>
        <v>28217</v>
      </c>
      <c r="E34" s="244">
        <f>E9+E16+E18+E26+E29</f>
        <v>28800</v>
      </c>
      <c r="F34" s="173">
        <f t="shared" si="2"/>
        <v>583</v>
      </c>
      <c r="G34" s="174"/>
      <c r="H34" s="172">
        <f>H9+H16+H18+H26+H29+H22</f>
        <v>25353</v>
      </c>
      <c r="I34" s="172">
        <f>I9+I16+I18+I26+I29</f>
        <v>666</v>
      </c>
      <c r="J34" s="175">
        <f t="shared" si="0"/>
        <v>26019</v>
      </c>
      <c r="K34" s="173">
        <f t="shared" si="1"/>
        <v>-2781</v>
      </c>
      <c r="L34" s="176">
        <f t="shared" si="4"/>
        <v>0.9034375</v>
      </c>
    </row>
    <row r="35" spans="1:12" s="101" customFormat="1" ht="13.5">
      <c r="A35" s="526" t="s">
        <v>47</v>
      </c>
      <c r="B35" s="527"/>
      <c r="C35" s="527"/>
      <c r="D35" s="135">
        <f>SUM(D36:D45)</f>
        <v>6175</v>
      </c>
      <c r="E35" s="136">
        <f>SUM(E36:E45)</f>
        <v>4141</v>
      </c>
      <c r="F35" s="148">
        <f t="shared" si="2"/>
        <v>-2034</v>
      </c>
      <c r="G35" s="149">
        <f t="shared" si="3"/>
        <v>0.6706072874493927</v>
      </c>
      <c r="H35" s="137">
        <f>SUM(H36:H45)</f>
        <v>3961</v>
      </c>
      <c r="I35" s="137">
        <f>SUM(I36:I45)</f>
        <v>342</v>
      </c>
      <c r="J35" s="134">
        <f t="shared" si="0"/>
        <v>4303</v>
      </c>
      <c r="K35" s="148">
        <f t="shared" si="1"/>
        <v>162</v>
      </c>
      <c r="L35" s="152">
        <f t="shared" si="4"/>
        <v>1.0391209852692587</v>
      </c>
    </row>
    <row r="36" spans="1:12" s="101" customFormat="1" ht="13.5">
      <c r="A36" s="514" t="s">
        <v>48</v>
      </c>
      <c r="B36" s="515"/>
      <c r="C36" s="515"/>
      <c r="D36" s="125">
        <v>3054</v>
      </c>
      <c r="E36" s="126">
        <v>3194</v>
      </c>
      <c r="F36" s="144">
        <f t="shared" si="2"/>
        <v>140</v>
      </c>
      <c r="G36" s="145">
        <f t="shared" si="3"/>
        <v>1.045841519318926</v>
      </c>
      <c r="H36" s="127">
        <v>2977</v>
      </c>
      <c r="I36" s="128">
        <v>336</v>
      </c>
      <c r="J36" s="124">
        <f t="shared" si="0"/>
        <v>3313</v>
      </c>
      <c r="K36" s="144">
        <f t="shared" si="1"/>
        <v>119</v>
      </c>
      <c r="L36" s="150">
        <f t="shared" si="4"/>
        <v>1.0372573575453976</v>
      </c>
    </row>
    <row r="37" spans="1:12" s="101" customFormat="1" ht="13.5">
      <c r="A37" s="514" t="s">
        <v>49</v>
      </c>
      <c r="B37" s="515"/>
      <c r="C37" s="515"/>
      <c r="D37" s="125">
        <v>22</v>
      </c>
      <c r="E37" s="126">
        <v>23</v>
      </c>
      <c r="F37" s="144">
        <f t="shared" si="2"/>
        <v>1</v>
      </c>
      <c r="G37" s="145">
        <f t="shared" si="3"/>
        <v>1.0454545454545454</v>
      </c>
      <c r="H37" s="127">
        <v>25</v>
      </c>
      <c r="I37" s="128"/>
      <c r="J37" s="124">
        <f t="shared" si="0"/>
        <v>25</v>
      </c>
      <c r="K37" s="144">
        <f t="shared" si="1"/>
        <v>2</v>
      </c>
      <c r="L37" s="150">
        <f t="shared" si="4"/>
        <v>1.0869565217391304</v>
      </c>
    </row>
    <row r="38" spans="1:12" s="101" customFormat="1" ht="13.5">
      <c r="A38" s="514" t="s">
        <v>50</v>
      </c>
      <c r="B38" s="515"/>
      <c r="C38" s="515"/>
      <c r="D38" s="138">
        <v>57</v>
      </c>
      <c r="E38" s="130">
        <v>68</v>
      </c>
      <c r="F38" s="144">
        <f t="shared" si="2"/>
        <v>11</v>
      </c>
      <c r="G38" s="145">
        <f t="shared" si="3"/>
        <v>1.1929824561403508</v>
      </c>
      <c r="H38" s="122">
        <v>70</v>
      </c>
      <c r="I38" s="123"/>
      <c r="J38" s="124">
        <f t="shared" si="0"/>
        <v>70</v>
      </c>
      <c r="K38" s="144">
        <f t="shared" si="1"/>
        <v>2</v>
      </c>
      <c r="L38" s="150">
        <f t="shared" si="4"/>
        <v>1.0294117647058822</v>
      </c>
    </row>
    <row r="39" spans="1:12" s="101" customFormat="1" ht="13.5">
      <c r="A39" s="514" t="s">
        <v>51</v>
      </c>
      <c r="B39" s="515"/>
      <c r="C39" s="515"/>
      <c r="D39" s="125">
        <v>17</v>
      </c>
      <c r="E39" s="126">
        <v>16</v>
      </c>
      <c r="F39" s="144">
        <f t="shared" si="2"/>
        <v>-1</v>
      </c>
      <c r="G39" s="145">
        <f t="shared" si="3"/>
        <v>0.9411764705882353</v>
      </c>
      <c r="H39" s="127">
        <v>15</v>
      </c>
      <c r="I39" s="128"/>
      <c r="J39" s="124">
        <f t="shared" si="0"/>
        <v>15</v>
      </c>
      <c r="K39" s="144">
        <f t="shared" si="1"/>
        <v>-1</v>
      </c>
      <c r="L39" s="150">
        <f t="shared" si="4"/>
        <v>0.9375</v>
      </c>
    </row>
    <row r="40" spans="1:12" s="101" customFormat="1" ht="13.5">
      <c r="A40" s="514" t="s">
        <v>52</v>
      </c>
      <c r="B40" s="515"/>
      <c r="C40" s="515"/>
      <c r="D40" s="125"/>
      <c r="E40" s="126">
        <v>1</v>
      </c>
      <c r="F40" s="144">
        <f t="shared" si="2"/>
        <v>1</v>
      </c>
      <c r="G40" s="145"/>
      <c r="H40" s="127"/>
      <c r="I40" s="128"/>
      <c r="J40" s="124">
        <f t="shared" si="0"/>
        <v>0</v>
      </c>
      <c r="K40" s="144">
        <f t="shared" si="1"/>
        <v>-1</v>
      </c>
      <c r="L40" s="150">
        <f t="shared" si="4"/>
        <v>0</v>
      </c>
    </row>
    <row r="41" spans="1:14" s="101" customFormat="1" ht="13.5">
      <c r="A41" s="514" t="s">
        <v>53</v>
      </c>
      <c r="B41" s="515"/>
      <c r="C41" s="515"/>
      <c r="D41" s="125">
        <v>120</v>
      </c>
      <c r="E41" s="126">
        <v>132</v>
      </c>
      <c r="F41" s="144">
        <f t="shared" si="2"/>
        <v>12</v>
      </c>
      <c r="G41" s="145">
        <f t="shared" si="3"/>
        <v>1.1</v>
      </c>
      <c r="H41" s="127">
        <v>140</v>
      </c>
      <c r="I41" s="128"/>
      <c r="J41" s="124">
        <f t="shared" si="0"/>
        <v>140</v>
      </c>
      <c r="K41" s="144">
        <f t="shared" si="1"/>
        <v>8</v>
      </c>
      <c r="L41" s="150">
        <f t="shared" si="4"/>
        <v>1.0606060606060606</v>
      </c>
      <c r="N41" s="129"/>
    </row>
    <row r="42" spans="1:12" s="101" customFormat="1" ht="13.5">
      <c r="A42" s="514" t="s">
        <v>54</v>
      </c>
      <c r="B42" s="515"/>
      <c r="C42" s="515"/>
      <c r="D42" s="125">
        <v>460</v>
      </c>
      <c r="E42" s="126">
        <v>337</v>
      </c>
      <c r="F42" s="144">
        <f t="shared" si="2"/>
        <v>-123</v>
      </c>
      <c r="G42" s="145">
        <f t="shared" si="3"/>
        <v>0.7326086956521739</v>
      </c>
      <c r="H42" s="127">
        <v>354</v>
      </c>
      <c r="I42" s="128">
        <v>6</v>
      </c>
      <c r="J42" s="124">
        <f t="shared" si="0"/>
        <v>360</v>
      </c>
      <c r="K42" s="144">
        <f t="shared" si="1"/>
        <v>23</v>
      </c>
      <c r="L42" s="150">
        <f t="shared" si="4"/>
        <v>1.0682492581602374</v>
      </c>
    </row>
    <row r="43" spans="1:14" s="101" customFormat="1" ht="13.5">
      <c r="A43" s="514" t="s">
        <v>166</v>
      </c>
      <c r="B43" s="515"/>
      <c r="C43" s="515"/>
      <c r="D43" s="125"/>
      <c r="E43" s="126"/>
      <c r="F43" s="144">
        <f t="shared" si="2"/>
        <v>0</v>
      </c>
      <c r="G43" s="145"/>
      <c r="H43" s="127"/>
      <c r="I43" s="128"/>
      <c r="J43" s="124">
        <f t="shared" si="0"/>
        <v>0</v>
      </c>
      <c r="K43" s="144">
        <f t="shared" si="1"/>
        <v>0</v>
      </c>
      <c r="L43" s="150"/>
      <c r="N43" s="129"/>
    </row>
    <row r="44" spans="1:12" s="101" customFormat="1" ht="13.5">
      <c r="A44" s="514" t="s">
        <v>167</v>
      </c>
      <c r="B44" s="515"/>
      <c r="C44" s="515"/>
      <c r="D44" s="125">
        <v>1871</v>
      </c>
      <c r="E44" s="126"/>
      <c r="F44" s="144">
        <f t="shared" si="2"/>
        <v>-1871</v>
      </c>
      <c r="G44" s="145">
        <f t="shared" si="3"/>
        <v>0</v>
      </c>
      <c r="H44" s="127">
        <v>30</v>
      </c>
      <c r="I44" s="128"/>
      <c r="J44" s="124">
        <f t="shared" si="0"/>
        <v>30</v>
      </c>
      <c r="K44" s="144">
        <f t="shared" si="1"/>
        <v>30</v>
      </c>
      <c r="L44" s="150"/>
    </row>
    <row r="45" spans="1:12" s="101" customFormat="1" ht="13.5">
      <c r="A45" s="514" t="s">
        <v>55</v>
      </c>
      <c r="B45" s="515"/>
      <c r="C45" s="515"/>
      <c r="D45" s="125">
        <v>574</v>
      </c>
      <c r="E45" s="126">
        <v>370</v>
      </c>
      <c r="F45" s="144">
        <f t="shared" si="2"/>
        <v>-204</v>
      </c>
      <c r="G45" s="145">
        <f t="shared" si="3"/>
        <v>0.6445993031358885</v>
      </c>
      <c r="H45" s="127">
        <v>350</v>
      </c>
      <c r="I45" s="128"/>
      <c r="J45" s="124">
        <f t="shared" si="0"/>
        <v>350</v>
      </c>
      <c r="K45" s="144">
        <f t="shared" si="1"/>
        <v>-20</v>
      </c>
      <c r="L45" s="150">
        <f t="shared" si="4"/>
        <v>0.9459459459459459</v>
      </c>
    </row>
    <row r="46" spans="1:14" s="101" customFormat="1" ht="13.5">
      <c r="A46" s="526" t="s">
        <v>56</v>
      </c>
      <c r="B46" s="527"/>
      <c r="C46" s="527"/>
      <c r="D46" s="125">
        <f>SUM(D47:D49)</f>
        <v>2382</v>
      </c>
      <c r="E46" s="126">
        <f>SUM(E47:E49)</f>
        <v>2620</v>
      </c>
      <c r="F46" s="144">
        <f t="shared" si="2"/>
        <v>238</v>
      </c>
      <c r="G46" s="145">
        <f t="shared" si="3"/>
        <v>1.0999160369437448</v>
      </c>
      <c r="H46" s="127">
        <f>SUM(H47:H49)</f>
        <v>2835</v>
      </c>
      <c r="I46" s="127">
        <f>SUM(I47:I49)</f>
        <v>15</v>
      </c>
      <c r="J46" s="124">
        <f t="shared" si="0"/>
        <v>2850</v>
      </c>
      <c r="K46" s="144">
        <f t="shared" si="1"/>
        <v>230</v>
      </c>
      <c r="L46" s="150">
        <f t="shared" si="4"/>
        <v>1.0877862595419847</v>
      </c>
      <c r="N46" s="129"/>
    </row>
    <row r="47" spans="1:12" s="101" customFormat="1" ht="13.5">
      <c r="A47" s="514" t="s">
        <v>57</v>
      </c>
      <c r="B47" s="515"/>
      <c r="C47" s="515"/>
      <c r="D47" s="125">
        <v>1081</v>
      </c>
      <c r="E47" s="126">
        <v>1115</v>
      </c>
      <c r="F47" s="144">
        <f t="shared" si="2"/>
        <v>34</v>
      </c>
      <c r="G47" s="145">
        <f t="shared" si="3"/>
        <v>1.0314523589269196</v>
      </c>
      <c r="H47" s="127">
        <v>1190</v>
      </c>
      <c r="I47" s="128">
        <v>10</v>
      </c>
      <c r="J47" s="124">
        <f t="shared" si="0"/>
        <v>1200</v>
      </c>
      <c r="K47" s="144">
        <f t="shared" si="1"/>
        <v>85</v>
      </c>
      <c r="L47" s="150">
        <f t="shared" si="4"/>
        <v>1.0762331838565022</v>
      </c>
    </row>
    <row r="48" spans="1:12" s="101" customFormat="1" ht="13.5">
      <c r="A48" s="514" t="s">
        <v>58</v>
      </c>
      <c r="B48" s="515"/>
      <c r="C48" s="515"/>
      <c r="D48" s="125">
        <v>903</v>
      </c>
      <c r="E48" s="126">
        <v>1064</v>
      </c>
      <c r="F48" s="144">
        <f t="shared" si="2"/>
        <v>161</v>
      </c>
      <c r="G48" s="145">
        <f t="shared" si="3"/>
        <v>1.178294573643411</v>
      </c>
      <c r="H48" s="127">
        <v>1148</v>
      </c>
      <c r="I48" s="128">
        <v>2</v>
      </c>
      <c r="J48" s="124">
        <f t="shared" si="0"/>
        <v>1150</v>
      </c>
      <c r="K48" s="144">
        <f t="shared" si="1"/>
        <v>86</v>
      </c>
      <c r="L48" s="150">
        <f t="shared" si="4"/>
        <v>1.080827067669173</v>
      </c>
    </row>
    <row r="49" spans="1:12" s="101" customFormat="1" ht="13.5">
      <c r="A49" s="514" t="s">
        <v>59</v>
      </c>
      <c r="B49" s="515"/>
      <c r="C49" s="515"/>
      <c r="D49" s="125">
        <v>398</v>
      </c>
      <c r="E49" s="126">
        <v>441</v>
      </c>
      <c r="F49" s="144">
        <f t="shared" si="2"/>
        <v>43</v>
      </c>
      <c r="G49" s="145">
        <f t="shared" si="3"/>
        <v>1.1080402010050252</v>
      </c>
      <c r="H49" s="127">
        <v>497</v>
      </c>
      <c r="I49" s="128">
        <v>3</v>
      </c>
      <c r="J49" s="124">
        <f t="shared" si="0"/>
        <v>500</v>
      </c>
      <c r="K49" s="144">
        <f t="shared" si="1"/>
        <v>59</v>
      </c>
      <c r="L49" s="150">
        <f t="shared" si="4"/>
        <v>1.1337868480725624</v>
      </c>
    </row>
    <row r="50" spans="1:12" s="101" customFormat="1" ht="13.5">
      <c r="A50" s="514" t="s">
        <v>168</v>
      </c>
      <c r="B50" s="515"/>
      <c r="C50" s="515"/>
      <c r="D50" s="125"/>
      <c r="E50" s="126"/>
      <c r="F50" s="144">
        <f t="shared" si="2"/>
        <v>0</v>
      </c>
      <c r="G50" s="145"/>
      <c r="H50" s="127"/>
      <c r="I50" s="128"/>
      <c r="J50" s="124">
        <f t="shared" si="0"/>
        <v>0</v>
      </c>
      <c r="K50" s="144">
        <f t="shared" si="1"/>
        <v>0</v>
      </c>
      <c r="L50" s="150"/>
    </row>
    <row r="51" spans="1:12" s="101" customFormat="1" ht="13.5">
      <c r="A51" s="526" t="s">
        <v>60</v>
      </c>
      <c r="B51" s="527"/>
      <c r="C51" s="527"/>
      <c r="D51" s="125"/>
      <c r="E51" s="126"/>
      <c r="F51" s="144">
        <f t="shared" si="2"/>
        <v>0</v>
      </c>
      <c r="G51" s="145"/>
      <c r="H51" s="127"/>
      <c r="I51" s="128"/>
      <c r="J51" s="124">
        <f t="shared" si="0"/>
        <v>0</v>
      </c>
      <c r="K51" s="144">
        <f t="shared" si="1"/>
        <v>0</v>
      </c>
      <c r="L51" s="150"/>
    </row>
    <row r="52" spans="1:12" s="101" customFormat="1" ht="13.5">
      <c r="A52" s="526" t="s">
        <v>61</v>
      </c>
      <c r="B52" s="527"/>
      <c r="C52" s="527"/>
      <c r="D52" s="125"/>
      <c r="E52" s="126"/>
      <c r="F52" s="144">
        <f t="shared" si="2"/>
        <v>0</v>
      </c>
      <c r="G52" s="145"/>
      <c r="H52" s="127"/>
      <c r="I52" s="128"/>
      <c r="J52" s="124">
        <f t="shared" si="0"/>
        <v>0</v>
      </c>
      <c r="K52" s="144">
        <f t="shared" si="1"/>
        <v>0</v>
      </c>
      <c r="L52" s="150"/>
    </row>
    <row r="53" spans="1:12" s="101" customFormat="1" ht="13.5">
      <c r="A53" s="526" t="s">
        <v>62</v>
      </c>
      <c r="B53" s="527"/>
      <c r="C53" s="527"/>
      <c r="D53" s="125">
        <f>SUM(D54:D56)</f>
        <v>475</v>
      </c>
      <c r="E53" s="126">
        <f>SUM(E54:E56)</f>
        <v>489</v>
      </c>
      <c r="F53" s="144">
        <f t="shared" si="2"/>
        <v>14</v>
      </c>
      <c r="G53" s="145">
        <f t="shared" si="3"/>
        <v>1.0294736842105263</v>
      </c>
      <c r="H53" s="127">
        <v>550</v>
      </c>
      <c r="I53" s="128"/>
      <c r="J53" s="124">
        <f t="shared" si="0"/>
        <v>550</v>
      </c>
      <c r="K53" s="144">
        <f t="shared" si="1"/>
        <v>61</v>
      </c>
      <c r="L53" s="150">
        <f t="shared" si="4"/>
        <v>1.1247443762781186</v>
      </c>
    </row>
    <row r="54" spans="1:12" s="101" customFormat="1" ht="13.5">
      <c r="A54" s="529" t="s">
        <v>63</v>
      </c>
      <c r="B54" s="530"/>
      <c r="C54" s="530"/>
      <c r="D54" s="125">
        <v>140</v>
      </c>
      <c r="E54" s="126">
        <v>408</v>
      </c>
      <c r="F54" s="144">
        <f t="shared" si="2"/>
        <v>268</v>
      </c>
      <c r="G54" s="145">
        <f t="shared" si="3"/>
        <v>2.914285714285714</v>
      </c>
      <c r="H54" s="127">
        <v>295</v>
      </c>
      <c r="I54" s="128"/>
      <c r="J54" s="124">
        <f t="shared" si="0"/>
        <v>295</v>
      </c>
      <c r="K54" s="144">
        <f t="shared" si="1"/>
        <v>-113</v>
      </c>
      <c r="L54" s="150">
        <f t="shared" si="4"/>
        <v>0.7230392156862745</v>
      </c>
    </row>
    <row r="55" spans="1:12" s="101" customFormat="1" ht="13.5">
      <c r="A55" s="529" t="s">
        <v>169</v>
      </c>
      <c r="B55" s="530"/>
      <c r="C55" s="530"/>
      <c r="D55" s="125">
        <v>236</v>
      </c>
      <c r="E55" s="126">
        <v>76</v>
      </c>
      <c r="F55" s="144">
        <f t="shared" si="2"/>
        <v>-160</v>
      </c>
      <c r="G55" s="145">
        <f t="shared" si="3"/>
        <v>0.3220338983050847</v>
      </c>
      <c r="H55" s="127">
        <v>235</v>
      </c>
      <c r="I55" s="128"/>
      <c r="J55" s="124">
        <f t="shared" si="0"/>
        <v>235</v>
      </c>
      <c r="K55" s="144">
        <f t="shared" si="1"/>
        <v>159</v>
      </c>
      <c r="L55" s="150">
        <f t="shared" si="4"/>
        <v>3.0921052631578947</v>
      </c>
    </row>
    <row r="56" spans="1:12" s="101" customFormat="1" ht="13.5">
      <c r="A56" s="529" t="s">
        <v>133</v>
      </c>
      <c r="B56" s="530"/>
      <c r="C56" s="530"/>
      <c r="D56" s="125">
        <v>99</v>
      </c>
      <c r="E56" s="126">
        <v>5</v>
      </c>
      <c r="F56" s="144">
        <f t="shared" si="2"/>
        <v>-94</v>
      </c>
      <c r="G56" s="145">
        <f t="shared" si="3"/>
        <v>0.050505050505050504</v>
      </c>
      <c r="H56" s="127">
        <v>20</v>
      </c>
      <c r="I56" s="128"/>
      <c r="J56" s="124">
        <f t="shared" si="0"/>
        <v>20</v>
      </c>
      <c r="K56" s="144">
        <f t="shared" si="1"/>
        <v>15</v>
      </c>
      <c r="L56" s="150">
        <f t="shared" si="4"/>
        <v>4</v>
      </c>
    </row>
    <row r="57" spans="1:12" s="101" customFormat="1" ht="13.5">
      <c r="A57" s="526" t="s">
        <v>64</v>
      </c>
      <c r="B57" s="527"/>
      <c r="C57" s="527"/>
      <c r="D57" s="125">
        <v>95</v>
      </c>
      <c r="E57" s="126">
        <v>95</v>
      </c>
      <c r="F57" s="144">
        <f t="shared" si="2"/>
        <v>0</v>
      </c>
      <c r="G57" s="145">
        <f t="shared" si="3"/>
        <v>1</v>
      </c>
      <c r="H57" s="127">
        <v>95</v>
      </c>
      <c r="I57" s="128"/>
      <c r="J57" s="124">
        <f t="shared" si="0"/>
        <v>95</v>
      </c>
      <c r="K57" s="144">
        <f t="shared" si="1"/>
        <v>0</v>
      </c>
      <c r="L57" s="150">
        <f t="shared" si="4"/>
        <v>1</v>
      </c>
    </row>
    <row r="58" spans="1:12" s="101" customFormat="1" ht="13.5">
      <c r="A58" s="526" t="s">
        <v>65</v>
      </c>
      <c r="B58" s="527"/>
      <c r="C58" s="527"/>
      <c r="D58" s="125"/>
      <c r="E58" s="126"/>
      <c r="F58" s="144">
        <f t="shared" si="2"/>
        <v>0</v>
      </c>
      <c r="G58" s="145"/>
      <c r="H58" s="127"/>
      <c r="I58" s="128"/>
      <c r="J58" s="124">
        <f t="shared" si="0"/>
        <v>0</v>
      </c>
      <c r="K58" s="144">
        <f t="shared" si="1"/>
        <v>0</v>
      </c>
      <c r="L58" s="150"/>
    </row>
    <row r="59" spans="1:14" s="101" customFormat="1" ht="13.5">
      <c r="A59" s="526" t="s">
        <v>66</v>
      </c>
      <c r="B59" s="527"/>
      <c r="C59" s="527"/>
      <c r="D59" s="125">
        <f>SUM(D60:D68)</f>
        <v>606</v>
      </c>
      <c r="E59" s="126">
        <f>SUM(E60:E68)</f>
        <v>661</v>
      </c>
      <c r="F59" s="144">
        <f t="shared" si="2"/>
        <v>55</v>
      </c>
      <c r="G59" s="145">
        <f t="shared" si="3"/>
        <v>1.0907590759075907</v>
      </c>
      <c r="H59" s="127">
        <v>700</v>
      </c>
      <c r="I59" s="128"/>
      <c r="J59" s="124">
        <f t="shared" si="0"/>
        <v>700</v>
      </c>
      <c r="K59" s="144">
        <f t="shared" si="1"/>
        <v>39</v>
      </c>
      <c r="L59" s="150">
        <f t="shared" si="4"/>
        <v>1.059001512859304</v>
      </c>
      <c r="N59" s="129"/>
    </row>
    <row r="60" spans="1:12" s="101" customFormat="1" ht="13.5">
      <c r="A60" s="514" t="s">
        <v>67</v>
      </c>
      <c r="B60" s="515"/>
      <c r="C60" s="515"/>
      <c r="D60" s="125">
        <v>70</v>
      </c>
      <c r="E60" s="126">
        <v>70</v>
      </c>
      <c r="F60" s="144">
        <f t="shared" si="2"/>
        <v>0</v>
      </c>
      <c r="G60" s="145">
        <f t="shared" si="3"/>
        <v>1</v>
      </c>
      <c r="H60" s="127">
        <v>70</v>
      </c>
      <c r="I60" s="128"/>
      <c r="J60" s="124">
        <f t="shared" si="0"/>
        <v>70</v>
      </c>
      <c r="K60" s="144">
        <f t="shared" si="1"/>
        <v>0</v>
      </c>
      <c r="L60" s="150">
        <f t="shared" si="4"/>
        <v>1</v>
      </c>
    </row>
    <row r="61" spans="1:12" s="101" customFormat="1" ht="13.5">
      <c r="A61" s="514" t="s">
        <v>68</v>
      </c>
      <c r="B61" s="515"/>
      <c r="C61" s="515"/>
      <c r="D61" s="125">
        <v>6</v>
      </c>
      <c r="E61" s="126">
        <v>6</v>
      </c>
      <c r="F61" s="144">
        <f t="shared" si="2"/>
        <v>0</v>
      </c>
      <c r="G61" s="145">
        <f t="shared" si="3"/>
        <v>1</v>
      </c>
      <c r="H61" s="127">
        <v>6</v>
      </c>
      <c r="I61" s="128"/>
      <c r="J61" s="124">
        <f t="shared" si="0"/>
        <v>6</v>
      </c>
      <c r="K61" s="144">
        <f t="shared" si="1"/>
        <v>0</v>
      </c>
      <c r="L61" s="150">
        <f t="shared" si="4"/>
        <v>1</v>
      </c>
    </row>
    <row r="62" spans="1:12" s="101" customFormat="1" ht="13.5">
      <c r="A62" s="514" t="s">
        <v>69</v>
      </c>
      <c r="B62" s="515"/>
      <c r="C62" s="515"/>
      <c r="D62" s="125"/>
      <c r="E62" s="126"/>
      <c r="F62" s="144">
        <f t="shared" si="2"/>
        <v>0</v>
      </c>
      <c r="G62" s="145"/>
      <c r="H62" s="127"/>
      <c r="I62" s="128"/>
      <c r="J62" s="124">
        <f t="shared" si="0"/>
        <v>0</v>
      </c>
      <c r="K62" s="144">
        <f t="shared" si="1"/>
        <v>0</v>
      </c>
      <c r="L62" s="150"/>
    </row>
    <row r="63" spans="1:12" s="101" customFormat="1" ht="13.5">
      <c r="A63" s="514" t="s">
        <v>70</v>
      </c>
      <c r="B63" s="515"/>
      <c r="C63" s="515"/>
      <c r="D63" s="125"/>
      <c r="E63" s="126"/>
      <c r="F63" s="144">
        <f t="shared" si="2"/>
        <v>0</v>
      </c>
      <c r="G63" s="145"/>
      <c r="H63" s="127"/>
      <c r="I63" s="128"/>
      <c r="J63" s="124">
        <f t="shared" si="0"/>
        <v>0</v>
      </c>
      <c r="K63" s="144">
        <f t="shared" si="1"/>
        <v>0</v>
      </c>
      <c r="L63" s="150"/>
    </row>
    <row r="64" spans="1:12" s="101" customFormat="1" ht="13.5">
      <c r="A64" s="514" t="s">
        <v>71</v>
      </c>
      <c r="B64" s="515"/>
      <c r="C64" s="515"/>
      <c r="D64" s="125"/>
      <c r="E64" s="126"/>
      <c r="F64" s="144">
        <f t="shared" si="2"/>
        <v>0</v>
      </c>
      <c r="G64" s="145"/>
      <c r="H64" s="127"/>
      <c r="I64" s="128"/>
      <c r="J64" s="124">
        <f t="shared" si="0"/>
        <v>0</v>
      </c>
      <c r="K64" s="144">
        <f t="shared" si="1"/>
        <v>0</v>
      </c>
      <c r="L64" s="150"/>
    </row>
    <row r="65" spans="1:12" s="101" customFormat="1" ht="13.5">
      <c r="A65" s="514" t="s">
        <v>170</v>
      </c>
      <c r="B65" s="515"/>
      <c r="C65" s="515"/>
      <c r="D65" s="125">
        <v>69</v>
      </c>
      <c r="E65" s="126">
        <v>86</v>
      </c>
      <c r="F65" s="144">
        <f t="shared" si="2"/>
        <v>17</v>
      </c>
      <c r="G65" s="145">
        <f t="shared" si="3"/>
        <v>1.2463768115942029</v>
      </c>
      <c r="H65" s="127">
        <v>90</v>
      </c>
      <c r="I65" s="128"/>
      <c r="J65" s="124">
        <f t="shared" si="0"/>
        <v>90</v>
      </c>
      <c r="K65" s="144">
        <f t="shared" si="1"/>
        <v>4</v>
      </c>
      <c r="L65" s="150">
        <f t="shared" si="4"/>
        <v>1.0465116279069768</v>
      </c>
    </row>
    <row r="66" spans="1:12" s="101" customFormat="1" ht="13.5">
      <c r="A66" s="514" t="s">
        <v>72</v>
      </c>
      <c r="B66" s="515"/>
      <c r="C66" s="515"/>
      <c r="D66" s="125">
        <v>315</v>
      </c>
      <c r="E66" s="126">
        <v>299</v>
      </c>
      <c r="F66" s="144">
        <f t="shared" si="2"/>
        <v>-16</v>
      </c>
      <c r="G66" s="145">
        <f t="shared" si="3"/>
        <v>0.9492063492063492</v>
      </c>
      <c r="H66" s="127">
        <v>330</v>
      </c>
      <c r="I66" s="128"/>
      <c r="J66" s="124">
        <f t="shared" si="0"/>
        <v>330</v>
      </c>
      <c r="K66" s="144">
        <f t="shared" si="1"/>
        <v>31</v>
      </c>
      <c r="L66" s="150">
        <f t="shared" si="4"/>
        <v>1.1036789297658862</v>
      </c>
    </row>
    <row r="67" spans="1:12" s="101" customFormat="1" ht="13.5">
      <c r="A67" s="514" t="s">
        <v>73</v>
      </c>
      <c r="B67" s="515"/>
      <c r="C67" s="515"/>
      <c r="D67" s="125">
        <v>146</v>
      </c>
      <c r="E67" s="126">
        <v>200</v>
      </c>
      <c r="F67" s="144">
        <f t="shared" si="2"/>
        <v>54</v>
      </c>
      <c r="G67" s="145">
        <f>E67/D67</f>
        <v>1.36986301369863</v>
      </c>
      <c r="H67" s="127">
        <v>204</v>
      </c>
      <c r="I67" s="128"/>
      <c r="J67" s="124">
        <f t="shared" si="0"/>
        <v>204</v>
      </c>
      <c r="K67" s="144">
        <f t="shared" si="1"/>
        <v>4</v>
      </c>
      <c r="L67" s="150">
        <f t="shared" si="4"/>
        <v>1.02</v>
      </c>
    </row>
    <row r="68" spans="1:12" s="101" customFormat="1" ht="13.5">
      <c r="A68" s="514" t="s">
        <v>171</v>
      </c>
      <c r="B68" s="515"/>
      <c r="C68" s="515"/>
      <c r="D68" s="125"/>
      <c r="E68" s="126"/>
      <c r="F68" s="144">
        <f t="shared" si="2"/>
        <v>0</v>
      </c>
      <c r="G68" s="145"/>
      <c r="H68" s="127"/>
      <c r="I68" s="128"/>
      <c r="J68" s="124">
        <f t="shared" si="0"/>
        <v>0</v>
      </c>
      <c r="K68" s="144">
        <f t="shared" si="1"/>
        <v>0</v>
      </c>
      <c r="L68" s="150"/>
    </row>
    <row r="69" spans="1:14" s="101" customFormat="1" ht="13.5">
      <c r="A69" s="526" t="s">
        <v>74</v>
      </c>
      <c r="B69" s="527"/>
      <c r="C69" s="527"/>
      <c r="D69" s="125">
        <f>D70+D74</f>
        <v>16275</v>
      </c>
      <c r="E69" s="126">
        <f>E70+E74</f>
        <v>16516</v>
      </c>
      <c r="F69" s="144">
        <f t="shared" si="2"/>
        <v>241</v>
      </c>
      <c r="G69" s="145">
        <f t="shared" si="3"/>
        <v>1.0148079877112135</v>
      </c>
      <c r="H69" s="127">
        <f>H70+H74</f>
        <v>16564</v>
      </c>
      <c r="I69" s="128">
        <f>I70+I74</f>
        <v>115</v>
      </c>
      <c r="J69" s="124">
        <f t="shared" si="0"/>
        <v>16679</v>
      </c>
      <c r="K69" s="144">
        <f t="shared" si="1"/>
        <v>163</v>
      </c>
      <c r="L69" s="150">
        <f t="shared" si="4"/>
        <v>1.0098692177282635</v>
      </c>
      <c r="N69" s="129"/>
    </row>
    <row r="70" spans="1:12" s="101" customFormat="1" ht="13.5">
      <c r="A70" s="514" t="s">
        <v>75</v>
      </c>
      <c r="B70" s="515"/>
      <c r="C70" s="515"/>
      <c r="D70" s="125">
        <f>D71+D73</f>
        <v>12002</v>
      </c>
      <c r="E70" s="126">
        <f>E71+E73</f>
        <v>12117</v>
      </c>
      <c r="F70" s="144">
        <f t="shared" si="2"/>
        <v>115</v>
      </c>
      <c r="G70" s="145">
        <f t="shared" si="3"/>
        <v>1.0095817363772706</v>
      </c>
      <c r="H70" s="127">
        <v>12014</v>
      </c>
      <c r="I70" s="128">
        <v>86</v>
      </c>
      <c r="J70" s="124">
        <f t="shared" si="0"/>
        <v>12100</v>
      </c>
      <c r="K70" s="144">
        <f t="shared" si="1"/>
        <v>-17</v>
      </c>
      <c r="L70" s="150">
        <f t="shared" si="4"/>
        <v>0.9985970124618305</v>
      </c>
    </row>
    <row r="71" spans="1:12" s="101" customFormat="1" ht="13.5">
      <c r="A71" s="514" t="s">
        <v>212</v>
      </c>
      <c r="B71" s="515"/>
      <c r="C71" s="515"/>
      <c r="D71" s="125">
        <v>11943</v>
      </c>
      <c r="E71" s="126">
        <v>11968</v>
      </c>
      <c r="F71" s="144">
        <f t="shared" si="2"/>
        <v>25</v>
      </c>
      <c r="G71" s="145">
        <f t="shared" si="3"/>
        <v>1.0020932763962154</v>
      </c>
      <c r="H71" s="127">
        <v>11864</v>
      </c>
      <c r="I71" s="128">
        <v>86</v>
      </c>
      <c r="J71" s="124">
        <f t="shared" si="0"/>
        <v>11950</v>
      </c>
      <c r="K71" s="144">
        <f t="shared" si="1"/>
        <v>-18</v>
      </c>
      <c r="L71" s="150">
        <f t="shared" si="4"/>
        <v>0.9984959893048129</v>
      </c>
    </row>
    <row r="72" spans="1:12" s="101" customFormat="1" ht="13.5">
      <c r="A72" s="514" t="s">
        <v>172</v>
      </c>
      <c r="B72" s="515"/>
      <c r="C72" s="515"/>
      <c r="D72" s="125">
        <v>11625</v>
      </c>
      <c r="E72" s="126">
        <v>11825</v>
      </c>
      <c r="F72" s="144">
        <f t="shared" si="2"/>
        <v>200</v>
      </c>
      <c r="G72" s="145">
        <f t="shared" si="3"/>
        <v>1.0172043010752687</v>
      </c>
      <c r="H72" s="127">
        <v>11825</v>
      </c>
      <c r="I72" s="128"/>
      <c r="J72" s="124">
        <f t="shared" si="0"/>
        <v>11825</v>
      </c>
      <c r="K72" s="144">
        <f t="shared" si="1"/>
        <v>0</v>
      </c>
      <c r="L72" s="150">
        <f t="shared" si="4"/>
        <v>1</v>
      </c>
    </row>
    <row r="73" spans="1:14" s="101" customFormat="1" ht="13.5">
      <c r="A73" s="514" t="s">
        <v>77</v>
      </c>
      <c r="B73" s="515"/>
      <c r="C73" s="515"/>
      <c r="D73" s="125">
        <v>59</v>
      </c>
      <c r="E73" s="126">
        <v>149</v>
      </c>
      <c r="F73" s="144">
        <f t="shared" si="2"/>
        <v>90</v>
      </c>
      <c r="G73" s="145">
        <f t="shared" si="3"/>
        <v>2.5254237288135593</v>
      </c>
      <c r="H73" s="127">
        <v>150</v>
      </c>
      <c r="I73" s="128"/>
      <c r="J73" s="124">
        <f t="shared" si="0"/>
        <v>150</v>
      </c>
      <c r="K73" s="144">
        <f t="shared" si="1"/>
        <v>1</v>
      </c>
      <c r="L73" s="150">
        <f t="shared" si="4"/>
        <v>1.0067114093959733</v>
      </c>
      <c r="N73" s="129"/>
    </row>
    <row r="74" spans="1:12" s="101" customFormat="1" ht="13.5">
      <c r="A74" s="514" t="s">
        <v>78</v>
      </c>
      <c r="B74" s="515"/>
      <c r="C74" s="515"/>
      <c r="D74" s="125">
        <v>4273</v>
      </c>
      <c r="E74" s="126">
        <v>4399</v>
      </c>
      <c r="F74" s="144">
        <f t="shared" si="2"/>
        <v>126</v>
      </c>
      <c r="G74" s="145">
        <f t="shared" si="3"/>
        <v>1.0294874795225837</v>
      </c>
      <c r="H74" s="127">
        <v>4550</v>
      </c>
      <c r="I74" s="128">
        <v>29</v>
      </c>
      <c r="J74" s="124">
        <f t="shared" si="0"/>
        <v>4579</v>
      </c>
      <c r="K74" s="144">
        <f t="shared" si="1"/>
        <v>180</v>
      </c>
      <c r="L74" s="150">
        <f t="shared" si="4"/>
        <v>1.0409183905433053</v>
      </c>
    </row>
    <row r="75" spans="1:15" s="101" customFormat="1" ht="13.5">
      <c r="A75" s="526" t="s">
        <v>79</v>
      </c>
      <c r="B75" s="527"/>
      <c r="C75" s="527"/>
      <c r="D75" s="125">
        <v>6</v>
      </c>
      <c r="E75" s="126">
        <v>6</v>
      </c>
      <c r="F75" s="144">
        <f t="shared" si="2"/>
        <v>0</v>
      </c>
      <c r="G75" s="145">
        <f t="shared" si="3"/>
        <v>1</v>
      </c>
      <c r="H75" s="127">
        <v>6</v>
      </c>
      <c r="I75" s="128"/>
      <c r="J75" s="124">
        <f t="shared" si="0"/>
        <v>6</v>
      </c>
      <c r="K75" s="144">
        <f t="shared" si="1"/>
        <v>0</v>
      </c>
      <c r="L75" s="150">
        <f t="shared" si="4"/>
        <v>1</v>
      </c>
      <c r="N75" s="129"/>
      <c r="O75" s="139"/>
    </row>
    <row r="76" spans="1:12" s="101" customFormat="1" ht="13.5">
      <c r="A76" s="514" t="s">
        <v>80</v>
      </c>
      <c r="B76" s="515"/>
      <c r="C76" s="515"/>
      <c r="D76" s="125"/>
      <c r="E76" s="126"/>
      <c r="F76" s="144">
        <f aca="true" t="shared" si="5" ref="F76:F90">E76-D76</f>
        <v>0</v>
      </c>
      <c r="G76" s="145"/>
      <c r="H76" s="127"/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7"/>
      <c r="D77" s="125"/>
      <c r="E77" s="126"/>
      <c r="F77" s="144">
        <f t="shared" si="5"/>
        <v>0</v>
      </c>
      <c r="G77" s="145"/>
      <c r="H77" s="127"/>
      <c r="I77" s="128"/>
      <c r="J77" s="124">
        <f t="shared" si="6"/>
        <v>0</v>
      </c>
      <c r="K77" s="144">
        <f t="shared" si="7"/>
        <v>0</v>
      </c>
      <c r="L77" s="150"/>
    </row>
    <row r="78" spans="1:12" s="101" customFormat="1" ht="13.5">
      <c r="A78" s="514" t="s">
        <v>213</v>
      </c>
      <c r="B78" s="515"/>
      <c r="C78" s="515"/>
      <c r="D78" s="138"/>
      <c r="E78" s="130">
        <v>36</v>
      </c>
      <c r="F78" s="144">
        <f t="shared" si="5"/>
        <v>36</v>
      </c>
      <c r="G78" s="145"/>
      <c r="H78" s="122">
        <v>36</v>
      </c>
      <c r="I78" s="123"/>
      <c r="J78" s="124">
        <f t="shared" si="6"/>
        <v>36</v>
      </c>
      <c r="K78" s="144">
        <f t="shared" si="7"/>
        <v>0</v>
      </c>
      <c r="L78" s="150">
        <f>J78/E78</f>
        <v>1</v>
      </c>
    </row>
    <row r="79" spans="1:12" s="101" customFormat="1" ht="13.5">
      <c r="A79" s="514" t="s">
        <v>83</v>
      </c>
      <c r="B79" s="515"/>
      <c r="C79" s="515"/>
      <c r="D79" s="125"/>
      <c r="E79" s="126"/>
      <c r="F79" s="144">
        <f t="shared" si="5"/>
        <v>0</v>
      </c>
      <c r="G79" s="145"/>
      <c r="H79" s="127"/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7"/>
      <c r="D80" s="125"/>
      <c r="E80" s="126"/>
      <c r="F80" s="144">
        <f t="shared" si="5"/>
        <v>0</v>
      </c>
      <c r="G80" s="145"/>
      <c r="H80" s="127"/>
      <c r="I80" s="128"/>
      <c r="J80" s="124">
        <f t="shared" si="6"/>
        <v>0</v>
      </c>
      <c r="K80" s="144">
        <f t="shared" si="7"/>
        <v>0</v>
      </c>
      <c r="L80" s="150"/>
    </row>
    <row r="81" spans="1:12" s="101" customFormat="1" ht="13.5">
      <c r="A81" s="514" t="s">
        <v>85</v>
      </c>
      <c r="B81" s="515"/>
      <c r="C81" s="515"/>
      <c r="D81" s="125">
        <v>1993</v>
      </c>
      <c r="E81" s="126">
        <v>2001</v>
      </c>
      <c r="F81" s="144">
        <f t="shared" si="5"/>
        <v>8</v>
      </c>
      <c r="G81" s="145">
        <f>E81/D81</f>
        <v>1.0040140491721024</v>
      </c>
      <c r="H81" s="366">
        <v>1217</v>
      </c>
      <c r="I81" s="372">
        <v>10</v>
      </c>
      <c r="J81" s="124">
        <f t="shared" si="6"/>
        <v>1227</v>
      </c>
      <c r="K81" s="144">
        <f t="shared" si="7"/>
        <v>-774</v>
      </c>
      <c r="L81" s="150">
        <f>J81/E81</f>
        <v>0.6131934032983508</v>
      </c>
    </row>
    <row r="82" spans="1:12" s="101" customFormat="1" ht="13.5">
      <c r="A82" s="514" t="s">
        <v>86</v>
      </c>
      <c r="B82" s="515"/>
      <c r="C82" s="515"/>
      <c r="D82" s="125"/>
      <c r="E82" s="126"/>
      <c r="F82" s="144">
        <f t="shared" si="5"/>
        <v>0</v>
      </c>
      <c r="G82" s="145"/>
      <c r="H82" s="127"/>
      <c r="I82" s="128"/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514" t="s">
        <v>173</v>
      </c>
      <c r="B83" s="515"/>
      <c r="C83" s="515"/>
      <c r="D83" s="125"/>
      <c r="E83" s="126"/>
      <c r="F83" s="144">
        <f t="shared" si="5"/>
        <v>0</v>
      </c>
      <c r="G83" s="145"/>
      <c r="H83" s="127"/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5"/>
      <c r="D84" s="125"/>
      <c r="E84" s="126"/>
      <c r="F84" s="144">
        <f t="shared" si="5"/>
        <v>0</v>
      </c>
      <c r="G84" s="145"/>
      <c r="H84" s="127"/>
      <c r="I84" s="128"/>
      <c r="J84" s="124">
        <f t="shared" si="6"/>
        <v>0</v>
      </c>
      <c r="K84" s="144">
        <f t="shared" si="7"/>
        <v>0</v>
      </c>
      <c r="L84" s="150"/>
    </row>
    <row r="85" spans="1:12" s="101" customFormat="1" ht="13.5">
      <c r="A85" s="514" t="s">
        <v>174</v>
      </c>
      <c r="B85" s="515"/>
      <c r="C85" s="515"/>
      <c r="D85" s="125"/>
      <c r="E85" s="126">
        <v>2162</v>
      </c>
      <c r="F85" s="144">
        <f t="shared" si="5"/>
        <v>2162</v>
      </c>
      <c r="G85" s="145"/>
      <c r="H85" s="127">
        <v>300</v>
      </c>
      <c r="I85" s="128"/>
      <c r="J85" s="124">
        <f t="shared" si="6"/>
        <v>300</v>
      </c>
      <c r="K85" s="144">
        <f t="shared" si="7"/>
        <v>-1862</v>
      </c>
      <c r="L85" s="150">
        <f>J85/E85</f>
        <v>0.13876040703052728</v>
      </c>
    </row>
    <row r="86" spans="1:14" s="101" customFormat="1" ht="13.5">
      <c r="A86" s="514" t="s">
        <v>175</v>
      </c>
      <c r="B86" s="515"/>
      <c r="C86" s="515"/>
      <c r="D86" s="125"/>
      <c r="E86" s="126"/>
      <c r="F86" s="144">
        <f t="shared" si="5"/>
        <v>0</v>
      </c>
      <c r="G86" s="145"/>
      <c r="H86" s="127"/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526" t="s">
        <v>88</v>
      </c>
      <c r="B87" s="527"/>
      <c r="C87" s="527"/>
      <c r="D87" s="125">
        <v>108</v>
      </c>
      <c r="E87" s="126"/>
      <c r="F87" s="144">
        <f t="shared" si="5"/>
        <v>-108</v>
      </c>
      <c r="G87" s="145">
        <f>E87/D87</f>
        <v>0</v>
      </c>
      <c r="H87" s="127"/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5"/>
      <c r="D88" s="125">
        <v>108</v>
      </c>
      <c r="E88" s="126"/>
      <c r="F88" s="144">
        <f t="shared" si="5"/>
        <v>-108</v>
      </c>
      <c r="G88" s="145">
        <f>E88/D88</f>
        <v>0</v>
      </c>
      <c r="H88" s="127"/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7"/>
      <c r="D89" s="125"/>
      <c r="E89" s="126"/>
      <c r="F89" s="144">
        <f t="shared" si="5"/>
        <v>0</v>
      </c>
      <c r="G89" s="145"/>
      <c r="H89" s="127"/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15"/>
      <c r="D90" s="245"/>
      <c r="E90" s="140"/>
      <c r="F90" s="144">
        <f t="shared" si="5"/>
        <v>0</v>
      </c>
      <c r="G90" s="145"/>
      <c r="H90" s="127"/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f>D35+D46+D53+D57+D59+D69+D81+D87+D100+D75</f>
        <v>28115</v>
      </c>
      <c r="E91" s="178">
        <f>E35+E46+E53+E59+E57+E69+E75+E78+E81+E85</f>
        <v>28727</v>
      </c>
      <c r="F91" s="179"/>
      <c r="G91" s="179"/>
      <c r="H91" s="180">
        <f>H35+H46+H53+H59+H57+H69+H75+H78+H81+H85</f>
        <v>26264</v>
      </c>
      <c r="I91" s="180">
        <f>I35+I46+I53+I59+I57+I69+I75+I78+I81+I85</f>
        <v>482</v>
      </c>
      <c r="J91" s="181">
        <f>SUM(H91:I91)</f>
        <v>26746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f>D34-D91</f>
        <v>102</v>
      </c>
      <c r="E92" s="184">
        <f>E34-E91</f>
        <v>73</v>
      </c>
      <c r="F92" s="185"/>
      <c r="G92" s="185"/>
      <c r="H92" s="184">
        <f>H34-H91</f>
        <v>-911</v>
      </c>
      <c r="I92" s="184">
        <f>I34-I91</f>
        <v>184</v>
      </c>
      <c r="J92" s="186">
        <f>SUM(H92:I92)</f>
        <v>-727</v>
      </c>
      <c r="K92" s="170"/>
      <c r="L92" s="187"/>
      <c r="M92" s="141"/>
      <c r="N92" s="141"/>
      <c r="O92" s="143"/>
    </row>
    <row r="93" spans="1:15" s="237" customFormat="1" ht="14.25" thickBot="1">
      <c r="A93" s="233"/>
      <c r="B93" s="233"/>
      <c r="C93" s="233"/>
      <c r="D93" s="234"/>
      <c r="E93" s="234"/>
      <c r="F93" s="235"/>
      <c r="G93" s="235"/>
      <c r="H93" s="234"/>
      <c r="I93" s="234"/>
      <c r="J93" s="236"/>
      <c r="K93" s="238"/>
      <c r="L93" s="235"/>
      <c r="M93" s="235"/>
      <c r="N93" s="235"/>
      <c r="O93" s="236"/>
    </row>
    <row r="94" spans="1:14" ht="13.5">
      <c r="A94" s="561" t="s">
        <v>178</v>
      </c>
      <c r="B94" s="562"/>
      <c r="C94" s="565" t="s">
        <v>104</v>
      </c>
      <c r="D94" s="42"/>
      <c r="E94" s="561" t="s">
        <v>179</v>
      </c>
      <c r="F94" s="567"/>
      <c r="G94" s="567"/>
      <c r="H94" s="562"/>
      <c r="I94" s="565" t="s">
        <v>104</v>
      </c>
      <c r="J94" s="43"/>
      <c r="K94" s="43"/>
      <c r="L94" s="43"/>
      <c r="M94" s="43"/>
      <c r="N94" s="43"/>
    </row>
    <row r="95" spans="1:14" ht="14.25" thickBot="1">
      <c r="A95" s="563"/>
      <c r="B95" s="564"/>
      <c r="C95" s="566"/>
      <c r="D95" s="42"/>
      <c r="E95" s="568"/>
      <c r="F95" s="569"/>
      <c r="G95" s="569"/>
      <c r="H95" s="570"/>
      <c r="I95" s="571"/>
      <c r="J95" s="43"/>
      <c r="K95" s="43"/>
      <c r="L95" s="43"/>
      <c r="M95" s="43"/>
      <c r="N95" s="43"/>
    </row>
    <row r="96" spans="1:14" ht="14.25" thickBot="1">
      <c r="A96" s="572" t="s">
        <v>214</v>
      </c>
      <c r="B96" s="573" t="s">
        <v>214</v>
      </c>
      <c r="C96" s="109">
        <v>450</v>
      </c>
      <c r="D96" s="92"/>
      <c r="E96" s="574" t="s">
        <v>144</v>
      </c>
      <c r="F96" s="575"/>
      <c r="G96" s="575"/>
      <c r="H96" s="576"/>
      <c r="I96" s="110">
        <v>50</v>
      </c>
      <c r="J96" s="43"/>
      <c r="K96" s="43"/>
      <c r="L96" s="43"/>
      <c r="M96" s="43"/>
      <c r="N96" s="38" t="s">
        <v>105</v>
      </c>
    </row>
    <row r="97" spans="1:14" ht="13.5">
      <c r="A97" s="572" t="s">
        <v>154</v>
      </c>
      <c r="B97" s="573" t="s">
        <v>154</v>
      </c>
      <c r="C97" s="109">
        <v>450</v>
      </c>
      <c r="D97" s="92"/>
      <c r="E97" s="572" t="s">
        <v>215</v>
      </c>
      <c r="F97" s="577"/>
      <c r="G97" s="577"/>
      <c r="H97" s="573"/>
      <c r="I97" s="111">
        <v>60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572" t="s">
        <v>134</v>
      </c>
      <c r="B98" s="573"/>
      <c r="C98" s="93">
        <v>1118</v>
      </c>
      <c r="D98" s="92"/>
      <c r="E98" s="572" t="s">
        <v>216</v>
      </c>
      <c r="F98" s="577"/>
      <c r="G98" s="577"/>
      <c r="H98" s="573"/>
      <c r="I98" s="111">
        <v>60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572"/>
      <c r="B99" s="573"/>
      <c r="C99" s="93"/>
      <c r="D99" s="92"/>
      <c r="E99" s="572" t="s">
        <v>217</v>
      </c>
      <c r="F99" s="577"/>
      <c r="G99" s="577"/>
      <c r="H99" s="573"/>
      <c r="I99" s="111">
        <v>150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572"/>
      <c r="B100" s="573"/>
      <c r="C100" s="93"/>
      <c r="D100" s="92"/>
      <c r="E100" s="572" t="s">
        <v>218</v>
      </c>
      <c r="F100" s="577"/>
      <c r="G100" s="577"/>
      <c r="H100" s="573"/>
      <c r="I100" s="208">
        <v>100</v>
      </c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572"/>
      <c r="B101" s="573"/>
      <c r="C101" s="93"/>
      <c r="D101" s="92"/>
      <c r="E101" s="572" t="s">
        <v>139</v>
      </c>
      <c r="F101" s="577"/>
      <c r="G101" s="577"/>
      <c r="H101" s="573"/>
      <c r="I101" s="208">
        <v>85</v>
      </c>
      <c r="J101" s="43"/>
      <c r="K101" s="43"/>
      <c r="L101" s="43"/>
      <c r="M101" s="43"/>
      <c r="N101" s="43"/>
    </row>
    <row r="102" spans="1:14" ht="13.5">
      <c r="A102" s="572"/>
      <c r="B102" s="573"/>
      <c r="C102" s="93"/>
      <c r="D102" s="92"/>
      <c r="E102" s="572" t="s">
        <v>219</v>
      </c>
      <c r="F102" s="577"/>
      <c r="G102" s="577"/>
      <c r="H102" s="573"/>
      <c r="I102" s="111">
        <v>20</v>
      </c>
      <c r="J102" s="43"/>
      <c r="K102" s="43"/>
      <c r="L102" s="43"/>
      <c r="M102" s="43"/>
      <c r="N102" s="43"/>
    </row>
    <row r="103" spans="1:14" ht="13.5">
      <c r="A103" s="578"/>
      <c r="B103" s="579"/>
      <c r="C103" s="91"/>
      <c r="D103" s="92"/>
      <c r="E103" s="572" t="s">
        <v>220</v>
      </c>
      <c r="F103" s="577"/>
      <c r="G103" s="577"/>
      <c r="H103" s="573"/>
      <c r="I103" s="246">
        <v>25</v>
      </c>
      <c r="J103" s="43"/>
      <c r="K103" s="43"/>
      <c r="L103" s="43"/>
      <c r="M103" s="43"/>
      <c r="N103" s="43"/>
    </row>
    <row r="104" spans="1:14" ht="13.5">
      <c r="A104" s="578"/>
      <c r="B104" s="579"/>
      <c r="C104" s="91"/>
      <c r="D104" s="92"/>
      <c r="E104" s="572"/>
      <c r="F104" s="577"/>
      <c r="G104" s="577"/>
      <c r="H104" s="573"/>
      <c r="I104" s="93"/>
      <c r="J104" s="43"/>
      <c r="K104" s="43"/>
      <c r="L104" s="43"/>
      <c r="M104" s="43"/>
      <c r="N104" s="43"/>
    </row>
    <row r="105" spans="1:14" ht="13.5">
      <c r="A105" s="578"/>
      <c r="B105" s="579"/>
      <c r="C105" s="91"/>
      <c r="D105" s="92"/>
      <c r="E105" s="572"/>
      <c r="F105" s="577"/>
      <c r="G105" s="577"/>
      <c r="H105" s="573"/>
      <c r="I105" s="93"/>
      <c r="J105" s="43"/>
      <c r="K105" s="43"/>
      <c r="L105" s="43"/>
      <c r="M105" s="43"/>
      <c r="N105" s="43"/>
    </row>
    <row r="106" spans="1:14" ht="13.5">
      <c r="A106" s="578"/>
      <c r="B106" s="579"/>
      <c r="C106" s="91"/>
      <c r="D106" s="92"/>
      <c r="E106" s="572"/>
      <c r="F106" s="577"/>
      <c r="G106" s="577"/>
      <c r="H106" s="573"/>
      <c r="I106" s="93"/>
      <c r="J106" s="43"/>
      <c r="K106" s="43"/>
      <c r="L106" s="43"/>
      <c r="M106" s="43"/>
      <c r="N106" s="43"/>
    </row>
    <row r="107" spans="1:14" ht="13.5">
      <c r="A107" s="578"/>
      <c r="B107" s="579"/>
      <c r="C107" s="91"/>
      <c r="D107" s="92"/>
      <c r="E107" s="572"/>
      <c r="F107" s="577"/>
      <c r="G107" s="577"/>
      <c r="H107" s="573"/>
      <c r="I107" s="93"/>
      <c r="J107" s="43"/>
      <c r="K107" s="43"/>
      <c r="L107" s="43"/>
      <c r="M107" s="43"/>
      <c r="N107" s="43"/>
    </row>
    <row r="108" spans="1:14" ht="14.25" thickBot="1">
      <c r="A108" s="580"/>
      <c r="B108" s="581"/>
      <c r="C108" s="57"/>
      <c r="D108" s="92"/>
      <c r="E108" s="582"/>
      <c r="F108" s="583"/>
      <c r="G108" s="583"/>
      <c r="H108" s="584"/>
      <c r="I108" s="93"/>
      <c r="J108" s="43"/>
      <c r="K108" s="43"/>
      <c r="L108" s="43"/>
      <c r="M108" s="43"/>
      <c r="N108" s="43"/>
    </row>
    <row r="109" spans="1:14" ht="14.25" thickBot="1">
      <c r="A109" s="585" t="s">
        <v>97</v>
      </c>
      <c r="B109" s="586"/>
      <c r="C109" s="373">
        <f>SUM(C96:C108)</f>
        <v>2018</v>
      </c>
      <c r="D109" s="59"/>
      <c r="E109" s="587" t="s">
        <v>97</v>
      </c>
      <c r="F109" s="588"/>
      <c r="G109" s="588"/>
      <c r="H109" s="589"/>
      <c r="I109" s="60">
        <f>SUM(I96:I108)</f>
        <v>550</v>
      </c>
      <c r="J109" s="43"/>
      <c r="K109" s="43"/>
      <c r="L109" s="43"/>
      <c r="M109" s="43"/>
      <c r="N109" s="61"/>
    </row>
    <row r="110" spans="1:5" s="34" customFormat="1" ht="13.5">
      <c r="A110" s="59"/>
      <c r="B110" s="62"/>
      <c r="C110" s="62"/>
      <c r="D110" s="62"/>
      <c r="E110" s="62"/>
    </row>
    <row r="111" spans="1:12" s="34" customFormat="1" ht="13.5">
      <c r="A111" s="63"/>
      <c r="B111" s="36"/>
      <c r="C111" s="36"/>
      <c r="D111" s="36"/>
      <c r="E111" s="39"/>
      <c r="F111" s="41"/>
      <c r="G111" s="41"/>
      <c r="H111" s="35"/>
      <c r="I111" s="36"/>
      <c r="J111" s="36"/>
      <c r="K111" s="36"/>
      <c r="L111" s="39"/>
    </row>
    <row r="112" spans="1:12" s="34" customFormat="1" ht="14.25" thickBot="1">
      <c r="A112" s="63" t="s">
        <v>181</v>
      </c>
      <c r="B112" s="36"/>
      <c r="C112" s="36"/>
      <c r="D112" s="36"/>
      <c r="E112" s="39"/>
      <c r="F112" s="41"/>
      <c r="G112" s="41"/>
      <c r="H112" s="35"/>
      <c r="I112" s="36"/>
      <c r="J112" s="36" t="s">
        <v>110</v>
      </c>
      <c r="K112" s="36"/>
      <c r="L112" s="39"/>
    </row>
    <row r="113" spans="1:11" s="34" customFormat="1" ht="13.5">
      <c r="A113" s="449" t="s">
        <v>111</v>
      </c>
      <c r="B113" s="452" t="s">
        <v>248</v>
      </c>
      <c r="C113" s="459" t="s">
        <v>182</v>
      </c>
      <c r="D113" s="460"/>
      <c r="E113" s="460"/>
      <c r="F113" s="460"/>
      <c r="G113" s="460"/>
      <c r="H113" s="460"/>
      <c r="I113" s="460"/>
      <c r="J113" s="461"/>
      <c r="K113" s="455" t="s">
        <v>183</v>
      </c>
    </row>
    <row r="114" spans="1:11" s="34" customFormat="1" ht="13.5">
      <c r="A114" s="450"/>
      <c r="B114" s="453"/>
      <c r="C114" s="458" t="s">
        <v>112</v>
      </c>
      <c r="D114" s="462" t="s">
        <v>113</v>
      </c>
      <c r="E114" s="462"/>
      <c r="F114" s="462"/>
      <c r="G114" s="462"/>
      <c r="H114" s="462"/>
      <c r="I114" s="462"/>
      <c r="J114" s="463"/>
      <c r="K114" s="456"/>
    </row>
    <row r="115" spans="1:12" s="34" customFormat="1" ht="14.25" thickBot="1">
      <c r="A115" s="451"/>
      <c r="B115" s="454"/>
      <c r="C115" s="458"/>
      <c r="D115" s="164">
        <v>1</v>
      </c>
      <c r="E115" s="164">
        <v>2</v>
      </c>
      <c r="F115" s="164">
        <v>3</v>
      </c>
      <c r="G115" s="164">
        <v>4</v>
      </c>
      <c r="H115" s="164">
        <v>5</v>
      </c>
      <c r="I115" s="164">
        <v>6</v>
      </c>
      <c r="J115" s="165">
        <v>7</v>
      </c>
      <c r="K115" s="457"/>
      <c r="L115" s="71"/>
    </row>
    <row r="116" spans="1:11" s="34" customFormat="1" ht="14.25" thickBot="1">
      <c r="A116" s="64">
        <v>123162</v>
      </c>
      <c r="B116" s="65">
        <v>24779</v>
      </c>
      <c r="C116" s="364">
        <f>SUM(D116:J116)</f>
        <v>1227</v>
      </c>
      <c r="D116" s="167">
        <v>0</v>
      </c>
      <c r="E116" s="167">
        <v>0</v>
      </c>
      <c r="F116" s="167">
        <v>0</v>
      </c>
      <c r="G116" s="167">
        <v>109</v>
      </c>
      <c r="H116" s="167">
        <v>0</v>
      </c>
      <c r="I116" s="168">
        <v>0</v>
      </c>
      <c r="J116" s="225">
        <v>1118</v>
      </c>
      <c r="K116" s="163">
        <v>97156</v>
      </c>
    </row>
    <row r="117" spans="1:5" s="34" customFormat="1" ht="13.5">
      <c r="A117" s="59"/>
      <c r="B117" s="62"/>
      <c r="C117" s="62"/>
      <c r="D117" s="62"/>
      <c r="E117" s="62"/>
    </row>
    <row r="118" spans="1:8" s="34" customFormat="1" ht="14.25" thickBot="1">
      <c r="A118" s="63" t="s">
        <v>184</v>
      </c>
      <c r="C118" s="36"/>
      <c r="D118" s="36"/>
      <c r="E118" s="36"/>
      <c r="F118" s="36" t="s">
        <v>110</v>
      </c>
      <c r="G118" s="41"/>
      <c r="H118" s="35"/>
    </row>
    <row r="119" spans="1:6" s="34" customFormat="1" ht="15" customHeight="1" thickBot="1">
      <c r="A119" s="467" t="s">
        <v>114</v>
      </c>
      <c r="B119" s="469" t="s">
        <v>188</v>
      </c>
      <c r="C119" s="188" t="s">
        <v>185</v>
      </c>
      <c r="D119" s="189"/>
      <c r="E119" s="189"/>
      <c r="F119" s="190"/>
    </row>
    <row r="120" spans="1:6" s="34" customFormat="1" ht="27.75" thickBot="1">
      <c r="A120" s="468"/>
      <c r="B120" s="469"/>
      <c r="C120" s="67" t="s">
        <v>186</v>
      </c>
      <c r="D120" s="66" t="s">
        <v>115</v>
      </c>
      <c r="E120" s="67" t="s">
        <v>116</v>
      </c>
      <c r="F120" s="191" t="s">
        <v>187</v>
      </c>
    </row>
    <row r="121" spans="1:6" s="34" customFormat="1" ht="13.5">
      <c r="A121" s="192" t="s">
        <v>117</v>
      </c>
      <c r="B121" s="218">
        <v>3154.5</v>
      </c>
      <c r="C121" s="68" t="s">
        <v>118</v>
      </c>
      <c r="D121" s="69" t="s">
        <v>118</v>
      </c>
      <c r="E121" s="69" t="s">
        <v>118</v>
      </c>
      <c r="F121" s="193" t="s">
        <v>118</v>
      </c>
    </row>
    <row r="122" spans="1:13" s="34" customFormat="1" ht="13.5">
      <c r="A122" s="194" t="s">
        <v>119</v>
      </c>
      <c r="B122" s="219">
        <v>49</v>
      </c>
      <c r="C122" s="197">
        <v>49</v>
      </c>
      <c r="D122" s="51">
        <v>13</v>
      </c>
      <c r="E122" s="106">
        <v>0</v>
      </c>
      <c r="F122" s="198">
        <f>C122+D122-E122</f>
        <v>62</v>
      </c>
      <c r="G122" s="232"/>
      <c r="M122" s="71"/>
    </row>
    <row r="123" spans="1:13" s="34" customFormat="1" ht="13.5">
      <c r="A123" s="194" t="s">
        <v>120</v>
      </c>
      <c r="B123" s="219">
        <v>528</v>
      </c>
      <c r="C123" s="197">
        <f>249+279</f>
        <v>528</v>
      </c>
      <c r="D123" s="51">
        <v>83</v>
      </c>
      <c r="E123" s="106">
        <v>72</v>
      </c>
      <c r="F123" s="198">
        <f>C123+D123-E123</f>
        <v>539</v>
      </c>
      <c r="G123" s="232"/>
      <c r="M123" s="71"/>
    </row>
    <row r="124" spans="1:13" s="34" customFormat="1" ht="13.5">
      <c r="A124" s="194" t="s">
        <v>121</v>
      </c>
      <c r="B124" s="219">
        <v>879</v>
      </c>
      <c r="C124" s="72">
        <v>879</v>
      </c>
      <c r="D124" s="206">
        <v>1227</v>
      </c>
      <c r="E124" s="206">
        <v>2018</v>
      </c>
      <c r="F124" s="198">
        <f>C124+D124-E124</f>
        <v>88</v>
      </c>
      <c r="M124" s="71"/>
    </row>
    <row r="125" spans="1:13" s="34" customFormat="1" ht="13.5">
      <c r="A125" s="194" t="s">
        <v>122</v>
      </c>
      <c r="B125" s="219">
        <f>B121-B122-B123-B124</f>
        <v>1698.5</v>
      </c>
      <c r="C125" s="74" t="s">
        <v>118</v>
      </c>
      <c r="D125" s="75" t="s">
        <v>118</v>
      </c>
      <c r="E125" s="76" t="s">
        <v>118</v>
      </c>
      <c r="F125" s="195" t="s">
        <v>118</v>
      </c>
      <c r="M125" s="71"/>
    </row>
    <row r="126" spans="1:13" s="34" customFormat="1" ht="14.25" thickBot="1">
      <c r="A126" s="196" t="s">
        <v>123</v>
      </c>
      <c r="B126" s="220">
        <v>133</v>
      </c>
      <c r="C126" s="199">
        <v>133</v>
      </c>
      <c r="D126" s="200">
        <v>118</v>
      </c>
      <c r="E126" s="207">
        <v>134</v>
      </c>
      <c r="F126" s="201">
        <f>C126+D126-E126</f>
        <v>117</v>
      </c>
      <c r="M126" s="71"/>
    </row>
    <row r="127" spans="1:15" s="34" customFormat="1" ht="13.5">
      <c r="A127" s="35"/>
      <c r="B127" s="36"/>
      <c r="C127" s="36"/>
      <c r="D127" s="37"/>
      <c r="E127" s="38"/>
      <c r="F127" s="36"/>
      <c r="G127" s="36"/>
      <c r="H127" s="39"/>
      <c r="I127" s="40"/>
      <c r="J127" s="41"/>
      <c r="K127" s="35"/>
      <c r="L127" s="36"/>
      <c r="M127" s="36"/>
      <c r="N127" s="36"/>
      <c r="O127" s="39"/>
    </row>
    <row r="128" spans="1:11" ht="13.5">
      <c r="A128" s="63"/>
      <c r="K128" s="36"/>
    </row>
    <row r="129" spans="1:11" ht="14.25" thickBot="1">
      <c r="A129" s="63" t="s">
        <v>189</v>
      </c>
      <c r="K129" s="36" t="s">
        <v>110</v>
      </c>
    </row>
    <row r="130" spans="1:11" ht="13.5">
      <c r="A130" s="464" t="s">
        <v>124</v>
      </c>
      <c r="B130" s="465"/>
      <c r="C130" s="466"/>
      <c r="D130" s="78"/>
      <c r="E130" s="464" t="s">
        <v>125</v>
      </c>
      <c r="F130" s="465"/>
      <c r="G130" s="466"/>
      <c r="I130" s="464" t="s">
        <v>126</v>
      </c>
      <c r="J130" s="465"/>
      <c r="K130" s="466"/>
    </row>
    <row r="131" spans="1:11" ht="14.25" thickBot="1">
      <c r="A131" s="79" t="s">
        <v>127</v>
      </c>
      <c r="B131" s="80" t="s">
        <v>128</v>
      </c>
      <c r="C131" s="81" t="s">
        <v>129</v>
      </c>
      <c r="D131" s="78"/>
      <c r="E131" s="82"/>
      <c r="F131" s="470" t="s">
        <v>130</v>
      </c>
      <c r="G131" s="471"/>
      <c r="I131" s="79"/>
      <c r="J131" s="80" t="s">
        <v>131</v>
      </c>
      <c r="K131" s="81" t="s">
        <v>129</v>
      </c>
    </row>
    <row r="132" spans="1:11" ht="13.5">
      <c r="A132" s="83">
        <v>2012</v>
      </c>
      <c r="B132" s="84">
        <v>59</v>
      </c>
      <c r="C132" s="85">
        <v>59</v>
      </c>
      <c r="D132" s="37"/>
      <c r="E132" s="83">
        <v>2012</v>
      </c>
      <c r="F132" s="472">
        <v>92</v>
      </c>
      <c r="G132" s="473"/>
      <c r="I132" s="83">
        <v>2012</v>
      </c>
      <c r="J132" s="84">
        <v>11825</v>
      </c>
      <c r="K132" s="85">
        <v>11825</v>
      </c>
    </row>
    <row r="133" spans="1:11" ht="14.25" thickBot="1">
      <c r="A133" s="86">
        <v>2013</v>
      </c>
      <c r="B133" s="87">
        <v>59</v>
      </c>
      <c r="C133" s="88" t="s">
        <v>92</v>
      </c>
      <c r="D133" s="37"/>
      <c r="E133" s="86">
        <v>2013</v>
      </c>
      <c r="F133" s="388">
        <v>92</v>
      </c>
      <c r="G133" s="389"/>
      <c r="I133" s="86">
        <v>2013</v>
      </c>
      <c r="J133" s="87">
        <v>11825</v>
      </c>
      <c r="K133" s="88" t="s">
        <v>92</v>
      </c>
    </row>
    <row r="134" spans="4:5" ht="13.5">
      <c r="D134" s="78"/>
      <c r="E134" s="1"/>
    </row>
    <row r="135" spans="4:5" ht="13.5">
      <c r="D135" s="78"/>
      <c r="E135" s="1"/>
    </row>
    <row r="136" spans="4:5" ht="13.5">
      <c r="D136" s="37"/>
      <c r="E136" s="1"/>
    </row>
    <row r="137" spans="4:5" ht="13.5">
      <c r="D137" s="37"/>
      <c r="E137" s="1"/>
    </row>
  </sheetData>
  <sheetProtection selectLockedCells="1" selectUnlockedCells="1"/>
  <mergeCells count="139">
    <mergeCell ref="K113:K115"/>
    <mergeCell ref="D114:J114"/>
    <mergeCell ref="A130:C130"/>
    <mergeCell ref="E130:G130"/>
    <mergeCell ref="I130:K130"/>
    <mergeCell ref="F133:G133"/>
    <mergeCell ref="A113:A115"/>
    <mergeCell ref="B113:B115"/>
    <mergeCell ref="C113:J113"/>
    <mergeCell ref="A92:C92"/>
    <mergeCell ref="F131:G131"/>
    <mergeCell ref="F132:G132"/>
    <mergeCell ref="C114:C115"/>
    <mergeCell ref="A119:A120"/>
    <mergeCell ref="B119:B120"/>
    <mergeCell ref="A108:B108"/>
    <mergeCell ref="E108:H108"/>
    <mergeCell ref="A109:B109"/>
    <mergeCell ref="E109:H109"/>
    <mergeCell ref="A105:B105"/>
    <mergeCell ref="E105:H105"/>
    <mergeCell ref="A106:B106"/>
    <mergeCell ref="E106:H106"/>
    <mergeCell ref="A107:B107"/>
    <mergeCell ref="E107:H107"/>
    <mergeCell ref="A102:B102"/>
    <mergeCell ref="E102:H102"/>
    <mergeCell ref="A103:B103"/>
    <mergeCell ref="E103:H103"/>
    <mergeCell ref="A104:B104"/>
    <mergeCell ref="E104:H104"/>
    <mergeCell ref="A99:B99"/>
    <mergeCell ref="E99:H99"/>
    <mergeCell ref="A100:B100"/>
    <mergeCell ref="E100:H100"/>
    <mergeCell ref="A101:B101"/>
    <mergeCell ref="E101:H101"/>
    <mergeCell ref="I94:I95"/>
    <mergeCell ref="A96:B96"/>
    <mergeCell ref="E96:H96"/>
    <mergeCell ref="A97:B97"/>
    <mergeCell ref="E97:H97"/>
    <mergeCell ref="A98:B98"/>
    <mergeCell ref="E98:H98"/>
    <mergeCell ref="A85:C85"/>
    <mergeCell ref="A86:C86"/>
    <mergeCell ref="A87:C87"/>
    <mergeCell ref="A94:B95"/>
    <mergeCell ref="C94:C95"/>
    <mergeCell ref="E94:H95"/>
    <mergeCell ref="A88:C88"/>
    <mergeCell ref="A89:C89"/>
    <mergeCell ref="A90:C90"/>
    <mergeCell ref="A91:C91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1" r:id="rId1"/>
  <headerFooter alignWithMargins="0">
    <oddFooter>&amp;C&amp;"Arial CE,Běžné"&amp;P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T129"/>
  <sheetViews>
    <sheetView view="pageBreakPreview" zoomScale="70" zoomScaleNormal="90" zoomScaleSheetLayoutView="70" zoomScalePageLayoutView="0" workbookViewId="0" topLeftCell="A73">
      <selection activeCell="D120" sqref="D120:E120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14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145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09"/>
      <c r="D7" s="121"/>
      <c r="E7" s="239"/>
      <c r="F7" s="154">
        <f>E7-D7</f>
        <v>0</v>
      </c>
      <c r="G7" s="145"/>
      <c r="H7" s="122"/>
      <c r="I7" s="123"/>
      <c r="J7" s="156">
        <f>H7+I7</f>
        <v>0</v>
      </c>
      <c r="K7" s="144">
        <f>J7-E7</f>
        <v>0</v>
      </c>
      <c r="L7" s="150"/>
    </row>
    <row r="8" spans="1:12" s="101" customFormat="1" ht="13.5">
      <c r="A8" s="511" t="s">
        <v>25</v>
      </c>
      <c r="B8" s="512"/>
      <c r="C8" s="512"/>
      <c r="D8" s="125"/>
      <c r="E8" s="240"/>
      <c r="F8" s="154">
        <f aca="true" t="shared" si="0" ref="F8:F75">E8-D8</f>
        <v>0</v>
      </c>
      <c r="G8" s="145"/>
      <c r="H8" s="127"/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2"/>
      <c r="D9" s="125"/>
      <c r="E9" s="240"/>
      <c r="F9" s="154">
        <f t="shared" si="0"/>
        <v>0</v>
      </c>
      <c r="G9" s="145"/>
      <c r="H9" s="127"/>
      <c r="I9" s="128"/>
      <c r="J9" s="156">
        <f t="shared" si="1"/>
        <v>0</v>
      </c>
      <c r="K9" s="144">
        <f t="shared" si="2"/>
        <v>0</v>
      </c>
      <c r="L9" s="150"/>
    </row>
    <row r="10" spans="1:12" s="101" customFormat="1" ht="13.5">
      <c r="A10" s="514" t="s">
        <v>27</v>
      </c>
      <c r="B10" s="515"/>
      <c r="C10" s="515"/>
      <c r="D10" s="125"/>
      <c r="E10" s="240"/>
      <c r="F10" s="154">
        <f t="shared" si="0"/>
        <v>0</v>
      </c>
      <c r="G10" s="145"/>
      <c r="H10" s="127"/>
      <c r="I10" s="128"/>
      <c r="J10" s="156">
        <f t="shared" si="1"/>
        <v>0</v>
      </c>
      <c r="K10" s="144">
        <f t="shared" si="2"/>
        <v>0</v>
      </c>
      <c r="L10" s="150"/>
    </row>
    <row r="11" spans="1:12" s="101" customFormat="1" ht="13.5">
      <c r="A11" s="514" t="s">
        <v>28</v>
      </c>
      <c r="B11" s="515"/>
      <c r="C11" s="515"/>
      <c r="D11" s="125"/>
      <c r="E11" s="240"/>
      <c r="F11" s="154">
        <f t="shared" si="0"/>
        <v>0</v>
      </c>
      <c r="G11" s="145"/>
      <c r="H11" s="127"/>
      <c r="I11" s="128"/>
      <c r="J11" s="156">
        <f t="shared" si="1"/>
        <v>0</v>
      </c>
      <c r="K11" s="144">
        <f t="shared" si="2"/>
        <v>0</v>
      </c>
      <c r="L11" s="150"/>
    </row>
    <row r="12" spans="1:12" s="101" customFormat="1" ht="13.5">
      <c r="A12" s="514" t="s">
        <v>29</v>
      </c>
      <c r="B12" s="515"/>
      <c r="C12" s="515"/>
      <c r="D12" s="125"/>
      <c r="E12" s="240"/>
      <c r="F12" s="154">
        <f t="shared" si="0"/>
        <v>0</v>
      </c>
      <c r="G12" s="145"/>
      <c r="H12" s="127"/>
      <c r="I12" s="128"/>
      <c r="J12" s="156">
        <f t="shared" si="1"/>
        <v>0</v>
      </c>
      <c r="K12" s="144">
        <f t="shared" si="2"/>
        <v>0</v>
      </c>
      <c r="L12" s="150"/>
    </row>
    <row r="13" spans="1:12" s="101" customFormat="1" ht="13.5">
      <c r="A13" s="514" t="s">
        <v>30</v>
      </c>
      <c r="B13" s="515"/>
      <c r="C13" s="515"/>
      <c r="D13" s="125"/>
      <c r="E13" s="240"/>
      <c r="F13" s="154">
        <f t="shared" si="0"/>
        <v>0</v>
      </c>
      <c r="G13" s="145"/>
      <c r="H13" s="127"/>
      <c r="I13" s="128"/>
      <c r="J13" s="156">
        <f t="shared" si="1"/>
        <v>0</v>
      </c>
      <c r="K13" s="144">
        <f t="shared" si="2"/>
        <v>0</v>
      </c>
      <c r="L13" s="150"/>
    </row>
    <row r="14" spans="1:12" s="101" customFormat="1" ht="13.5">
      <c r="A14" s="514" t="s">
        <v>31</v>
      </c>
      <c r="B14" s="515"/>
      <c r="C14" s="515"/>
      <c r="D14" s="125"/>
      <c r="E14" s="240"/>
      <c r="F14" s="154">
        <f t="shared" si="0"/>
        <v>0</v>
      </c>
      <c r="G14" s="145"/>
      <c r="H14" s="127"/>
      <c r="I14" s="128"/>
      <c r="J14" s="156">
        <f t="shared" si="1"/>
        <v>0</v>
      </c>
      <c r="K14" s="144">
        <f t="shared" si="2"/>
        <v>0</v>
      </c>
      <c r="L14" s="150"/>
    </row>
    <row r="15" spans="1:14" s="101" customFormat="1" ht="13.5">
      <c r="A15" s="514" t="s">
        <v>32</v>
      </c>
      <c r="B15" s="515"/>
      <c r="C15" s="515"/>
      <c r="D15" s="125"/>
      <c r="E15" s="240"/>
      <c r="F15" s="154">
        <f t="shared" si="0"/>
        <v>0</v>
      </c>
      <c r="G15" s="145"/>
      <c r="H15" s="127"/>
      <c r="I15" s="128"/>
      <c r="J15" s="156">
        <f t="shared" si="1"/>
        <v>0</v>
      </c>
      <c r="K15" s="144">
        <f t="shared" si="2"/>
        <v>0</v>
      </c>
      <c r="L15" s="150"/>
      <c r="N15" s="129"/>
    </row>
    <row r="16" spans="1:12" s="101" customFormat="1" ht="13.5">
      <c r="A16" s="511" t="s">
        <v>33</v>
      </c>
      <c r="B16" s="512"/>
      <c r="C16" s="512"/>
      <c r="D16" s="125"/>
      <c r="E16" s="240"/>
      <c r="F16" s="154">
        <f t="shared" si="0"/>
        <v>0</v>
      </c>
      <c r="G16" s="145"/>
      <c r="H16" s="127"/>
      <c r="I16" s="128"/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511" t="s">
        <v>34</v>
      </c>
      <c r="B17" s="512"/>
      <c r="C17" s="512"/>
      <c r="D17" s="125"/>
      <c r="E17" s="240"/>
      <c r="F17" s="154">
        <f t="shared" si="0"/>
        <v>0</v>
      </c>
      <c r="G17" s="145"/>
      <c r="H17" s="127"/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8"/>
      <c r="D18" s="125"/>
      <c r="E18" s="240"/>
      <c r="F18" s="154">
        <f t="shared" si="0"/>
        <v>0</v>
      </c>
      <c r="G18" s="145"/>
      <c r="H18" s="127"/>
      <c r="I18" s="128"/>
      <c r="J18" s="156">
        <f t="shared" si="1"/>
        <v>0</v>
      </c>
      <c r="K18" s="144">
        <f t="shared" si="2"/>
        <v>0</v>
      </c>
      <c r="L18" s="150"/>
    </row>
    <row r="19" spans="1:12" s="101" customFormat="1" ht="13.5">
      <c r="A19" s="511" t="s">
        <v>36</v>
      </c>
      <c r="B19" s="512"/>
      <c r="C19" s="512"/>
      <c r="D19" s="125"/>
      <c r="E19" s="240"/>
      <c r="F19" s="154">
        <f t="shared" si="0"/>
        <v>0</v>
      </c>
      <c r="G19" s="145"/>
      <c r="H19" s="127"/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2"/>
      <c r="D20" s="125"/>
      <c r="E20" s="241"/>
      <c r="F20" s="154">
        <f t="shared" si="0"/>
        <v>0</v>
      </c>
      <c r="G20" s="145"/>
      <c r="H20" s="122"/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1"/>
      <c r="D21" s="125"/>
      <c r="E21" s="240"/>
      <c r="F21" s="154">
        <f t="shared" si="0"/>
        <v>0</v>
      </c>
      <c r="G21" s="145"/>
      <c r="H21" s="127"/>
      <c r="I21" s="128"/>
      <c r="J21" s="156">
        <f t="shared" si="1"/>
        <v>0</v>
      </c>
      <c r="K21" s="144">
        <f t="shared" si="2"/>
        <v>0</v>
      </c>
      <c r="L21" s="150"/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1"/>
      <c r="D22" s="125"/>
      <c r="E22" s="240">
        <v>150</v>
      </c>
      <c r="F22" s="154">
        <f t="shared" si="0"/>
        <v>150</v>
      </c>
      <c r="G22" s="145"/>
      <c r="H22" s="127"/>
      <c r="I22" s="128"/>
      <c r="J22" s="156">
        <f t="shared" si="1"/>
        <v>0</v>
      </c>
      <c r="K22" s="144">
        <f t="shared" si="2"/>
        <v>-150</v>
      </c>
      <c r="L22" s="150">
        <f aca="true" t="shared" si="3" ref="L22:L75">J22/E22</f>
        <v>0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1"/>
      <c r="D23" s="125"/>
      <c r="E23" s="240"/>
      <c r="F23" s="154">
        <f t="shared" si="0"/>
        <v>0</v>
      </c>
      <c r="G23" s="145"/>
      <c r="H23" s="127"/>
      <c r="I23" s="128"/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1"/>
      <c r="D24" s="125"/>
      <c r="E24" s="240"/>
      <c r="F24" s="154">
        <f t="shared" si="0"/>
        <v>0</v>
      </c>
      <c r="G24" s="145"/>
      <c r="H24" s="127"/>
      <c r="I24" s="128"/>
      <c r="J24" s="156">
        <f t="shared" si="1"/>
        <v>0</v>
      </c>
      <c r="K24" s="144">
        <f t="shared" si="2"/>
        <v>0</v>
      </c>
      <c r="L24" s="150"/>
    </row>
    <row r="25" spans="1:12" s="101" customFormat="1" ht="13.5">
      <c r="A25" s="520" t="s">
        <v>163</v>
      </c>
      <c r="B25" s="521"/>
      <c r="C25" s="521"/>
      <c r="D25" s="125"/>
      <c r="E25" s="240"/>
      <c r="F25" s="154">
        <f t="shared" si="0"/>
        <v>0</v>
      </c>
      <c r="G25" s="145"/>
      <c r="H25" s="127"/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8"/>
      <c r="D26" s="125"/>
      <c r="E26" s="240"/>
      <c r="F26" s="154">
        <f t="shared" si="0"/>
        <v>0</v>
      </c>
      <c r="G26" s="145"/>
      <c r="H26" s="127"/>
      <c r="I26" s="128"/>
      <c r="J26" s="156">
        <f t="shared" si="1"/>
        <v>0</v>
      </c>
      <c r="K26" s="144">
        <f t="shared" si="2"/>
        <v>0</v>
      </c>
      <c r="L26" s="150"/>
    </row>
    <row r="27" spans="1:12" s="101" customFormat="1" ht="13.5">
      <c r="A27" s="511" t="s">
        <v>40</v>
      </c>
      <c r="B27" s="512"/>
      <c r="C27" s="512"/>
      <c r="D27" s="125"/>
      <c r="E27" s="240"/>
      <c r="F27" s="154">
        <f t="shared" si="0"/>
        <v>0</v>
      </c>
      <c r="G27" s="145"/>
      <c r="H27" s="127"/>
      <c r="I27" s="128"/>
      <c r="J27" s="156">
        <f t="shared" si="1"/>
        <v>0</v>
      </c>
      <c r="K27" s="144">
        <f t="shared" si="2"/>
        <v>0</v>
      </c>
      <c r="L27" s="150"/>
    </row>
    <row r="28" spans="1:12" s="101" customFormat="1" ht="13.5">
      <c r="A28" s="511" t="s">
        <v>41</v>
      </c>
      <c r="B28" s="512"/>
      <c r="C28" s="512"/>
      <c r="D28" s="125"/>
      <c r="E28" s="240"/>
      <c r="F28" s="154">
        <f t="shared" si="0"/>
        <v>0</v>
      </c>
      <c r="G28" s="145"/>
      <c r="H28" s="127"/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8"/>
      <c r="D29" s="125">
        <v>9352</v>
      </c>
      <c r="E29" s="241">
        <v>9563</v>
      </c>
      <c r="F29" s="154">
        <f t="shared" si="0"/>
        <v>211</v>
      </c>
      <c r="G29" s="145">
        <f aca="true" t="shared" si="4" ref="G29:G75">E29/D29</f>
        <v>1.022562018819504</v>
      </c>
      <c r="H29" s="122">
        <v>8571</v>
      </c>
      <c r="I29" s="123"/>
      <c r="J29" s="156">
        <f t="shared" si="1"/>
        <v>8571</v>
      </c>
      <c r="K29" s="144">
        <f t="shared" si="2"/>
        <v>-992</v>
      </c>
      <c r="L29" s="150">
        <f t="shared" si="3"/>
        <v>0.896266861863432</v>
      </c>
    </row>
    <row r="30" spans="1:14" s="101" customFormat="1" ht="13.5">
      <c r="A30" s="514" t="s">
        <v>164</v>
      </c>
      <c r="B30" s="515"/>
      <c r="C30" s="515"/>
      <c r="D30" s="131">
        <v>2184</v>
      </c>
      <c r="E30" s="242">
        <v>2652</v>
      </c>
      <c r="F30" s="155">
        <f t="shared" si="0"/>
        <v>468</v>
      </c>
      <c r="G30" s="147">
        <f t="shared" si="4"/>
        <v>1.2142857142857142</v>
      </c>
      <c r="H30" s="363">
        <v>1978</v>
      </c>
      <c r="I30" s="133"/>
      <c r="J30" s="157">
        <f t="shared" si="1"/>
        <v>1978</v>
      </c>
      <c r="K30" s="146">
        <f t="shared" si="2"/>
        <v>-674</v>
      </c>
      <c r="L30" s="151">
        <f t="shared" si="3"/>
        <v>0.7458521870286576</v>
      </c>
      <c r="N30" s="129"/>
    </row>
    <row r="31" spans="1:12" s="101" customFormat="1" ht="13.5">
      <c r="A31" s="514" t="s">
        <v>43</v>
      </c>
      <c r="B31" s="515"/>
      <c r="C31" s="515"/>
      <c r="D31" s="125">
        <v>5064</v>
      </c>
      <c r="E31" s="240">
        <v>4556</v>
      </c>
      <c r="F31" s="154">
        <f t="shared" si="0"/>
        <v>-508</v>
      </c>
      <c r="G31" s="145">
        <f t="shared" si="4"/>
        <v>0.8996840442338072</v>
      </c>
      <c r="H31" s="127">
        <v>6043</v>
      </c>
      <c r="I31" s="128"/>
      <c r="J31" s="156">
        <f t="shared" si="1"/>
        <v>6043</v>
      </c>
      <c r="K31" s="144">
        <f t="shared" si="2"/>
        <v>1487</v>
      </c>
      <c r="L31" s="150">
        <f t="shared" si="3"/>
        <v>1.3263827919227393</v>
      </c>
    </row>
    <row r="32" spans="1:12" s="101" customFormat="1" ht="13.5">
      <c r="A32" s="511" t="s">
        <v>44</v>
      </c>
      <c r="B32" s="512"/>
      <c r="C32" s="512"/>
      <c r="D32" s="138">
        <v>0</v>
      </c>
      <c r="E32" s="241">
        <v>0</v>
      </c>
      <c r="F32" s="154">
        <f t="shared" si="0"/>
        <v>0</v>
      </c>
      <c r="G32" s="145"/>
      <c r="H32" s="122">
        <v>0</v>
      </c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514" t="s">
        <v>45</v>
      </c>
      <c r="B33" s="515"/>
      <c r="C33" s="515"/>
      <c r="D33" s="153">
        <v>2104</v>
      </c>
      <c r="E33" s="243">
        <v>2355</v>
      </c>
      <c r="F33" s="154">
        <f t="shared" si="0"/>
        <v>251</v>
      </c>
      <c r="G33" s="145">
        <f t="shared" si="4"/>
        <v>1.119296577946768</v>
      </c>
      <c r="H33" s="158">
        <v>550</v>
      </c>
      <c r="I33" s="159"/>
      <c r="J33" s="160">
        <f t="shared" si="1"/>
        <v>550</v>
      </c>
      <c r="K33" s="161">
        <f t="shared" si="2"/>
        <v>-1805</v>
      </c>
      <c r="L33" s="162">
        <f t="shared" si="3"/>
        <v>0.23354564755838642</v>
      </c>
      <c r="N33" s="129"/>
    </row>
    <row r="34" spans="1:12" s="101" customFormat="1" ht="14.25" thickBot="1">
      <c r="A34" s="523" t="s">
        <v>46</v>
      </c>
      <c r="B34" s="524"/>
      <c r="C34" s="524"/>
      <c r="D34" s="171">
        <v>8990</v>
      </c>
      <c r="E34" s="244">
        <v>9713</v>
      </c>
      <c r="F34" s="173">
        <f t="shared" si="0"/>
        <v>723</v>
      </c>
      <c r="G34" s="174">
        <f t="shared" si="4"/>
        <v>1.0804226918798665</v>
      </c>
      <c r="H34" s="172">
        <v>8571</v>
      </c>
      <c r="I34" s="172"/>
      <c r="J34" s="175">
        <f t="shared" si="1"/>
        <v>8571</v>
      </c>
      <c r="K34" s="173">
        <f t="shared" si="2"/>
        <v>-1142</v>
      </c>
      <c r="L34" s="176">
        <f t="shared" si="3"/>
        <v>0.882425615154947</v>
      </c>
    </row>
    <row r="35" spans="1:12" s="101" customFormat="1" ht="13.5">
      <c r="A35" s="526" t="s">
        <v>47</v>
      </c>
      <c r="B35" s="527"/>
      <c r="C35" s="527"/>
      <c r="D35" s="135">
        <v>233</v>
      </c>
      <c r="E35" s="136">
        <v>219</v>
      </c>
      <c r="F35" s="148">
        <f t="shared" si="0"/>
        <v>-14</v>
      </c>
      <c r="G35" s="149">
        <f t="shared" si="4"/>
        <v>0.9399141630901288</v>
      </c>
      <c r="H35" s="137">
        <v>234</v>
      </c>
      <c r="I35" s="137"/>
      <c r="J35" s="134">
        <f t="shared" si="1"/>
        <v>234</v>
      </c>
      <c r="K35" s="148">
        <f t="shared" si="2"/>
        <v>15</v>
      </c>
      <c r="L35" s="152">
        <f t="shared" si="3"/>
        <v>1.0684931506849316</v>
      </c>
    </row>
    <row r="36" spans="1:12" s="101" customFormat="1" ht="13.5">
      <c r="A36" s="514" t="s">
        <v>48</v>
      </c>
      <c r="B36" s="515"/>
      <c r="C36" s="515"/>
      <c r="D36" s="125">
        <v>0</v>
      </c>
      <c r="E36" s="126">
        <v>0</v>
      </c>
      <c r="F36" s="144">
        <f t="shared" si="0"/>
        <v>0</v>
      </c>
      <c r="G36" s="145"/>
      <c r="H36" s="127">
        <v>0</v>
      </c>
      <c r="I36" s="128"/>
      <c r="J36" s="124">
        <f t="shared" si="1"/>
        <v>0</v>
      </c>
      <c r="K36" s="144">
        <f t="shared" si="2"/>
        <v>0</v>
      </c>
      <c r="L36" s="150"/>
    </row>
    <row r="37" spans="1:12" s="101" customFormat="1" ht="13.5">
      <c r="A37" s="514" t="s">
        <v>49</v>
      </c>
      <c r="B37" s="515"/>
      <c r="C37" s="515"/>
      <c r="D37" s="125">
        <v>25</v>
      </c>
      <c r="E37" s="126">
        <v>20</v>
      </c>
      <c r="F37" s="144">
        <f t="shared" si="0"/>
        <v>-5</v>
      </c>
      <c r="G37" s="145">
        <f t="shared" si="4"/>
        <v>0.8</v>
      </c>
      <c r="H37" s="127">
        <v>20</v>
      </c>
      <c r="I37" s="128"/>
      <c r="J37" s="124">
        <f t="shared" si="1"/>
        <v>20</v>
      </c>
      <c r="K37" s="144">
        <f t="shared" si="2"/>
        <v>0</v>
      </c>
      <c r="L37" s="150">
        <f t="shared" si="3"/>
        <v>1</v>
      </c>
    </row>
    <row r="38" spans="1:12" s="101" customFormat="1" ht="13.5">
      <c r="A38" s="514" t="s">
        <v>50</v>
      </c>
      <c r="B38" s="515"/>
      <c r="C38" s="515"/>
      <c r="D38" s="138">
        <v>0</v>
      </c>
      <c r="E38" s="130">
        <v>0</v>
      </c>
      <c r="F38" s="144">
        <f t="shared" si="0"/>
        <v>0</v>
      </c>
      <c r="G38" s="145"/>
      <c r="H38" s="122">
        <v>0</v>
      </c>
      <c r="I38" s="123"/>
      <c r="J38" s="124">
        <f t="shared" si="1"/>
        <v>0</v>
      </c>
      <c r="K38" s="144">
        <f t="shared" si="2"/>
        <v>0</v>
      </c>
      <c r="L38" s="150"/>
    </row>
    <row r="39" spans="1:12" s="101" customFormat="1" ht="13.5">
      <c r="A39" s="514" t="s">
        <v>51</v>
      </c>
      <c r="B39" s="515"/>
      <c r="C39" s="515"/>
      <c r="D39" s="125">
        <v>0</v>
      </c>
      <c r="E39" s="126">
        <v>20</v>
      </c>
      <c r="F39" s="144">
        <f t="shared" si="0"/>
        <v>20</v>
      </c>
      <c r="G39" s="145"/>
      <c r="H39" s="127">
        <v>20</v>
      </c>
      <c r="I39" s="128"/>
      <c r="J39" s="124">
        <f t="shared" si="1"/>
        <v>20</v>
      </c>
      <c r="K39" s="144">
        <f t="shared" si="2"/>
        <v>0</v>
      </c>
      <c r="L39" s="150">
        <f t="shared" si="3"/>
        <v>1</v>
      </c>
    </row>
    <row r="40" spans="1:12" s="101" customFormat="1" ht="13.5">
      <c r="A40" s="514" t="s">
        <v>52</v>
      </c>
      <c r="B40" s="515"/>
      <c r="C40" s="515"/>
      <c r="D40" s="125">
        <v>0</v>
      </c>
      <c r="E40" s="126">
        <v>0</v>
      </c>
      <c r="F40" s="144">
        <f t="shared" si="0"/>
        <v>0</v>
      </c>
      <c r="G40" s="145"/>
      <c r="H40" s="127">
        <v>0</v>
      </c>
      <c r="I40" s="128"/>
      <c r="J40" s="124">
        <f t="shared" si="1"/>
        <v>0</v>
      </c>
      <c r="K40" s="144">
        <f t="shared" si="2"/>
        <v>0</v>
      </c>
      <c r="L40" s="150"/>
    </row>
    <row r="41" spans="1:14" s="101" customFormat="1" ht="13.5">
      <c r="A41" s="514" t="s">
        <v>53</v>
      </c>
      <c r="B41" s="515"/>
      <c r="C41" s="515"/>
      <c r="D41" s="125">
        <v>28</v>
      </c>
      <c r="E41" s="126">
        <v>28</v>
      </c>
      <c r="F41" s="144">
        <f t="shared" si="0"/>
        <v>0</v>
      </c>
      <c r="G41" s="145">
        <f t="shared" si="4"/>
        <v>1</v>
      </c>
      <c r="H41" s="127">
        <v>38</v>
      </c>
      <c r="I41" s="128"/>
      <c r="J41" s="124">
        <f t="shared" si="1"/>
        <v>38</v>
      </c>
      <c r="K41" s="144">
        <f t="shared" si="2"/>
        <v>10</v>
      </c>
      <c r="L41" s="150">
        <f t="shared" si="3"/>
        <v>1.3571428571428572</v>
      </c>
      <c r="N41" s="129"/>
    </row>
    <row r="42" spans="1:12" s="101" customFormat="1" ht="13.5">
      <c r="A42" s="514" t="s">
        <v>54</v>
      </c>
      <c r="B42" s="515"/>
      <c r="C42" s="515"/>
      <c r="D42" s="125">
        <v>0</v>
      </c>
      <c r="E42" s="126">
        <v>11</v>
      </c>
      <c r="F42" s="144">
        <f t="shared" si="0"/>
        <v>11</v>
      </c>
      <c r="G42" s="145"/>
      <c r="H42" s="127">
        <v>13</v>
      </c>
      <c r="I42" s="128"/>
      <c r="J42" s="124">
        <f t="shared" si="1"/>
        <v>13</v>
      </c>
      <c r="K42" s="144">
        <f t="shared" si="2"/>
        <v>2</v>
      </c>
      <c r="L42" s="150">
        <f t="shared" si="3"/>
        <v>1.1818181818181819</v>
      </c>
    </row>
    <row r="43" spans="1:14" s="101" customFormat="1" ht="13.5">
      <c r="A43" s="514" t="s">
        <v>166</v>
      </c>
      <c r="B43" s="515"/>
      <c r="C43" s="515"/>
      <c r="D43" s="125">
        <v>0</v>
      </c>
      <c r="E43" s="126">
        <v>0</v>
      </c>
      <c r="F43" s="144">
        <f t="shared" si="0"/>
        <v>0</v>
      </c>
      <c r="G43" s="145"/>
      <c r="H43" s="127">
        <v>0</v>
      </c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5"/>
      <c r="D44" s="125">
        <v>0</v>
      </c>
      <c r="E44" s="126">
        <v>0</v>
      </c>
      <c r="F44" s="144">
        <f t="shared" si="0"/>
        <v>0</v>
      </c>
      <c r="G44" s="145"/>
      <c r="H44" s="127">
        <v>0</v>
      </c>
      <c r="I44" s="128"/>
      <c r="J44" s="124">
        <f t="shared" si="1"/>
        <v>0</v>
      </c>
      <c r="K44" s="144">
        <f t="shared" si="2"/>
        <v>0</v>
      </c>
      <c r="L44" s="150"/>
    </row>
    <row r="45" spans="1:12" s="101" customFormat="1" ht="13.5">
      <c r="A45" s="514" t="s">
        <v>55</v>
      </c>
      <c r="B45" s="515"/>
      <c r="C45" s="515"/>
      <c r="D45" s="125">
        <v>180</v>
      </c>
      <c r="E45" s="126">
        <v>140</v>
      </c>
      <c r="F45" s="144">
        <f t="shared" si="0"/>
        <v>-40</v>
      </c>
      <c r="G45" s="145">
        <f t="shared" si="4"/>
        <v>0.7777777777777778</v>
      </c>
      <c r="H45" s="127">
        <v>143</v>
      </c>
      <c r="I45" s="128"/>
      <c r="J45" s="124">
        <f t="shared" si="1"/>
        <v>143</v>
      </c>
      <c r="K45" s="144">
        <f t="shared" si="2"/>
        <v>3</v>
      </c>
      <c r="L45" s="150">
        <f t="shared" si="3"/>
        <v>1.0214285714285714</v>
      </c>
    </row>
    <row r="46" spans="1:14" s="101" customFormat="1" ht="13.5">
      <c r="A46" s="526" t="s">
        <v>56</v>
      </c>
      <c r="B46" s="527"/>
      <c r="C46" s="527"/>
      <c r="D46" s="125">
        <v>239</v>
      </c>
      <c r="E46" s="126">
        <v>198</v>
      </c>
      <c r="F46" s="144">
        <f t="shared" si="0"/>
        <v>-41</v>
      </c>
      <c r="G46" s="145">
        <f t="shared" si="4"/>
        <v>0.8284518828451883</v>
      </c>
      <c r="H46" s="127">
        <v>210</v>
      </c>
      <c r="I46" s="127"/>
      <c r="J46" s="124">
        <f t="shared" si="1"/>
        <v>210</v>
      </c>
      <c r="K46" s="144">
        <f t="shared" si="2"/>
        <v>12</v>
      </c>
      <c r="L46" s="150">
        <f t="shared" si="3"/>
        <v>1.0606060606060606</v>
      </c>
      <c r="N46" s="129"/>
    </row>
    <row r="47" spans="1:12" s="101" customFormat="1" ht="13.5">
      <c r="A47" s="514" t="s">
        <v>57</v>
      </c>
      <c r="B47" s="515"/>
      <c r="C47" s="515"/>
      <c r="D47" s="125">
        <v>71</v>
      </c>
      <c r="E47" s="126">
        <v>50</v>
      </c>
      <c r="F47" s="144">
        <f t="shared" si="0"/>
        <v>-21</v>
      </c>
      <c r="G47" s="145">
        <f t="shared" si="4"/>
        <v>0.704225352112676</v>
      </c>
      <c r="H47" s="127">
        <v>52</v>
      </c>
      <c r="I47" s="128"/>
      <c r="J47" s="124">
        <f t="shared" si="1"/>
        <v>52</v>
      </c>
      <c r="K47" s="144">
        <f t="shared" si="2"/>
        <v>2</v>
      </c>
      <c r="L47" s="150">
        <f t="shared" si="3"/>
        <v>1.04</v>
      </c>
    </row>
    <row r="48" spans="1:12" s="101" customFormat="1" ht="13.5">
      <c r="A48" s="514" t="s">
        <v>58</v>
      </c>
      <c r="B48" s="515"/>
      <c r="C48" s="515"/>
      <c r="D48" s="125">
        <v>102</v>
      </c>
      <c r="E48" s="126">
        <v>81</v>
      </c>
      <c r="F48" s="144">
        <f t="shared" si="0"/>
        <v>-21</v>
      </c>
      <c r="G48" s="145">
        <f t="shared" si="4"/>
        <v>0.7941176470588235</v>
      </c>
      <c r="H48" s="127">
        <v>83</v>
      </c>
      <c r="I48" s="128"/>
      <c r="J48" s="124">
        <f t="shared" si="1"/>
        <v>83</v>
      </c>
      <c r="K48" s="144">
        <f t="shared" si="2"/>
        <v>2</v>
      </c>
      <c r="L48" s="150">
        <f t="shared" si="3"/>
        <v>1.0246913580246915</v>
      </c>
    </row>
    <row r="49" spans="1:12" s="101" customFormat="1" ht="13.5">
      <c r="A49" s="514" t="s">
        <v>59</v>
      </c>
      <c r="B49" s="515"/>
      <c r="C49" s="515"/>
      <c r="D49" s="125">
        <v>27</v>
      </c>
      <c r="E49" s="126">
        <v>23</v>
      </c>
      <c r="F49" s="144">
        <f t="shared" si="0"/>
        <v>-4</v>
      </c>
      <c r="G49" s="145">
        <f t="shared" si="4"/>
        <v>0.8518518518518519</v>
      </c>
      <c r="H49" s="127">
        <v>26</v>
      </c>
      <c r="I49" s="128"/>
      <c r="J49" s="124">
        <f t="shared" si="1"/>
        <v>26</v>
      </c>
      <c r="K49" s="144">
        <f t="shared" si="2"/>
        <v>3</v>
      </c>
      <c r="L49" s="150">
        <f t="shared" si="3"/>
        <v>1.1304347826086956</v>
      </c>
    </row>
    <row r="50" spans="1:12" s="101" customFormat="1" ht="13.5">
      <c r="A50" s="514" t="s">
        <v>168</v>
      </c>
      <c r="B50" s="515"/>
      <c r="C50" s="515"/>
      <c r="D50" s="125">
        <v>39</v>
      </c>
      <c r="E50" s="126">
        <v>44</v>
      </c>
      <c r="F50" s="144">
        <f t="shared" si="0"/>
        <v>5</v>
      </c>
      <c r="G50" s="145">
        <f t="shared" si="4"/>
        <v>1.1282051282051282</v>
      </c>
      <c r="H50" s="127">
        <v>49</v>
      </c>
      <c r="I50" s="128"/>
      <c r="J50" s="124">
        <f t="shared" si="1"/>
        <v>49</v>
      </c>
      <c r="K50" s="144">
        <f t="shared" si="2"/>
        <v>5</v>
      </c>
      <c r="L50" s="150">
        <f t="shared" si="3"/>
        <v>1.1136363636363635</v>
      </c>
    </row>
    <row r="51" spans="1:12" s="101" customFormat="1" ht="13.5">
      <c r="A51" s="526" t="s">
        <v>60</v>
      </c>
      <c r="B51" s="527"/>
      <c r="C51" s="527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7"/>
      <c r="D52" s="125">
        <v>0</v>
      </c>
      <c r="E52" s="126">
        <v>0</v>
      </c>
      <c r="F52" s="144">
        <f t="shared" si="0"/>
        <v>0</v>
      </c>
      <c r="G52" s="145"/>
      <c r="H52" s="127">
        <v>0</v>
      </c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7"/>
      <c r="D53" s="125">
        <v>56</v>
      </c>
      <c r="E53" s="126">
        <v>59</v>
      </c>
      <c r="F53" s="144">
        <f t="shared" si="0"/>
        <v>3</v>
      </c>
      <c r="G53" s="145">
        <f t="shared" si="4"/>
        <v>1.0535714285714286</v>
      </c>
      <c r="H53" s="127">
        <v>73</v>
      </c>
      <c r="I53" s="128"/>
      <c r="J53" s="124">
        <f t="shared" si="1"/>
        <v>73</v>
      </c>
      <c r="K53" s="144">
        <f t="shared" si="2"/>
        <v>14</v>
      </c>
      <c r="L53" s="150">
        <f t="shared" si="3"/>
        <v>1.2372881355932204</v>
      </c>
    </row>
    <row r="54" spans="1:12" s="101" customFormat="1" ht="13.5">
      <c r="A54" s="529" t="s">
        <v>63</v>
      </c>
      <c r="B54" s="530"/>
      <c r="C54" s="530"/>
      <c r="D54" s="125">
        <v>26</v>
      </c>
      <c r="E54" s="126">
        <v>33</v>
      </c>
      <c r="F54" s="144">
        <f t="shared" si="0"/>
        <v>7</v>
      </c>
      <c r="G54" s="145">
        <f t="shared" si="4"/>
        <v>1.2692307692307692</v>
      </c>
      <c r="H54" s="127">
        <v>33</v>
      </c>
      <c r="I54" s="128"/>
      <c r="J54" s="124">
        <f t="shared" si="1"/>
        <v>33</v>
      </c>
      <c r="K54" s="144">
        <f t="shared" si="2"/>
        <v>0</v>
      </c>
      <c r="L54" s="150">
        <f t="shared" si="3"/>
        <v>1</v>
      </c>
    </row>
    <row r="55" spans="1:12" s="101" customFormat="1" ht="13.5">
      <c r="A55" s="529" t="s">
        <v>169</v>
      </c>
      <c r="B55" s="530"/>
      <c r="C55" s="530"/>
      <c r="D55" s="125">
        <v>9</v>
      </c>
      <c r="E55" s="126">
        <v>19</v>
      </c>
      <c r="F55" s="144">
        <f t="shared" si="0"/>
        <v>10</v>
      </c>
      <c r="G55" s="145">
        <f t="shared" si="4"/>
        <v>2.111111111111111</v>
      </c>
      <c r="H55" s="127">
        <v>30</v>
      </c>
      <c r="I55" s="128"/>
      <c r="J55" s="124">
        <f t="shared" si="1"/>
        <v>30</v>
      </c>
      <c r="K55" s="144">
        <f t="shared" si="2"/>
        <v>11</v>
      </c>
      <c r="L55" s="150">
        <f t="shared" si="3"/>
        <v>1.5789473684210527</v>
      </c>
    </row>
    <row r="56" spans="1:12" s="101" customFormat="1" ht="13.5">
      <c r="A56" s="529" t="s">
        <v>133</v>
      </c>
      <c r="B56" s="530"/>
      <c r="C56" s="530"/>
      <c r="D56" s="125">
        <v>30</v>
      </c>
      <c r="E56" s="126">
        <v>7</v>
      </c>
      <c r="F56" s="144">
        <f t="shared" si="0"/>
        <v>-23</v>
      </c>
      <c r="G56" s="145">
        <f t="shared" si="4"/>
        <v>0.23333333333333334</v>
      </c>
      <c r="H56" s="127">
        <v>10</v>
      </c>
      <c r="I56" s="128"/>
      <c r="J56" s="124">
        <f t="shared" si="1"/>
        <v>10</v>
      </c>
      <c r="K56" s="144">
        <f t="shared" si="2"/>
        <v>3</v>
      </c>
      <c r="L56" s="150">
        <f t="shared" si="3"/>
        <v>1.4285714285714286</v>
      </c>
    </row>
    <row r="57" spans="1:12" s="101" customFormat="1" ht="13.5">
      <c r="A57" s="526" t="s">
        <v>64</v>
      </c>
      <c r="B57" s="527"/>
      <c r="C57" s="527"/>
      <c r="D57" s="125">
        <v>130</v>
      </c>
      <c r="E57" s="126">
        <v>102</v>
      </c>
      <c r="F57" s="144">
        <f t="shared" si="0"/>
        <v>-28</v>
      </c>
      <c r="G57" s="145">
        <f t="shared" si="4"/>
        <v>0.7846153846153846</v>
      </c>
      <c r="H57" s="127">
        <v>155</v>
      </c>
      <c r="I57" s="128"/>
      <c r="J57" s="124">
        <f t="shared" si="1"/>
        <v>155</v>
      </c>
      <c r="K57" s="144">
        <f t="shared" si="2"/>
        <v>53</v>
      </c>
      <c r="L57" s="150">
        <f t="shared" si="3"/>
        <v>1.5196078431372548</v>
      </c>
    </row>
    <row r="58" spans="1:12" s="101" customFormat="1" ht="13.5">
      <c r="A58" s="526" t="s">
        <v>65</v>
      </c>
      <c r="B58" s="527"/>
      <c r="C58" s="527"/>
      <c r="D58" s="125">
        <v>4</v>
      </c>
      <c r="E58" s="126">
        <v>10</v>
      </c>
      <c r="F58" s="144">
        <f t="shared" si="0"/>
        <v>6</v>
      </c>
      <c r="G58" s="145">
        <f t="shared" si="4"/>
        <v>2.5</v>
      </c>
      <c r="H58" s="127">
        <v>0</v>
      </c>
      <c r="I58" s="128"/>
      <c r="J58" s="124">
        <f t="shared" si="1"/>
        <v>0</v>
      </c>
      <c r="K58" s="144">
        <f t="shared" si="2"/>
        <v>-10</v>
      </c>
      <c r="L58" s="150">
        <f t="shared" si="3"/>
        <v>0</v>
      </c>
    </row>
    <row r="59" spans="1:14" s="101" customFormat="1" ht="13.5">
      <c r="A59" s="526" t="s">
        <v>66</v>
      </c>
      <c r="B59" s="527"/>
      <c r="C59" s="527"/>
      <c r="D59" s="125">
        <v>757</v>
      </c>
      <c r="E59" s="126">
        <v>700</v>
      </c>
      <c r="F59" s="144">
        <f t="shared" si="0"/>
        <v>-57</v>
      </c>
      <c r="G59" s="145">
        <f t="shared" si="4"/>
        <v>0.9247027741083224</v>
      </c>
      <c r="H59" s="127">
        <v>866</v>
      </c>
      <c r="I59" s="128"/>
      <c r="J59" s="124">
        <f t="shared" si="1"/>
        <v>866</v>
      </c>
      <c r="K59" s="144">
        <f t="shared" si="2"/>
        <v>166</v>
      </c>
      <c r="L59" s="150">
        <f t="shared" si="3"/>
        <v>1.237142857142857</v>
      </c>
      <c r="N59" s="129"/>
    </row>
    <row r="60" spans="1:12" s="101" customFormat="1" ht="13.5">
      <c r="A60" s="514" t="s">
        <v>67</v>
      </c>
      <c r="B60" s="515"/>
      <c r="C60" s="515"/>
      <c r="D60" s="125">
        <v>120</v>
      </c>
      <c r="E60" s="126">
        <v>140</v>
      </c>
      <c r="F60" s="144">
        <f t="shared" si="0"/>
        <v>20</v>
      </c>
      <c r="G60" s="145">
        <f t="shared" si="4"/>
        <v>1.1666666666666667</v>
      </c>
      <c r="H60" s="127">
        <v>161</v>
      </c>
      <c r="I60" s="128"/>
      <c r="J60" s="124">
        <f t="shared" si="1"/>
        <v>161</v>
      </c>
      <c r="K60" s="144">
        <f t="shared" si="2"/>
        <v>21</v>
      </c>
      <c r="L60" s="150">
        <f t="shared" si="3"/>
        <v>1.15</v>
      </c>
    </row>
    <row r="61" spans="1:12" s="101" customFormat="1" ht="13.5">
      <c r="A61" s="514" t="s">
        <v>68</v>
      </c>
      <c r="B61" s="515"/>
      <c r="C61" s="515"/>
      <c r="D61" s="125">
        <v>168</v>
      </c>
      <c r="E61" s="126">
        <v>168</v>
      </c>
      <c r="F61" s="144">
        <f t="shared" si="0"/>
        <v>0</v>
      </c>
      <c r="G61" s="145">
        <f t="shared" si="4"/>
        <v>1</v>
      </c>
      <c r="H61" s="127">
        <v>248</v>
      </c>
      <c r="I61" s="128"/>
      <c r="J61" s="124">
        <f t="shared" si="1"/>
        <v>248</v>
      </c>
      <c r="K61" s="144">
        <f t="shared" si="2"/>
        <v>80</v>
      </c>
      <c r="L61" s="150">
        <f t="shared" si="3"/>
        <v>1.4761904761904763</v>
      </c>
    </row>
    <row r="62" spans="1:12" s="101" customFormat="1" ht="13.5">
      <c r="A62" s="514" t="s">
        <v>69</v>
      </c>
      <c r="B62" s="515"/>
      <c r="C62" s="515"/>
      <c r="D62" s="125">
        <v>0</v>
      </c>
      <c r="E62" s="126">
        <v>113</v>
      </c>
      <c r="F62" s="144">
        <f t="shared" si="0"/>
        <v>113</v>
      </c>
      <c r="G62" s="145"/>
      <c r="H62" s="127">
        <v>133</v>
      </c>
      <c r="I62" s="128"/>
      <c r="J62" s="124">
        <f t="shared" si="1"/>
        <v>133</v>
      </c>
      <c r="K62" s="144">
        <f t="shared" si="2"/>
        <v>20</v>
      </c>
      <c r="L62" s="150">
        <f t="shared" si="3"/>
        <v>1.176991150442478</v>
      </c>
    </row>
    <row r="63" spans="1:12" s="101" customFormat="1" ht="13.5">
      <c r="A63" s="514" t="s">
        <v>70</v>
      </c>
      <c r="B63" s="515"/>
      <c r="C63" s="515"/>
      <c r="D63" s="125">
        <v>0</v>
      </c>
      <c r="E63" s="126">
        <v>5</v>
      </c>
      <c r="F63" s="144">
        <f t="shared" si="0"/>
        <v>5</v>
      </c>
      <c r="G63" s="145"/>
      <c r="H63" s="127">
        <v>6</v>
      </c>
      <c r="I63" s="128"/>
      <c r="J63" s="124">
        <f t="shared" si="1"/>
        <v>6</v>
      </c>
      <c r="K63" s="144">
        <f t="shared" si="2"/>
        <v>1</v>
      </c>
      <c r="L63" s="150">
        <f t="shared" si="3"/>
        <v>1.2</v>
      </c>
    </row>
    <row r="64" spans="1:12" s="101" customFormat="1" ht="13.5">
      <c r="A64" s="514" t="s">
        <v>71</v>
      </c>
      <c r="B64" s="515"/>
      <c r="C64" s="515"/>
      <c r="D64" s="125">
        <v>0</v>
      </c>
      <c r="E64" s="126">
        <v>0</v>
      </c>
      <c r="F64" s="144">
        <f t="shared" si="0"/>
        <v>0</v>
      </c>
      <c r="G64" s="145"/>
      <c r="H64" s="127">
        <v>0</v>
      </c>
      <c r="I64" s="128"/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5"/>
      <c r="D65" s="125">
        <v>0</v>
      </c>
      <c r="E65" s="126">
        <v>6</v>
      </c>
      <c r="F65" s="144">
        <f t="shared" si="0"/>
        <v>6</v>
      </c>
      <c r="G65" s="145"/>
      <c r="H65" s="127">
        <v>8</v>
      </c>
      <c r="I65" s="128"/>
      <c r="J65" s="124">
        <f t="shared" si="1"/>
        <v>8</v>
      </c>
      <c r="K65" s="144">
        <f t="shared" si="2"/>
        <v>2</v>
      </c>
      <c r="L65" s="150">
        <f t="shared" si="3"/>
        <v>1.3333333333333333</v>
      </c>
    </row>
    <row r="66" spans="1:12" s="101" customFormat="1" ht="13.5">
      <c r="A66" s="514" t="s">
        <v>72</v>
      </c>
      <c r="B66" s="515"/>
      <c r="C66" s="515"/>
      <c r="D66" s="125">
        <v>0</v>
      </c>
      <c r="E66" s="126">
        <v>22</v>
      </c>
      <c r="F66" s="144">
        <f t="shared" si="0"/>
        <v>22</v>
      </c>
      <c r="G66" s="145"/>
      <c r="H66" s="127">
        <v>10</v>
      </c>
      <c r="I66" s="128"/>
      <c r="J66" s="124">
        <f t="shared" si="1"/>
        <v>10</v>
      </c>
      <c r="K66" s="144">
        <f t="shared" si="2"/>
        <v>-12</v>
      </c>
      <c r="L66" s="150">
        <f t="shared" si="3"/>
        <v>0.45454545454545453</v>
      </c>
    </row>
    <row r="67" spans="1:12" s="101" customFormat="1" ht="13.5">
      <c r="A67" s="514" t="s">
        <v>73</v>
      </c>
      <c r="B67" s="515"/>
      <c r="C67" s="515"/>
      <c r="D67" s="125">
        <v>469</v>
      </c>
      <c r="E67" s="126">
        <v>246</v>
      </c>
      <c r="F67" s="144">
        <f t="shared" si="0"/>
        <v>-223</v>
      </c>
      <c r="G67" s="145">
        <f>E67/D67</f>
        <v>0.5245202558635395</v>
      </c>
      <c r="H67" s="127">
        <v>300</v>
      </c>
      <c r="I67" s="128"/>
      <c r="J67" s="124">
        <f t="shared" si="1"/>
        <v>300</v>
      </c>
      <c r="K67" s="144">
        <f t="shared" si="2"/>
        <v>54</v>
      </c>
      <c r="L67" s="150">
        <f t="shared" si="3"/>
        <v>1.2195121951219512</v>
      </c>
    </row>
    <row r="68" spans="1:12" s="101" customFormat="1" ht="13.5">
      <c r="A68" s="514" t="s">
        <v>171</v>
      </c>
      <c r="B68" s="515"/>
      <c r="C68" s="515"/>
      <c r="D68" s="125">
        <v>0</v>
      </c>
      <c r="E68" s="126">
        <v>0</v>
      </c>
      <c r="F68" s="144">
        <f t="shared" si="0"/>
        <v>0</v>
      </c>
      <c r="G68" s="145"/>
      <c r="H68" s="127">
        <v>0</v>
      </c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7"/>
      <c r="D69" s="125">
        <v>7476</v>
      </c>
      <c r="E69" s="126">
        <v>8054</v>
      </c>
      <c r="F69" s="144">
        <f t="shared" si="0"/>
        <v>578</v>
      </c>
      <c r="G69" s="145">
        <f t="shared" si="4"/>
        <v>1.0773140716960943</v>
      </c>
      <c r="H69" s="127">
        <v>8604</v>
      </c>
      <c r="I69" s="128"/>
      <c r="J69" s="124">
        <f t="shared" si="1"/>
        <v>8604</v>
      </c>
      <c r="K69" s="144">
        <f t="shared" si="2"/>
        <v>550</v>
      </c>
      <c r="L69" s="150">
        <f t="shared" si="3"/>
        <v>1.0682890489197914</v>
      </c>
      <c r="N69" s="129"/>
    </row>
    <row r="70" spans="1:12" s="101" customFormat="1" ht="13.5">
      <c r="A70" s="514" t="s">
        <v>75</v>
      </c>
      <c r="B70" s="515"/>
      <c r="C70" s="515"/>
      <c r="D70" s="125">
        <v>5524</v>
      </c>
      <c r="E70" s="126">
        <v>5828</v>
      </c>
      <c r="F70" s="144">
        <f t="shared" si="0"/>
        <v>304</v>
      </c>
      <c r="G70" s="145">
        <f t="shared" si="4"/>
        <v>1.055032585083273</v>
      </c>
      <c r="H70" s="127">
        <v>6213</v>
      </c>
      <c r="I70" s="128"/>
      <c r="J70" s="124">
        <f t="shared" si="1"/>
        <v>6213</v>
      </c>
      <c r="K70" s="144">
        <f t="shared" si="2"/>
        <v>385</v>
      </c>
      <c r="L70" s="150">
        <f t="shared" si="3"/>
        <v>1.066060398078243</v>
      </c>
    </row>
    <row r="71" spans="1:12" s="101" customFormat="1" ht="13.5">
      <c r="A71" s="514" t="s">
        <v>76</v>
      </c>
      <c r="B71" s="515"/>
      <c r="C71" s="515"/>
      <c r="D71" s="125">
        <v>5254</v>
      </c>
      <c r="E71" s="126">
        <v>5507</v>
      </c>
      <c r="F71" s="144">
        <f t="shared" si="0"/>
        <v>253</v>
      </c>
      <c r="G71" s="145">
        <f t="shared" si="4"/>
        <v>1.0481537875904072</v>
      </c>
      <c r="H71" s="127">
        <v>5883</v>
      </c>
      <c r="I71" s="128"/>
      <c r="J71" s="124">
        <f t="shared" si="1"/>
        <v>5883</v>
      </c>
      <c r="K71" s="144">
        <f t="shared" si="2"/>
        <v>376</v>
      </c>
      <c r="L71" s="150">
        <f t="shared" si="3"/>
        <v>1.0682767386962049</v>
      </c>
    </row>
    <row r="72" spans="1:12" s="101" customFormat="1" ht="13.5">
      <c r="A72" s="514" t="s">
        <v>172</v>
      </c>
      <c r="B72" s="515"/>
      <c r="C72" s="515"/>
      <c r="D72" s="125">
        <v>5254</v>
      </c>
      <c r="E72" s="126">
        <v>5477</v>
      </c>
      <c r="F72" s="144">
        <f t="shared" si="0"/>
        <v>223</v>
      </c>
      <c r="G72" s="145">
        <f t="shared" si="4"/>
        <v>1.0424438523030073</v>
      </c>
      <c r="H72" s="127">
        <v>5883</v>
      </c>
      <c r="I72" s="128"/>
      <c r="J72" s="124">
        <f t="shared" si="1"/>
        <v>5883</v>
      </c>
      <c r="K72" s="144">
        <f t="shared" si="2"/>
        <v>406</v>
      </c>
      <c r="L72" s="150">
        <f t="shared" si="3"/>
        <v>1.0741281723571299</v>
      </c>
    </row>
    <row r="73" spans="1:14" s="101" customFormat="1" ht="13.5">
      <c r="A73" s="514" t="s">
        <v>77</v>
      </c>
      <c r="B73" s="515"/>
      <c r="C73" s="515"/>
      <c r="D73" s="125">
        <v>270</v>
      </c>
      <c r="E73" s="126">
        <v>321</v>
      </c>
      <c r="F73" s="144">
        <f t="shared" si="0"/>
        <v>51</v>
      </c>
      <c r="G73" s="145">
        <f t="shared" si="4"/>
        <v>1.1888888888888889</v>
      </c>
      <c r="H73" s="127">
        <v>330</v>
      </c>
      <c r="I73" s="128"/>
      <c r="J73" s="124">
        <f t="shared" si="1"/>
        <v>330</v>
      </c>
      <c r="K73" s="144">
        <f t="shared" si="2"/>
        <v>9</v>
      </c>
      <c r="L73" s="150">
        <f t="shared" si="3"/>
        <v>1.02803738317757</v>
      </c>
      <c r="N73" s="129"/>
    </row>
    <row r="74" spans="1:12" s="101" customFormat="1" ht="13.5">
      <c r="A74" s="514" t="s">
        <v>78</v>
      </c>
      <c r="B74" s="515"/>
      <c r="C74" s="515"/>
      <c r="D74" s="125">
        <v>1952</v>
      </c>
      <c r="E74" s="126">
        <v>2226</v>
      </c>
      <c r="F74" s="144">
        <f t="shared" si="0"/>
        <v>274</v>
      </c>
      <c r="G74" s="145">
        <f t="shared" si="4"/>
        <v>1.1403688524590163</v>
      </c>
      <c r="H74" s="127">
        <v>2391</v>
      </c>
      <c r="I74" s="128"/>
      <c r="J74" s="124">
        <f t="shared" si="1"/>
        <v>2391</v>
      </c>
      <c r="K74" s="144">
        <f t="shared" si="2"/>
        <v>165</v>
      </c>
      <c r="L74" s="150">
        <f t="shared" si="3"/>
        <v>1.0741239892183287</v>
      </c>
    </row>
    <row r="75" spans="1:15" s="101" customFormat="1" ht="13.5">
      <c r="A75" s="526" t="s">
        <v>79</v>
      </c>
      <c r="B75" s="527"/>
      <c r="C75" s="527"/>
      <c r="D75" s="125">
        <v>2</v>
      </c>
      <c r="E75" s="126">
        <v>3</v>
      </c>
      <c r="F75" s="144">
        <f t="shared" si="0"/>
        <v>1</v>
      </c>
      <c r="G75" s="145">
        <f t="shared" si="4"/>
        <v>1.5</v>
      </c>
      <c r="H75" s="127">
        <v>3</v>
      </c>
      <c r="I75" s="128"/>
      <c r="J75" s="124">
        <f t="shared" si="1"/>
        <v>3</v>
      </c>
      <c r="K75" s="144">
        <f t="shared" si="2"/>
        <v>0</v>
      </c>
      <c r="L75" s="150">
        <f t="shared" si="3"/>
        <v>1</v>
      </c>
      <c r="N75" s="129"/>
      <c r="O75" s="139"/>
    </row>
    <row r="76" spans="1:12" s="101" customFormat="1" ht="13.5">
      <c r="A76" s="514" t="s">
        <v>80</v>
      </c>
      <c r="B76" s="515"/>
      <c r="C76" s="515"/>
      <c r="D76" s="125">
        <v>0</v>
      </c>
      <c r="E76" s="126">
        <v>0</v>
      </c>
      <c r="F76" s="144">
        <f aca="true" t="shared" si="5" ref="F76:F90">E76-D76</f>
        <v>0</v>
      </c>
      <c r="G76" s="145"/>
      <c r="H76" s="127"/>
      <c r="I76" s="128"/>
      <c r="J76" s="124">
        <f aca="true" t="shared" si="6" ref="J76:J92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7"/>
      <c r="D77" s="125">
        <v>57</v>
      </c>
      <c r="E77" s="126">
        <v>48</v>
      </c>
      <c r="F77" s="144">
        <f t="shared" si="5"/>
        <v>-9</v>
      </c>
      <c r="G77" s="145">
        <f>E77/D77</f>
        <v>0.8421052631578947</v>
      </c>
      <c r="H77" s="127">
        <v>50</v>
      </c>
      <c r="I77" s="128"/>
      <c r="J77" s="124">
        <f t="shared" si="6"/>
        <v>50</v>
      </c>
      <c r="K77" s="144">
        <f t="shared" si="7"/>
        <v>2</v>
      </c>
      <c r="L77" s="150">
        <f aca="true" t="shared" si="8" ref="L77:L85">J77/E77</f>
        <v>1.0416666666666667</v>
      </c>
    </row>
    <row r="78" spans="1:12" s="101" customFormat="1" ht="13.5">
      <c r="A78" s="514" t="s">
        <v>82</v>
      </c>
      <c r="B78" s="515"/>
      <c r="C78" s="515"/>
      <c r="D78" s="138">
        <v>0</v>
      </c>
      <c r="E78" s="130">
        <v>0</v>
      </c>
      <c r="F78" s="144">
        <f t="shared" si="5"/>
        <v>0</v>
      </c>
      <c r="G78" s="145"/>
      <c r="H78" s="122">
        <v>0</v>
      </c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5"/>
      <c r="D79" s="125">
        <v>0</v>
      </c>
      <c r="E79" s="126">
        <v>0</v>
      </c>
      <c r="F79" s="144">
        <f t="shared" si="5"/>
        <v>0</v>
      </c>
      <c r="G79" s="145"/>
      <c r="H79" s="127">
        <v>0</v>
      </c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7"/>
      <c r="D80" s="125">
        <v>183</v>
      </c>
      <c r="E80" s="126">
        <v>238</v>
      </c>
      <c r="F80" s="144">
        <f t="shared" si="5"/>
        <v>55</v>
      </c>
      <c r="G80" s="145">
        <f>E80/D80</f>
        <v>1.3005464480874316</v>
      </c>
      <c r="H80" s="127">
        <v>0</v>
      </c>
      <c r="I80" s="128"/>
      <c r="J80" s="124">
        <f t="shared" si="6"/>
        <v>0</v>
      </c>
      <c r="K80" s="144">
        <f t="shared" si="7"/>
        <v>-238</v>
      </c>
      <c r="L80" s="150">
        <f t="shared" si="8"/>
        <v>0</v>
      </c>
    </row>
    <row r="81" spans="1:12" s="101" customFormat="1" ht="13.5">
      <c r="A81" s="514" t="s">
        <v>85</v>
      </c>
      <c r="B81" s="515"/>
      <c r="C81" s="515"/>
      <c r="D81" s="125">
        <v>183</v>
      </c>
      <c r="E81" s="126">
        <v>141</v>
      </c>
      <c r="F81" s="144">
        <f t="shared" si="5"/>
        <v>-42</v>
      </c>
      <c r="G81" s="145">
        <f>E81/D81</f>
        <v>0.7704918032786885</v>
      </c>
      <c r="H81" s="366">
        <v>129</v>
      </c>
      <c r="I81" s="128"/>
      <c r="J81" s="124">
        <f t="shared" si="6"/>
        <v>129</v>
      </c>
      <c r="K81" s="144">
        <f t="shared" si="7"/>
        <v>-12</v>
      </c>
      <c r="L81" s="150">
        <f t="shared" si="8"/>
        <v>0.9148936170212766</v>
      </c>
    </row>
    <row r="82" spans="1:12" s="101" customFormat="1" ht="13.5">
      <c r="A82" s="514" t="s">
        <v>86</v>
      </c>
      <c r="B82" s="515"/>
      <c r="C82" s="515"/>
      <c r="D82" s="125">
        <v>0</v>
      </c>
      <c r="E82" s="126">
        <v>0</v>
      </c>
      <c r="F82" s="144">
        <f t="shared" si="5"/>
        <v>0</v>
      </c>
      <c r="G82" s="145"/>
      <c r="H82" s="127">
        <v>0</v>
      </c>
      <c r="I82" s="128"/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514" t="s">
        <v>173</v>
      </c>
      <c r="B83" s="515"/>
      <c r="C83" s="515"/>
      <c r="D83" s="125">
        <v>0</v>
      </c>
      <c r="E83" s="126">
        <v>0</v>
      </c>
      <c r="F83" s="144">
        <f t="shared" si="5"/>
        <v>0</v>
      </c>
      <c r="G83" s="145"/>
      <c r="H83" s="127">
        <v>0</v>
      </c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5"/>
      <c r="D84" s="125">
        <v>0</v>
      </c>
      <c r="E84" s="126">
        <v>97</v>
      </c>
      <c r="F84" s="144">
        <f t="shared" si="5"/>
        <v>97</v>
      </c>
      <c r="G84" s="145"/>
      <c r="H84" s="127">
        <v>0</v>
      </c>
      <c r="I84" s="128"/>
      <c r="J84" s="124">
        <f t="shared" si="6"/>
        <v>0</v>
      </c>
      <c r="K84" s="144">
        <f t="shared" si="7"/>
        <v>-97</v>
      </c>
      <c r="L84" s="150">
        <f t="shared" si="8"/>
        <v>0</v>
      </c>
    </row>
    <row r="85" spans="1:12" s="101" customFormat="1" ht="13.5">
      <c r="A85" s="514" t="s">
        <v>174</v>
      </c>
      <c r="B85" s="515"/>
      <c r="C85" s="515"/>
      <c r="D85" s="125">
        <v>0</v>
      </c>
      <c r="E85" s="126">
        <v>97</v>
      </c>
      <c r="F85" s="144">
        <f t="shared" si="5"/>
        <v>97</v>
      </c>
      <c r="G85" s="145"/>
      <c r="H85" s="127">
        <v>347</v>
      </c>
      <c r="I85" s="128"/>
      <c r="J85" s="124">
        <f t="shared" si="6"/>
        <v>347</v>
      </c>
      <c r="K85" s="144">
        <f t="shared" si="7"/>
        <v>250</v>
      </c>
      <c r="L85" s="150">
        <f t="shared" si="8"/>
        <v>3.577319587628866</v>
      </c>
    </row>
    <row r="86" spans="1:14" s="101" customFormat="1" ht="13.5">
      <c r="A86" s="514" t="s">
        <v>175</v>
      </c>
      <c r="B86" s="515"/>
      <c r="C86" s="515"/>
      <c r="D86" s="125">
        <v>0</v>
      </c>
      <c r="E86" s="126">
        <v>0</v>
      </c>
      <c r="F86" s="144">
        <f t="shared" si="5"/>
        <v>0</v>
      </c>
      <c r="G86" s="145"/>
      <c r="H86" s="127">
        <v>0</v>
      </c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526" t="s">
        <v>88</v>
      </c>
      <c r="B87" s="527"/>
      <c r="C87" s="527"/>
      <c r="D87" s="125">
        <v>9</v>
      </c>
      <c r="E87" s="126">
        <v>0</v>
      </c>
      <c r="F87" s="144">
        <f t="shared" si="5"/>
        <v>-9</v>
      </c>
      <c r="G87" s="145">
        <f>E87/D87</f>
        <v>0</v>
      </c>
      <c r="H87" s="127">
        <v>0</v>
      </c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5"/>
      <c r="D88" s="125">
        <v>0</v>
      </c>
      <c r="E88" s="126">
        <v>0</v>
      </c>
      <c r="F88" s="144">
        <f t="shared" si="5"/>
        <v>0</v>
      </c>
      <c r="G88" s="145"/>
      <c r="H88" s="127">
        <v>0</v>
      </c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7"/>
      <c r="D89" s="125">
        <v>0</v>
      </c>
      <c r="E89" s="126">
        <v>0</v>
      </c>
      <c r="F89" s="144">
        <f t="shared" si="5"/>
        <v>0</v>
      </c>
      <c r="G89" s="145"/>
      <c r="H89" s="127">
        <v>0</v>
      </c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15"/>
      <c r="D90" s="245">
        <v>0</v>
      </c>
      <c r="E90" s="140">
        <v>0</v>
      </c>
      <c r="F90" s="144">
        <f t="shared" si="5"/>
        <v>0</v>
      </c>
      <c r="G90" s="145"/>
      <c r="H90" s="127">
        <v>0</v>
      </c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9154</v>
      </c>
      <c r="E91" s="178">
        <v>9631</v>
      </c>
      <c r="F91" s="179"/>
      <c r="G91" s="179"/>
      <c r="H91" s="180">
        <v>10671</v>
      </c>
      <c r="I91" s="180"/>
      <c r="J91" s="181">
        <f t="shared" si="6"/>
        <v>10671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v>198</v>
      </c>
      <c r="E92" s="184">
        <v>82</v>
      </c>
      <c r="F92" s="185"/>
      <c r="G92" s="185"/>
      <c r="H92" s="184">
        <v>-2100</v>
      </c>
      <c r="I92" s="184"/>
      <c r="J92" s="186">
        <f t="shared" si="6"/>
        <v>-2100</v>
      </c>
      <c r="K92" s="170"/>
      <c r="L92" s="187"/>
      <c r="M92" s="141"/>
      <c r="N92" s="141"/>
      <c r="O92" s="143"/>
    </row>
    <row r="93" spans="1:15" s="254" customFormat="1" ht="14.25" thickBot="1">
      <c r="A93" s="233"/>
      <c r="B93" s="233"/>
      <c r="C93" s="233"/>
      <c r="D93" s="247"/>
      <c r="E93" s="248"/>
      <c r="F93" s="249"/>
      <c r="G93" s="249"/>
      <c r="H93" s="250"/>
      <c r="I93" s="251"/>
      <c r="J93" s="252"/>
      <c r="K93" s="253"/>
      <c r="L93" s="249"/>
      <c r="M93" s="249"/>
      <c r="N93" s="249"/>
      <c r="O93" s="250"/>
    </row>
    <row r="94" spans="1:14" ht="13.5">
      <c r="A94" s="561" t="s">
        <v>178</v>
      </c>
      <c r="B94" s="562"/>
      <c r="C94" s="565" t="s">
        <v>104</v>
      </c>
      <c r="D94" s="42"/>
      <c r="E94" s="561" t="s">
        <v>179</v>
      </c>
      <c r="F94" s="567"/>
      <c r="G94" s="567"/>
      <c r="H94" s="562"/>
      <c r="I94" s="565" t="s">
        <v>104</v>
      </c>
      <c r="J94" s="43"/>
      <c r="K94" s="43"/>
      <c r="L94" s="43"/>
      <c r="M94" s="43"/>
      <c r="N94" s="43"/>
    </row>
    <row r="95" spans="1:14" ht="14.25" thickBot="1">
      <c r="A95" s="563"/>
      <c r="B95" s="564"/>
      <c r="C95" s="566"/>
      <c r="D95" s="42"/>
      <c r="E95" s="568"/>
      <c r="F95" s="569"/>
      <c r="G95" s="569"/>
      <c r="H95" s="570"/>
      <c r="I95" s="571"/>
      <c r="J95" s="43"/>
      <c r="K95" s="43"/>
      <c r="L95" s="43"/>
      <c r="M95" s="43"/>
      <c r="N95" s="43"/>
    </row>
    <row r="96" spans="1:14" ht="14.25" thickBot="1">
      <c r="A96" s="572" t="s">
        <v>221</v>
      </c>
      <c r="B96" s="590"/>
      <c r="C96" s="109">
        <v>58</v>
      </c>
      <c r="D96" s="92"/>
      <c r="E96" s="574" t="s">
        <v>304</v>
      </c>
      <c r="F96" s="575"/>
      <c r="G96" s="575"/>
      <c r="H96" s="576"/>
      <c r="I96" s="110">
        <v>33</v>
      </c>
      <c r="J96" s="43"/>
      <c r="K96" s="43"/>
      <c r="L96" s="43"/>
      <c r="M96" s="43"/>
      <c r="N96" s="38" t="s">
        <v>105</v>
      </c>
    </row>
    <row r="97" spans="1:14" ht="13.5">
      <c r="A97" s="572"/>
      <c r="B97" s="573"/>
      <c r="C97" s="109"/>
      <c r="D97" s="92"/>
      <c r="E97" s="572" t="s">
        <v>196</v>
      </c>
      <c r="F97" s="577"/>
      <c r="G97" s="577"/>
      <c r="H97" s="573"/>
      <c r="I97" s="111">
        <v>30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572"/>
      <c r="B98" s="573"/>
      <c r="C98" s="93"/>
      <c r="D98" s="92"/>
      <c r="E98" s="572" t="s">
        <v>305</v>
      </c>
      <c r="F98" s="577"/>
      <c r="G98" s="577"/>
      <c r="H98" s="573"/>
      <c r="I98" s="111">
        <v>10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572"/>
      <c r="B99" s="573"/>
      <c r="C99" s="93"/>
      <c r="D99" s="92"/>
      <c r="E99" s="572"/>
      <c r="F99" s="577"/>
      <c r="G99" s="577"/>
      <c r="H99" s="573"/>
      <c r="I99" s="111"/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572"/>
      <c r="B100" s="573"/>
      <c r="C100" s="93"/>
      <c r="D100" s="92"/>
      <c r="E100" s="572"/>
      <c r="F100" s="577"/>
      <c r="G100" s="577"/>
      <c r="H100" s="573"/>
      <c r="I100" s="208"/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572"/>
      <c r="B101" s="573"/>
      <c r="C101" s="93"/>
      <c r="D101" s="92"/>
      <c r="E101" s="572"/>
      <c r="F101" s="577"/>
      <c r="G101" s="577"/>
      <c r="H101" s="573"/>
      <c r="I101" s="208"/>
      <c r="J101" s="43"/>
      <c r="K101" s="43"/>
      <c r="L101" s="43"/>
      <c r="M101" s="43"/>
      <c r="N101" s="43"/>
    </row>
    <row r="102" spans="1:14" ht="13.5">
      <c r="A102" s="572"/>
      <c r="B102" s="573"/>
      <c r="C102" s="93"/>
      <c r="D102" s="92"/>
      <c r="E102" s="572"/>
      <c r="F102" s="577"/>
      <c r="G102" s="577"/>
      <c r="H102" s="573"/>
      <c r="I102" s="111"/>
      <c r="J102" s="43"/>
      <c r="K102" s="43"/>
      <c r="L102" s="43"/>
      <c r="M102" s="43"/>
      <c r="N102" s="43"/>
    </row>
    <row r="103" spans="1:14" ht="13.5">
      <c r="A103" s="578"/>
      <c r="B103" s="579"/>
      <c r="C103" s="91"/>
      <c r="D103" s="92"/>
      <c r="E103" s="572"/>
      <c r="F103" s="577"/>
      <c r="G103" s="577"/>
      <c r="H103" s="573"/>
      <c r="I103" s="93"/>
      <c r="J103" s="43"/>
      <c r="K103" s="43"/>
      <c r="L103" s="43"/>
      <c r="M103" s="43"/>
      <c r="N103" s="43"/>
    </row>
    <row r="104" spans="1:14" ht="14.25" thickBot="1">
      <c r="A104" s="580"/>
      <c r="B104" s="581"/>
      <c r="C104" s="57"/>
      <c r="D104" s="92"/>
      <c r="E104" s="582"/>
      <c r="F104" s="583"/>
      <c r="G104" s="583"/>
      <c r="H104" s="584"/>
      <c r="I104" s="93"/>
      <c r="J104" s="43"/>
      <c r="K104" s="43"/>
      <c r="L104" s="43"/>
      <c r="M104" s="43"/>
      <c r="N104" s="43"/>
    </row>
    <row r="105" spans="1:14" ht="14.25" thickBot="1">
      <c r="A105" s="585" t="s">
        <v>97</v>
      </c>
      <c r="B105" s="586"/>
      <c r="C105" s="373">
        <f>SUM(C96:C104)</f>
        <v>58</v>
      </c>
      <c r="D105" s="59"/>
      <c r="E105" s="587" t="s">
        <v>97</v>
      </c>
      <c r="F105" s="588"/>
      <c r="G105" s="588"/>
      <c r="H105" s="589"/>
      <c r="I105" s="60">
        <f>SUM(I96:I104)</f>
        <v>73</v>
      </c>
      <c r="J105" s="43"/>
      <c r="K105" s="43"/>
      <c r="L105" s="43"/>
      <c r="M105" s="43"/>
      <c r="N105" s="61"/>
    </row>
    <row r="106" spans="1:5" s="34" customFormat="1" ht="13.5">
      <c r="A106" s="59"/>
      <c r="B106" s="62"/>
      <c r="C106" s="62"/>
      <c r="D106" s="62"/>
      <c r="E106" s="62"/>
    </row>
    <row r="107" spans="1:12" s="34" customFormat="1" ht="13.5">
      <c r="A107" s="63"/>
      <c r="B107" s="36"/>
      <c r="C107" s="36"/>
      <c r="D107" s="36"/>
      <c r="E107" s="39"/>
      <c r="F107" s="41"/>
      <c r="G107" s="41"/>
      <c r="H107" s="35"/>
      <c r="I107" s="36"/>
      <c r="J107" s="36"/>
      <c r="K107" s="36"/>
      <c r="L107" s="39"/>
    </row>
    <row r="108" spans="1:12" s="34" customFormat="1" ht="14.25" thickBot="1">
      <c r="A108" s="63" t="s">
        <v>181</v>
      </c>
      <c r="B108" s="36"/>
      <c r="C108" s="36"/>
      <c r="D108" s="36"/>
      <c r="E108" s="39"/>
      <c r="F108" s="41"/>
      <c r="G108" s="41"/>
      <c r="H108" s="35"/>
      <c r="I108" s="36"/>
      <c r="J108" s="36" t="s">
        <v>110</v>
      </c>
      <c r="K108" s="36"/>
      <c r="L108" s="39"/>
    </row>
    <row r="109" spans="1:11" s="34" customFormat="1" ht="13.5">
      <c r="A109" s="449" t="s">
        <v>111</v>
      </c>
      <c r="B109" s="452" t="s">
        <v>248</v>
      </c>
      <c r="C109" s="459" t="s">
        <v>182</v>
      </c>
      <c r="D109" s="460"/>
      <c r="E109" s="460"/>
      <c r="F109" s="460"/>
      <c r="G109" s="460"/>
      <c r="H109" s="460"/>
      <c r="I109" s="460"/>
      <c r="J109" s="461"/>
      <c r="K109" s="455" t="s">
        <v>183</v>
      </c>
    </row>
    <row r="110" spans="1:11" s="34" customFormat="1" ht="13.5">
      <c r="A110" s="450"/>
      <c r="B110" s="453"/>
      <c r="C110" s="458" t="s">
        <v>112</v>
      </c>
      <c r="D110" s="462" t="s">
        <v>113</v>
      </c>
      <c r="E110" s="462"/>
      <c r="F110" s="462"/>
      <c r="G110" s="462"/>
      <c r="H110" s="462"/>
      <c r="I110" s="462"/>
      <c r="J110" s="463"/>
      <c r="K110" s="456"/>
    </row>
    <row r="111" spans="1:12" s="34" customFormat="1" ht="14.25" thickBot="1">
      <c r="A111" s="451"/>
      <c r="B111" s="454"/>
      <c r="C111" s="458"/>
      <c r="D111" s="164">
        <v>1</v>
      </c>
      <c r="E111" s="164">
        <v>2</v>
      </c>
      <c r="F111" s="164">
        <v>3</v>
      </c>
      <c r="G111" s="164">
        <v>4</v>
      </c>
      <c r="H111" s="164">
        <v>5</v>
      </c>
      <c r="I111" s="164">
        <v>6</v>
      </c>
      <c r="J111" s="165">
        <v>7</v>
      </c>
      <c r="K111" s="457"/>
      <c r="L111" s="71"/>
    </row>
    <row r="112" spans="1:11" s="34" customFormat="1" ht="14.25" thickBot="1">
      <c r="A112" s="64">
        <v>6340</v>
      </c>
      <c r="B112" s="65">
        <v>500</v>
      </c>
      <c r="C112" s="364">
        <f>SUM(D112:J112)</f>
        <v>129</v>
      </c>
      <c r="D112" s="167">
        <v>58</v>
      </c>
      <c r="E112" s="167">
        <v>0</v>
      </c>
      <c r="F112" s="167">
        <v>0</v>
      </c>
      <c r="G112" s="167">
        <v>0</v>
      </c>
      <c r="H112" s="167">
        <v>0</v>
      </c>
      <c r="I112" s="168">
        <v>0</v>
      </c>
      <c r="J112" s="225">
        <v>71</v>
      </c>
      <c r="K112" s="163">
        <v>5711</v>
      </c>
    </row>
    <row r="113" spans="1:5" s="34" customFormat="1" ht="13.5">
      <c r="A113" s="59"/>
      <c r="B113" s="62"/>
      <c r="C113" s="62"/>
      <c r="D113" s="62"/>
      <c r="E113" s="62"/>
    </row>
    <row r="114" spans="1:8" s="34" customFormat="1" ht="14.25" thickBot="1">
      <c r="A114" s="63" t="s">
        <v>184</v>
      </c>
      <c r="C114" s="36"/>
      <c r="D114" s="36"/>
      <c r="E114" s="36"/>
      <c r="F114" s="36" t="s">
        <v>110</v>
      </c>
      <c r="G114" s="41"/>
      <c r="H114" s="35"/>
    </row>
    <row r="115" spans="1:6" s="34" customFormat="1" ht="15" customHeight="1" thickBot="1">
      <c r="A115" s="467" t="s">
        <v>114</v>
      </c>
      <c r="B115" s="469" t="s">
        <v>188</v>
      </c>
      <c r="C115" s="188" t="s">
        <v>185</v>
      </c>
      <c r="D115" s="189"/>
      <c r="E115" s="189"/>
      <c r="F115" s="190"/>
    </row>
    <row r="116" spans="1:6" s="34" customFormat="1" ht="27.75" thickBot="1">
      <c r="A116" s="468"/>
      <c r="B116" s="469"/>
      <c r="C116" s="67" t="s">
        <v>186</v>
      </c>
      <c r="D116" s="66" t="s">
        <v>115</v>
      </c>
      <c r="E116" s="67" t="s">
        <v>116</v>
      </c>
      <c r="F116" s="191" t="s">
        <v>187</v>
      </c>
    </row>
    <row r="117" spans="1:6" s="34" customFormat="1" ht="13.5">
      <c r="A117" s="192" t="s">
        <v>117</v>
      </c>
      <c r="B117" s="218">
        <v>328</v>
      </c>
      <c r="C117" s="68" t="s">
        <v>118</v>
      </c>
      <c r="D117" s="69" t="s">
        <v>118</v>
      </c>
      <c r="E117" s="69" t="s">
        <v>118</v>
      </c>
      <c r="F117" s="193" t="s">
        <v>118</v>
      </c>
    </row>
    <row r="118" spans="1:13" s="34" customFormat="1" ht="13.5">
      <c r="A118" s="194" t="s">
        <v>119</v>
      </c>
      <c r="B118" s="219">
        <v>28</v>
      </c>
      <c r="C118" s="197">
        <v>28</v>
      </c>
      <c r="D118" s="51">
        <v>0</v>
      </c>
      <c r="E118" s="51">
        <v>0</v>
      </c>
      <c r="F118" s="198">
        <f>C118+D118-E118</f>
        <v>28</v>
      </c>
      <c r="M118" s="71"/>
    </row>
    <row r="119" spans="1:13" s="34" customFormat="1" ht="13.5">
      <c r="A119" s="194" t="s">
        <v>120</v>
      </c>
      <c r="B119" s="219">
        <v>48</v>
      </c>
      <c r="C119" s="197">
        <v>48</v>
      </c>
      <c r="D119" s="51">
        <v>82</v>
      </c>
      <c r="E119" s="51">
        <v>0</v>
      </c>
      <c r="F119" s="198">
        <f>C119+D119-E119</f>
        <v>130</v>
      </c>
      <c r="M119" s="71"/>
    </row>
    <row r="120" spans="1:13" s="34" customFormat="1" ht="13.5">
      <c r="A120" s="194" t="s">
        <v>121</v>
      </c>
      <c r="B120" s="219">
        <v>40</v>
      </c>
      <c r="C120" s="72">
        <v>40</v>
      </c>
      <c r="D120" s="206">
        <v>129</v>
      </c>
      <c r="E120" s="206">
        <v>58</v>
      </c>
      <c r="F120" s="198">
        <f>C120+D120-E120</f>
        <v>111</v>
      </c>
      <c r="M120" s="71"/>
    </row>
    <row r="121" spans="1:13" s="34" customFormat="1" ht="13.5">
      <c r="A121" s="194" t="s">
        <v>122</v>
      </c>
      <c r="B121" s="219">
        <f>B117-B118-B119-B120</f>
        <v>212</v>
      </c>
      <c r="C121" s="74" t="s">
        <v>118</v>
      </c>
      <c r="D121" s="75" t="s">
        <v>118</v>
      </c>
      <c r="E121" s="76" t="s">
        <v>118</v>
      </c>
      <c r="F121" s="195" t="s">
        <v>118</v>
      </c>
      <c r="M121" s="71"/>
    </row>
    <row r="122" spans="1:13" s="34" customFormat="1" ht="14.25" thickBot="1">
      <c r="A122" s="196" t="s">
        <v>123</v>
      </c>
      <c r="B122" s="220">
        <v>44</v>
      </c>
      <c r="C122" s="199">
        <v>44</v>
      </c>
      <c r="D122" s="200">
        <v>59</v>
      </c>
      <c r="E122" s="207">
        <v>84</v>
      </c>
      <c r="F122" s="201">
        <f>C122+D122-E122</f>
        <v>19</v>
      </c>
      <c r="M122" s="71"/>
    </row>
    <row r="123" spans="1:15" s="34" customFormat="1" ht="13.5">
      <c r="A123" s="35"/>
      <c r="B123" s="36"/>
      <c r="C123" s="36"/>
      <c r="D123" s="37"/>
      <c r="E123" s="38"/>
      <c r="F123" s="36"/>
      <c r="G123" s="36"/>
      <c r="H123" s="39"/>
      <c r="I123" s="40"/>
      <c r="J123" s="41"/>
      <c r="K123" s="35"/>
      <c r="L123" s="36"/>
      <c r="M123" s="36"/>
      <c r="N123" s="36"/>
      <c r="O123" s="39"/>
    </row>
    <row r="124" spans="1:11" ht="13.5">
      <c r="A124" s="63"/>
      <c r="K124" s="36"/>
    </row>
    <row r="125" spans="1:11" ht="14.25" thickBot="1">
      <c r="A125" s="63" t="s">
        <v>189</v>
      </c>
      <c r="K125" s="36" t="s">
        <v>110</v>
      </c>
    </row>
    <row r="126" spans="1:11" ht="13.5">
      <c r="A126" s="464" t="s">
        <v>124</v>
      </c>
      <c r="B126" s="465"/>
      <c r="C126" s="466"/>
      <c r="D126" s="78"/>
      <c r="E126" s="464" t="s">
        <v>125</v>
      </c>
      <c r="F126" s="465"/>
      <c r="G126" s="466"/>
      <c r="I126" s="464" t="s">
        <v>126</v>
      </c>
      <c r="J126" s="465"/>
      <c r="K126" s="466"/>
    </row>
    <row r="127" spans="1:11" ht="14.25" thickBot="1">
      <c r="A127" s="79" t="s">
        <v>127</v>
      </c>
      <c r="B127" s="80" t="s">
        <v>128</v>
      </c>
      <c r="C127" s="81" t="s">
        <v>129</v>
      </c>
      <c r="D127" s="78"/>
      <c r="E127" s="82"/>
      <c r="F127" s="470" t="s">
        <v>130</v>
      </c>
      <c r="G127" s="471"/>
      <c r="I127" s="79"/>
      <c r="J127" s="80" t="s">
        <v>131</v>
      </c>
      <c r="K127" s="81" t="s">
        <v>129</v>
      </c>
    </row>
    <row r="128" spans="1:11" ht="13.5">
      <c r="A128" s="83">
        <v>2012</v>
      </c>
      <c r="B128" s="84">
        <v>17</v>
      </c>
      <c r="C128" s="85">
        <v>17</v>
      </c>
      <c r="D128" s="37"/>
      <c r="E128" s="83">
        <v>2012</v>
      </c>
      <c r="F128" s="472">
        <v>0</v>
      </c>
      <c r="G128" s="473"/>
      <c r="I128" s="83">
        <v>2012</v>
      </c>
      <c r="J128" s="84">
        <v>5477</v>
      </c>
      <c r="K128" s="85">
        <v>5477</v>
      </c>
    </row>
    <row r="129" spans="1:11" ht="14.25" thickBot="1">
      <c r="A129" s="86">
        <v>2013</v>
      </c>
      <c r="B129" s="87">
        <v>18</v>
      </c>
      <c r="C129" s="88" t="s">
        <v>92</v>
      </c>
      <c r="D129" s="37"/>
      <c r="E129" s="86">
        <v>2013</v>
      </c>
      <c r="F129" s="388">
        <v>0</v>
      </c>
      <c r="G129" s="389"/>
      <c r="I129" s="86">
        <v>2013</v>
      </c>
      <c r="J129" s="87">
        <v>5883</v>
      </c>
      <c r="K129" s="88" t="s">
        <v>92</v>
      </c>
    </row>
  </sheetData>
  <sheetProtection selectLockedCells="1" selectUnlockedCells="1"/>
  <mergeCells count="131">
    <mergeCell ref="F128:G128"/>
    <mergeCell ref="F129:G129"/>
    <mergeCell ref="E100:H100"/>
    <mergeCell ref="A100:B100"/>
    <mergeCell ref="E99:H99"/>
    <mergeCell ref="A99:B99"/>
    <mergeCell ref="A115:A116"/>
    <mergeCell ref="B115:B116"/>
    <mergeCell ref="A126:C126"/>
    <mergeCell ref="E126:G126"/>
    <mergeCell ref="I126:K126"/>
    <mergeCell ref="F127:G127"/>
    <mergeCell ref="A105:B105"/>
    <mergeCell ref="E105:H105"/>
    <mergeCell ref="A109:A111"/>
    <mergeCell ref="B109:B111"/>
    <mergeCell ref="C109:J109"/>
    <mergeCell ref="K109:K111"/>
    <mergeCell ref="C110:C111"/>
    <mergeCell ref="D110:J110"/>
    <mergeCell ref="A103:B103"/>
    <mergeCell ref="E103:H103"/>
    <mergeCell ref="A104:B104"/>
    <mergeCell ref="E104:H104"/>
    <mergeCell ref="A88:C88"/>
    <mergeCell ref="A89:C89"/>
    <mergeCell ref="A90:C90"/>
    <mergeCell ref="A91:C91"/>
    <mergeCell ref="A92:C92"/>
    <mergeCell ref="A101:B101"/>
    <mergeCell ref="E101:H101"/>
    <mergeCell ref="A102:B102"/>
    <mergeCell ref="E102:H102"/>
    <mergeCell ref="A98:B98"/>
    <mergeCell ref="E98:H98"/>
    <mergeCell ref="E94:H95"/>
    <mergeCell ref="A96:B96"/>
    <mergeCell ref="I94:I95"/>
    <mergeCell ref="E96:H96"/>
    <mergeCell ref="A97:B97"/>
    <mergeCell ref="E97:H97"/>
    <mergeCell ref="A85:C85"/>
    <mergeCell ref="A86:C86"/>
    <mergeCell ref="A87:C87"/>
    <mergeCell ref="A94:B95"/>
    <mergeCell ref="C94:C95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3" r:id="rId1"/>
  <headerFooter alignWithMargins="0">
    <oddFooter>&amp;C&amp;"Arial CE,Běžné"&amp;P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T134"/>
  <sheetViews>
    <sheetView view="pageBreakPreview" zoomScale="70" zoomScaleSheetLayoutView="70" zoomScalePageLayoutView="0" workbookViewId="0" topLeftCell="A1">
      <selection activeCell="I98" sqref="I98"/>
    </sheetView>
  </sheetViews>
  <sheetFormatPr defaultColWidth="9.140625" defaultRowHeight="12.75"/>
  <cols>
    <col min="1" max="1" width="27.8515625" style="1" customWidth="1"/>
    <col min="2" max="2" width="16.0039062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20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146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09"/>
      <c r="D7" s="121">
        <v>27120</v>
      </c>
      <c r="E7" s="239">
        <v>28031</v>
      </c>
      <c r="F7" s="154">
        <f>E7-D7</f>
        <v>911</v>
      </c>
      <c r="G7" s="145"/>
      <c r="H7" s="122">
        <v>27587</v>
      </c>
      <c r="I7" s="123"/>
      <c r="J7" s="156">
        <f>H7+I7</f>
        <v>27587</v>
      </c>
      <c r="K7" s="144">
        <f>J7-E7</f>
        <v>-444</v>
      </c>
      <c r="L7" s="150">
        <f>J7/E7</f>
        <v>0.9841603938496665</v>
      </c>
    </row>
    <row r="8" spans="1:12" s="101" customFormat="1" ht="13.5">
      <c r="A8" s="511" t="s">
        <v>25</v>
      </c>
      <c r="B8" s="512"/>
      <c r="C8" s="512"/>
      <c r="D8" s="125">
        <v>0</v>
      </c>
      <c r="E8" s="240">
        <v>0</v>
      </c>
      <c r="F8" s="154">
        <f aca="true" t="shared" si="0" ref="F8:F75">E8-D8</f>
        <v>0</v>
      </c>
      <c r="G8" s="145"/>
      <c r="H8" s="127"/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2"/>
      <c r="D9" s="125">
        <v>27120</v>
      </c>
      <c r="E9" s="240">
        <v>28026</v>
      </c>
      <c r="F9" s="154">
        <f t="shared" si="0"/>
        <v>906</v>
      </c>
      <c r="G9" s="145">
        <f aca="true" t="shared" si="3" ref="G9:G75">E9/D9</f>
        <v>1.0334070796460177</v>
      </c>
      <c r="H9" s="127">
        <v>27582</v>
      </c>
      <c r="I9" s="128"/>
      <c r="J9" s="156">
        <f t="shared" si="1"/>
        <v>27582</v>
      </c>
      <c r="K9" s="144">
        <f t="shared" si="2"/>
        <v>-444</v>
      </c>
      <c r="L9" s="150">
        <f aca="true" t="shared" si="4" ref="L9:L75">J9/E9</f>
        <v>0.9841575679725969</v>
      </c>
    </row>
    <row r="10" spans="1:12" s="101" customFormat="1" ht="13.5">
      <c r="A10" s="514" t="s">
        <v>27</v>
      </c>
      <c r="B10" s="515"/>
      <c r="C10" s="515"/>
      <c r="D10" s="125">
        <v>12150</v>
      </c>
      <c r="E10" s="240">
        <v>12747</v>
      </c>
      <c r="F10" s="154">
        <f t="shared" si="0"/>
        <v>597</v>
      </c>
      <c r="G10" s="145">
        <f t="shared" si="3"/>
        <v>1.0491358024691357</v>
      </c>
      <c r="H10" s="127">
        <v>12700</v>
      </c>
      <c r="I10" s="128"/>
      <c r="J10" s="156">
        <f t="shared" si="1"/>
        <v>12700</v>
      </c>
      <c r="K10" s="144">
        <f t="shared" si="2"/>
        <v>-47</v>
      </c>
      <c r="L10" s="150">
        <f t="shared" si="4"/>
        <v>0.9963128579273555</v>
      </c>
    </row>
    <row r="11" spans="1:12" s="101" customFormat="1" ht="13.5">
      <c r="A11" s="514" t="s">
        <v>28</v>
      </c>
      <c r="B11" s="515"/>
      <c r="C11" s="515"/>
      <c r="D11" s="125">
        <v>12411</v>
      </c>
      <c r="E11" s="240">
        <v>12537</v>
      </c>
      <c r="F11" s="154">
        <f t="shared" si="0"/>
        <v>126</v>
      </c>
      <c r="G11" s="145">
        <f t="shared" si="3"/>
        <v>1.0101522842639594</v>
      </c>
      <c r="H11" s="127">
        <v>12600</v>
      </c>
      <c r="I11" s="128"/>
      <c r="J11" s="156">
        <f t="shared" si="1"/>
        <v>12600</v>
      </c>
      <c r="K11" s="144">
        <f t="shared" si="2"/>
        <v>63</v>
      </c>
      <c r="L11" s="150">
        <f t="shared" si="4"/>
        <v>1.0050251256281406</v>
      </c>
    </row>
    <row r="12" spans="1:12" s="101" customFormat="1" ht="13.5">
      <c r="A12" s="514" t="s">
        <v>29</v>
      </c>
      <c r="B12" s="515"/>
      <c r="C12" s="515"/>
      <c r="D12" s="125">
        <v>2</v>
      </c>
      <c r="E12" s="240">
        <v>2</v>
      </c>
      <c r="F12" s="154">
        <f t="shared" si="0"/>
        <v>0</v>
      </c>
      <c r="G12" s="145">
        <f t="shared" si="3"/>
        <v>1</v>
      </c>
      <c r="H12" s="127">
        <v>2</v>
      </c>
      <c r="I12" s="128"/>
      <c r="J12" s="156">
        <f t="shared" si="1"/>
        <v>2</v>
      </c>
      <c r="K12" s="144">
        <f t="shared" si="2"/>
        <v>0</v>
      </c>
      <c r="L12" s="150">
        <f t="shared" si="4"/>
        <v>1</v>
      </c>
    </row>
    <row r="13" spans="1:12" s="101" customFormat="1" ht="13.5">
      <c r="A13" s="514" t="s">
        <v>30</v>
      </c>
      <c r="B13" s="515"/>
      <c r="C13" s="515"/>
      <c r="D13" s="125">
        <v>2066</v>
      </c>
      <c r="E13" s="240">
        <v>2394</v>
      </c>
      <c r="F13" s="154">
        <f t="shared" si="0"/>
        <v>328</v>
      </c>
      <c r="G13" s="145">
        <f t="shared" si="3"/>
        <v>1.158760890609874</v>
      </c>
      <c r="H13" s="127">
        <v>2000</v>
      </c>
      <c r="I13" s="128"/>
      <c r="J13" s="156">
        <f t="shared" si="1"/>
        <v>2000</v>
      </c>
      <c r="K13" s="144">
        <f t="shared" si="2"/>
        <v>-394</v>
      </c>
      <c r="L13" s="150">
        <f t="shared" si="4"/>
        <v>0.835421888053467</v>
      </c>
    </row>
    <row r="14" spans="1:12" s="101" customFormat="1" ht="13.5">
      <c r="A14" s="514" t="s">
        <v>31</v>
      </c>
      <c r="B14" s="515"/>
      <c r="C14" s="515"/>
      <c r="D14" s="125">
        <v>467</v>
      </c>
      <c r="E14" s="240">
        <v>514</v>
      </c>
      <c r="F14" s="154">
        <f t="shared" si="0"/>
        <v>47</v>
      </c>
      <c r="G14" s="145">
        <f t="shared" si="3"/>
        <v>1.100642398286938</v>
      </c>
      <c r="H14" s="127">
        <v>375</v>
      </c>
      <c r="I14" s="128"/>
      <c r="J14" s="156">
        <f t="shared" si="1"/>
        <v>375</v>
      </c>
      <c r="K14" s="144">
        <f t="shared" si="2"/>
        <v>-139</v>
      </c>
      <c r="L14" s="150">
        <f t="shared" si="4"/>
        <v>0.7295719844357976</v>
      </c>
    </row>
    <row r="15" spans="1:14" s="101" customFormat="1" ht="13.5">
      <c r="A15" s="514" t="s">
        <v>32</v>
      </c>
      <c r="B15" s="515"/>
      <c r="C15" s="515"/>
      <c r="D15" s="125">
        <v>24</v>
      </c>
      <c r="E15" s="240">
        <v>22</v>
      </c>
      <c r="F15" s="154">
        <f t="shared" si="0"/>
        <v>-2</v>
      </c>
      <c r="G15" s="145">
        <f t="shared" si="3"/>
        <v>0.9166666666666666</v>
      </c>
      <c r="H15" s="127">
        <v>5</v>
      </c>
      <c r="I15" s="128">
        <v>50</v>
      </c>
      <c r="J15" s="156">
        <f t="shared" si="1"/>
        <v>55</v>
      </c>
      <c r="K15" s="144">
        <f t="shared" si="2"/>
        <v>33</v>
      </c>
      <c r="L15" s="150">
        <f t="shared" si="4"/>
        <v>2.5</v>
      </c>
      <c r="N15" s="129"/>
    </row>
    <row r="16" spans="1:12" s="101" customFormat="1" ht="13.5">
      <c r="A16" s="511" t="s">
        <v>33</v>
      </c>
      <c r="B16" s="512"/>
      <c r="C16" s="512"/>
      <c r="D16" s="125">
        <v>5</v>
      </c>
      <c r="E16" s="240">
        <v>5</v>
      </c>
      <c r="F16" s="154">
        <f t="shared" si="0"/>
        <v>0</v>
      </c>
      <c r="G16" s="145">
        <f t="shared" si="3"/>
        <v>1</v>
      </c>
      <c r="H16" s="127">
        <v>5</v>
      </c>
      <c r="I16" s="128"/>
      <c r="J16" s="156">
        <f t="shared" si="1"/>
        <v>5</v>
      </c>
      <c r="K16" s="144">
        <f t="shared" si="2"/>
        <v>0</v>
      </c>
      <c r="L16" s="150">
        <f t="shared" si="4"/>
        <v>1</v>
      </c>
    </row>
    <row r="17" spans="1:12" s="101" customFormat="1" ht="13.5">
      <c r="A17" s="511" t="s">
        <v>34</v>
      </c>
      <c r="B17" s="512"/>
      <c r="C17" s="512"/>
      <c r="D17" s="125">
        <v>0</v>
      </c>
      <c r="E17" s="240"/>
      <c r="F17" s="154">
        <f t="shared" si="0"/>
        <v>0</v>
      </c>
      <c r="G17" s="145"/>
      <c r="H17" s="127">
        <v>0</v>
      </c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8"/>
      <c r="D18" s="125">
        <v>1016</v>
      </c>
      <c r="E18" s="240">
        <v>142</v>
      </c>
      <c r="F18" s="154">
        <f t="shared" si="0"/>
        <v>-874</v>
      </c>
      <c r="G18" s="145">
        <f t="shared" si="3"/>
        <v>0.13976377952755906</v>
      </c>
      <c r="H18" s="127">
        <v>1800</v>
      </c>
      <c r="I18" s="128"/>
      <c r="J18" s="156">
        <v>1600</v>
      </c>
      <c r="K18" s="144">
        <f t="shared" si="2"/>
        <v>1458</v>
      </c>
      <c r="L18" s="150">
        <f t="shared" si="4"/>
        <v>11.267605633802816</v>
      </c>
    </row>
    <row r="19" spans="1:12" s="101" customFormat="1" ht="13.5">
      <c r="A19" s="511" t="s">
        <v>36</v>
      </c>
      <c r="B19" s="512"/>
      <c r="C19" s="512"/>
      <c r="D19" s="125"/>
      <c r="E19" s="240"/>
      <c r="F19" s="154">
        <f t="shared" si="0"/>
        <v>0</v>
      </c>
      <c r="G19" s="145"/>
      <c r="H19" s="127"/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2"/>
      <c r="D20" s="125"/>
      <c r="E20" s="241"/>
      <c r="F20" s="154">
        <f t="shared" si="0"/>
        <v>0</v>
      </c>
      <c r="G20" s="145"/>
      <c r="H20" s="122"/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1"/>
      <c r="D21" s="125">
        <v>1016</v>
      </c>
      <c r="E21" s="240">
        <v>142</v>
      </c>
      <c r="F21" s="154">
        <f t="shared" si="0"/>
        <v>-874</v>
      </c>
      <c r="G21" s="145">
        <f t="shared" si="3"/>
        <v>0.13976377952755906</v>
      </c>
      <c r="H21" s="127">
        <v>1628</v>
      </c>
      <c r="I21" s="128"/>
      <c r="J21" s="156">
        <f>H21</f>
        <v>1628</v>
      </c>
      <c r="K21" s="144">
        <f t="shared" si="2"/>
        <v>1486</v>
      </c>
      <c r="L21" s="150">
        <f t="shared" si="4"/>
        <v>11.464788732394366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1"/>
      <c r="D22" s="125"/>
      <c r="E22" s="240">
        <v>6</v>
      </c>
      <c r="F22" s="154">
        <f t="shared" si="0"/>
        <v>6</v>
      </c>
      <c r="G22" s="145"/>
      <c r="H22" s="366">
        <v>1228</v>
      </c>
      <c r="I22" s="372"/>
      <c r="J22" s="156">
        <f>H22</f>
        <v>1228</v>
      </c>
      <c r="K22" s="144">
        <f t="shared" si="2"/>
        <v>1222</v>
      </c>
      <c r="L22" s="150">
        <f t="shared" si="4"/>
        <v>204.66666666666666</v>
      </c>
      <c r="M22" s="371"/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1"/>
      <c r="D23" s="125"/>
      <c r="E23" s="240">
        <v>136</v>
      </c>
      <c r="F23" s="154">
        <f t="shared" si="0"/>
        <v>136</v>
      </c>
      <c r="G23" s="145"/>
      <c r="H23" s="127">
        <v>300</v>
      </c>
      <c r="I23" s="128"/>
      <c r="J23" s="156">
        <f>H23</f>
        <v>300</v>
      </c>
      <c r="K23" s="144">
        <f t="shared" si="2"/>
        <v>164</v>
      </c>
      <c r="L23" s="150">
        <f t="shared" si="4"/>
        <v>2.2058823529411766</v>
      </c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1"/>
      <c r="D24" s="125"/>
      <c r="E24" s="240"/>
      <c r="F24" s="154">
        <f t="shared" si="0"/>
        <v>0</v>
      </c>
      <c r="G24" s="145"/>
      <c r="H24" s="366">
        <v>100</v>
      </c>
      <c r="I24" s="128"/>
      <c r="J24" s="156">
        <f>H24</f>
        <v>100</v>
      </c>
      <c r="K24" s="144">
        <f t="shared" si="2"/>
        <v>100</v>
      </c>
      <c r="L24" s="150"/>
    </row>
    <row r="25" spans="1:12" s="101" customFormat="1" ht="13.5">
      <c r="A25" s="520" t="s">
        <v>163</v>
      </c>
      <c r="B25" s="521"/>
      <c r="C25" s="521"/>
      <c r="D25" s="125"/>
      <c r="E25" s="240"/>
      <c r="F25" s="154">
        <f t="shared" si="0"/>
        <v>0</v>
      </c>
      <c r="G25" s="145"/>
      <c r="H25" s="366"/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8"/>
      <c r="D26" s="125">
        <v>26</v>
      </c>
      <c r="E26" s="240">
        <v>20</v>
      </c>
      <c r="F26" s="154">
        <f t="shared" si="0"/>
        <v>-6</v>
      </c>
      <c r="G26" s="145">
        <f t="shared" si="3"/>
        <v>0.7692307692307693</v>
      </c>
      <c r="H26" s="366">
        <v>20</v>
      </c>
      <c r="I26" s="128"/>
      <c r="J26" s="156">
        <f t="shared" si="1"/>
        <v>20</v>
      </c>
      <c r="K26" s="144">
        <f t="shared" si="2"/>
        <v>0</v>
      </c>
      <c r="L26" s="150">
        <f t="shared" si="4"/>
        <v>1</v>
      </c>
    </row>
    <row r="27" spans="1:12" s="101" customFormat="1" ht="13.5">
      <c r="A27" s="511" t="s">
        <v>40</v>
      </c>
      <c r="B27" s="512"/>
      <c r="C27" s="512"/>
      <c r="D27" s="125">
        <v>26</v>
      </c>
      <c r="E27" s="240">
        <v>20</v>
      </c>
      <c r="F27" s="154">
        <f t="shared" si="0"/>
        <v>-6</v>
      </c>
      <c r="G27" s="145">
        <f t="shared" si="3"/>
        <v>0.7692307692307693</v>
      </c>
      <c r="H27" s="366">
        <v>20</v>
      </c>
      <c r="I27" s="128"/>
      <c r="J27" s="156">
        <f t="shared" si="1"/>
        <v>20</v>
      </c>
      <c r="K27" s="144">
        <f t="shared" si="2"/>
        <v>0</v>
      </c>
      <c r="L27" s="150">
        <f t="shared" si="4"/>
        <v>1</v>
      </c>
    </row>
    <row r="28" spans="1:12" s="101" customFormat="1" ht="13.5">
      <c r="A28" s="511" t="s">
        <v>41</v>
      </c>
      <c r="B28" s="512"/>
      <c r="C28" s="512"/>
      <c r="D28" s="125"/>
      <c r="E28" s="240"/>
      <c r="F28" s="154">
        <f t="shared" si="0"/>
        <v>0</v>
      </c>
      <c r="G28" s="145"/>
      <c r="H28" s="366"/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8"/>
      <c r="D29" s="125">
        <v>10538</v>
      </c>
      <c r="E29" s="241">
        <v>9741</v>
      </c>
      <c r="F29" s="154">
        <f t="shared" si="0"/>
        <v>-797</v>
      </c>
      <c r="G29" s="145">
        <f t="shared" si="3"/>
        <v>0.9243689504649839</v>
      </c>
      <c r="H29" s="367">
        <v>9272</v>
      </c>
      <c r="I29" s="123"/>
      <c r="J29" s="156">
        <f t="shared" si="1"/>
        <v>9272</v>
      </c>
      <c r="K29" s="144">
        <f t="shared" si="2"/>
        <v>-469</v>
      </c>
      <c r="L29" s="150">
        <f t="shared" si="4"/>
        <v>0.9518529925059029</v>
      </c>
    </row>
    <row r="30" spans="1:14" s="101" customFormat="1" ht="13.5">
      <c r="A30" s="514" t="s">
        <v>164</v>
      </c>
      <c r="B30" s="515"/>
      <c r="C30" s="515"/>
      <c r="D30" s="131">
        <v>1960</v>
      </c>
      <c r="E30" s="242">
        <v>1927</v>
      </c>
      <c r="F30" s="155">
        <f t="shared" si="0"/>
        <v>-33</v>
      </c>
      <c r="G30" s="147">
        <f t="shared" si="3"/>
        <v>0.9831632653061224</v>
      </c>
      <c r="H30" s="363">
        <v>1925</v>
      </c>
      <c r="I30" s="133"/>
      <c r="J30" s="157">
        <f t="shared" si="1"/>
        <v>1925</v>
      </c>
      <c r="K30" s="146">
        <f t="shared" si="2"/>
        <v>-2</v>
      </c>
      <c r="L30" s="151">
        <f t="shared" si="4"/>
        <v>0.9989621172807472</v>
      </c>
      <c r="N30" s="129"/>
    </row>
    <row r="31" spans="1:12" s="101" customFormat="1" ht="13.5">
      <c r="A31" s="514" t="s">
        <v>43</v>
      </c>
      <c r="B31" s="515"/>
      <c r="C31" s="515"/>
      <c r="D31" s="125">
        <v>8536</v>
      </c>
      <c r="E31" s="240">
        <v>7800</v>
      </c>
      <c r="F31" s="154">
        <f t="shared" si="0"/>
        <v>-736</v>
      </c>
      <c r="G31" s="145">
        <f t="shared" si="3"/>
        <v>0.9137769447047798</v>
      </c>
      <c r="H31" s="127">
        <v>7319</v>
      </c>
      <c r="I31" s="128"/>
      <c r="J31" s="156">
        <f t="shared" si="1"/>
        <v>7319</v>
      </c>
      <c r="K31" s="144">
        <f t="shared" si="2"/>
        <v>-481</v>
      </c>
      <c r="L31" s="150">
        <f t="shared" si="4"/>
        <v>0.9383333333333334</v>
      </c>
    </row>
    <row r="32" spans="1:12" s="101" customFormat="1" ht="13.5">
      <c r="A32" s="511" t="s">
        <v>44</v>
      </c>
      <c r="B32" s="512"/>
      <c r="C32" s="512"/>
      <c r="D32" s="138">
        <v>42</v>
      </c>
      <c r="E32" s="241">
        <v>14</v>
      </c>
      <c r="F32" s="154">
        <f t="shared" si="0"/>
        <v>-28</v>
      </c>
      <c r="G32" s="145">
        <f t="shared" si="3"/>
        <v>0.3333333333333333</v>
      </c>
      <c r="H32" s="122">
        <v>28</v>
      </c>
      <c r="I32" s="123"/>
      <c r="J32" s="156">
        <f t="shared" si="1"/>
        <v>28</v>
      </c>
      <c r="K32" s="144">
        <f t="shared" si="2"/>
        <v>14</v>
      </c>
      <c r="L32" s="150">
        <f t="shared" si="4"/>
        <v>2</v>
      </c>
    </row>
    <row r="33" spans="1:14" s="101" customFormat="1" ht="14.25" thickBot="1">
      <c r="A33" s="514" t="s">
        <v>45</v>
      </c>
      <c r="B33" s="515"/>
      <c r="C33" s="515"/>
      <c r="D33" s="153"/>
      <c r="E33" s="243"/>
      <c r="F33" s="154">
        <f t="shared" si="0"/>
        <v>0</v>
      </c>
      <c r="G33" s="145"/>
      <c r="H33" s="158"/>
      <c r="I33" s="159"/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523" t="s">
        <v>46</v>
      </c>
      <c r="B34" s="524"/>
      <c r="C34" s="524"/>
      <c r="D34" s="171">
        <v>38705</v>
      </c>
      <c r="E34" s="244">
        <v>38123</v>
      </c>
      <c r="F34" s="173">
        <f t="shared" si="0"/>
        <v>-582</v>
      </c>
      <c r="G34" s="174">
        <f t="shared" si="3"/>
        <v>0.9849631830512854</v>
      </c>
      <c r="H34" s="172">
        <v>38607</v>
      </c>
      <c r="I34" s="172">
        <v>50</v>
      </c>
      <c r="J34" s="175">
        <f>H34+I34</f>
        <v>38657</v>
      </c>
      <c r="K34" s="173">
        <f t="shared" si="2"/>
        <v>534</v>
      </c>
      <c r="L34" s="176">
        <f t="shared" si="4"/>
        <v>1.0140072921858196</v>
      </c>
    </row>
    <row r="35" spans="1:12" s="101" customFormat="1" ht="13.5">
      <c r="A35" s="526" t="s">
        <v>47</v>
      </c>
      <c r="B35" s="527"/>
      <c r="C35" s="527"/>
      <c r="D35" s="135">
        <v>5066</v>
      </c>
      <c r="E35" s="136">
        <v>4736</v>
      </c>
      <c r="F35" s="148">
        <f t="shared" si="0"/>
        <v>-330</v>
      </c>
      <c r="G35" s="149">
        <f t="shared" si="3"/>
        <v>0.9348598499802606</v>
      </c>
      <c r="H35" s="137">
        <v>5335</v>
      </c>
      <c r="I35" s="137"/>
      <c r="J35" s="134">
        <f t="shared" si="1"/>
        <v>5335</v>
      </c>
      <c r="K35" s="148">
        <f t="shared" si="2"/>
        <v>599</v>
      </c>
      <c r="L35" s="152">
        <f t="shared" si="4"/>
        <v>1.1264780405405406</v>
      </c>
    </row>
    <row r="36" spans="1:12" s="101" customFormat="1" ht="13.5">
      <c r="A36" s="514" t="s">
        <v>48</v>
      </c>
      <c r="B36" s="515"/>
      <c r="C36" s="515"/>
      <c r="D36" s="125">
        <v>3330</v>
      </c>
      <c r="E36" s="126">
        <v>3516</v>
      </c>
      <c r="F36" s="144">
        <f t="shared" si="0"/>
        <v>186</v>
      </c>
      <c r="G36" s="145">
        <f t="shared" si="3"/>
        <v>1.055855855855856</v>
      </c>
      <c r="H36" s="127">
        <v>3800</v>
      </c>
      <c r="I36" s="128"/>
      <c r="J36" s="124"/>
      <c r="K36" s="144">
        <f t="shared" si="2"/>
        <v>-3516</v>
      </c>
      <c r="L36" s="150">
        <f t="shared" si="4"/>
        <v>0</v>
      </c>
    </row>
    <row r="37" spans="1:12" s="101" customFormat="1" ht="13.5">
      <c r="A37" s="514" t="s">
        <v>49</v>
      </c>
      <c r="B37" s="515"/>
      <c r="C37" s="515"/>
      <c r="D37" s="125">
        <v>142</v>
      </c>
      <c r="E37" s="126">
        <v>117</v>
      </c>
      <c r="F37" s="144">
        <f t="shared" si="0"/>
        <v>-25</v>
      </c>
      <c r="G37" s="145">
        <f t="shared" si="3"/>
        <v>0.823943661971831</v>
      </c>
      <c r="H37" s="127">
        <v>120</v>
      </c>
      <c r="I37" s="128"/>
      <c r="J37" s="124">
        <f t="shared" si="1"/>
        <v>120</v>
      </c>
      <c r="K37" s="144">
        <f t="shared" si="2"/>
        <v>3</v>
      </c>
      <c r="L37" s="150">
        <f t="shared" si="4"/>
        <v>1.0256410256410255</v>
      </c>
    </row>
    <row r="38" spans="1:12" s="101" customFormat="1" ht="13.5">
      <c r="A38" s="514" t="s">
        <v>50</v>
      </c>
      <c r="B38" s="515"/>
      <c r="C38" s="515"/>
      <c r="D38" s="138"/>
      <c r="E38" s="130">
        <v>115</v>
      </c>
      <c r="F38" s="144">
        <f t="shared" si="0"/>
        <v>115</v>
      </c>
      <c r="G38" s="145"/>
      <c r="H38" s="122">
        <v>120</v>
      </c>
      <c r="I38" s="123"/>
      <c r="J38" s="124">
        <f t="shared" si="1"/>
        <v>120</v>
      </c>
      <c r="K38" s="144">
        <f t="shared" si="2"/>
        <v>5</v>
      </c>
      <c r="L38" s="150">
        <f t="shared" si="4"/>
        <v>1.0434782608695652</v>
      </c>
    </row>
    <row r="39" spans="1:12" s="101" customFormat="1" ht="13.5">
      <c r="A39" s="514" t="s">
        <v>51</v>
      </c>
      <c r="B39" s="515"/>
      <c r="C39" s="515"/>
      <c r="D39" s="125"/>
      <c r="E39" s="126">
        <v>13</v>
      </c>
      <c r="F39" s="144">
        <f t="shared" si="0"/>
        <v>13</v>
      </c>
      <c r="G39" s="145"/>
      <c r="H39" s="127">
        <v>15</v>
      </c>
      <c r="I39" s="128"/>
      <c r="J39" s="124">
        <f t="shared" si="1"/>
        <v>15</v>
      </c>
      <c r="K39" s="144">
        <f t="shared" si="2"/>
        <v>2</v>
      </c>
      <c r="L39" s="150">
        <f t="shared" si="4"/>
        <v>1.1538461538461537</v>
      </c>
    </row>
    <row r="40" spans="1:12" s="101" customFormat="1" ht="13.5">
      <c r="A40" s="514" t="s">
        <v>52</v>
      </c>
      <c r="B40" s="515"/>
      <c r="C40" s="515"/>
      <c r="D40" s="125"/>
      <c r="E40" s="126">
        <v>30</v>
      </c>
      <c r="F40" s="144">
        <f t="shared" si="0"/>
        <v>30</v>
      </c>
      <c r="G40" s="145"/>
      <c r="H40" s="127">
        <v>30</v>
      </c>
      <c r="I40" s="128"/>
      <c r="J40" s="124">
        <f t="shared" si="1"/>
        <v>30</v>
      </c>
      <c r="K40" s="144">
        <f t="shared" si="2"/>
        <v>0</v>
      </c>
      <c r="L40" s="150">
        <f t="shared" si="4"/>
        <v>1</v>
      </c>
    </row>
    <row r="41" spans="1:14" s="101" customFormat="1" ht="13.5">
      <c r="A41" s="514" t="s">
        <v>53</v>
      </c>
      <c r="B41" s="515"/>
      <c r="C41" s="515"/>
      <c r="D41" s="125"/>
      <c r="E41" s="126">
        <v>37</v>
      </c>
      <c r="F41" s="144">
        <f t="shared" si="0"/>
        <v>37</v>
      </c>
      <c r="G41" s="145"/>
      <c r="H41" s="127">
        <v>40</v>
      </c>
      <c r="I41" s="128"/>
      <c r="J41" s="124">
        <f t="shared" si="1"/>
        <v>40</v>
      </c>
      <c r="K41" s="144">
        <f t="shared" si="2"/>
        <v>3</v>
      </c>
      <c r="L41" s="150">
        <f t="shared" si="4"/>
        <v>1.0810810810810811</v>
      </c>
      <c r="N41" s="129"/>
    </row>
    <row r="42" spans="1:12" s="101" customFormat="1" ht="13.5">
      <c r="A42" s="514" t="s">
        <v>54</v>
      </c>
      <c r="B42" s="515"/>
      <c r="C42" s="515"/>
      <c r="D42" s="125"/>
      <c r="E42" s="126">
        <v>527</v>
      </c>
      <c r="F42" s="144">
        <f t="shared" si="0"/>
        <v>527</v>
      </c>
      <c r="G42" s="145"/>
      <c r="H42" s="127">
        <v>530</v>
      </c>
      <c r="I42" s="128"/>
      <c r="J42" s="124">
        <f t="shared" si="1"/>
        <v>530</v>
      </c>
      <c r="K42" s="144">
        <f t="shared" si="2"/>
        <v>3</v>
      </c>
      <c r="L42" s="150">
        <f t="shared" si="4"/>
        <v>1.0056925996204933</v>
      </c>
    </row>
    <row r="43" spans="1:14" s="101" customFormat="1" ht="13.5">
      <c r="A43" s="514" t="s">
        <v>166</v>
      </c>
      <c r="B43" s="515"/>
      <c r="C43" s="515"/>
      <c r="D43" s="125"/>
      <c r="E43" s="126"/>
      <c r="F43" s="144">
        <f t="shared" si="0"/>
        <v>0</v>
      </c>
      <c r="G43" s="145"/>
      <c r="H43" s="127"/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5"/>
      <c r="D44" s="125"/>
      <c r="E44" s="126"/>
      <c r="F44" s="144">
        <f t="shared" si="0"/>
        <v>0</v>
      </c>
      <c r="G44" s="145"/>
      <c r="H44" s="127">
        <v>200</v>
      </c>
      <c r="I44" s="128"/>
      <c r="J44" s="124">
        <f t="shared" si="1"/>
        <v>200</v>
      </c>
      <c r="K44" s="144">
        <f t="shared" si="2"/>
        <v>200</v>
      </c>
      <c r="L44" s="150"/>
    </row>
    <row r="45" spans="1:12" s="101" customFormat="1" ht="13.5">
      <c r="A45" s="514" t="s">
        <v>55</v>
      </c>
      <c r="B45" s="515"/>
      <c r="C45" s="515"/>
      <c r="D45" s="125">
        <v>1736</v>
      </c>
      <c r="E45" s="126">
        <v>483</v>
      </c>
      <c r="F45" s="144">
        <f t="shared" si="0"/>
        <v>-1253</v>
      </c>
      <c r="G45" s="145">
        <f t="shared" si="3"/>
        <v>0.2782258064516129</v>
      </c>
      <c r="H45" s="127">
        <v>480</v>
      </c>
      <c r="I45" s="128"/>
      <c r="J45" s="124">
        <f t="shared" si="1"/>
        <v>480</v>
      </c>
      <c r="K45" s="144">
        <f t="shared" si="2"/>
        <v>-3</v>
      </c>
      <c r="L45" s="150">
        <f t="shared" si="4"/>
        <v>0.9937888198757764</v>
      </c>
    </row>
    <row r="46" spans="1:14" s="101" customFormat="1" ht="13.5">
      <c r="A46" s="526" t="s">
        <v>56</v>
      </c>
      <c r="B46" s="527"/>
      <c r="C46" s="527"/>
      <c r="D46" s="125">
        <v>3096</v>
      </c>
      <c r="E46" s="126">
        <v>3238</v>
      </c>
      <c r="F46" s="144">
        <f t="shared" si="0"/>
        <v>142</v>
      </c>
      <c r="G46" s="145">
        <f t="shared" si="3"/>
        <v>1.0458656330749354</v>
      </c>
      <c r="H46" s="127">
        <v>3250</v>
      </c>
      <c r="I46" s="127"/>
      <c r="J46" s="124">
        <f t="shared" si="1"/>
        <v>3250</v>
      </c>
      <c r="K46" s="144">
        <f t="shared" si="2"/>
        <v>12</v>
      </c>
      <c r="L46" s="150">
        <f t="shared" si="4"/>
        <v>1.003705991352687</v>
      </c>
      <c r="N46" s="129"/>
    </row>
    <row r="47" spans="1:12" s="101" customFormat="1" ht="13.5">
      <c r="A47" s="514" t="s">
        <v>57</v>
      </c>
      <c r="B47" s="515"/>
      <c r="C47" s="515"/>
      <c r="D47" s="125">
        <v>3032</v>
      </c>
      <c r="E47" s="126">
        <v>3156</v>
      </c>
      <c r="F47" s="144">
        <f t="shared" si="0"/>
        <v>124</v>
      </c>
      <c r="G47" s="145">
        <f t="shared" si="3"/>
        <v>1.0408970976253298</v>
      </c>
      <c r="H47" s="127">
        <v>3150</v>
      </c>
      <c r="I47" s="128"/>
      <c r="J47" s="124">
        <f t="shared" si="1"/>
        <v>3150</v>
      </c>
      <c r="K47" s="144">
        <f t="shared" si="2"/>
        <v>-6</v>
      </c>
      <c r="L47" s="150">
        <f t="shared" si="4"/>
        <v>0.9980988593155894</v>
      </c>
    </row>
    <row r="48" spans="1:12" s="101" customFormat="1" ht="13.5">
      <c r="A48" s="514" t="s">
        <v>58</v>
      </c>
      <c r="B48" s="515"/>
      <c r="C48" s="515"/>
      <c r="D48" s="125">
        <v>4</v>
      </c>
      <c r="E48" s="126">
        <v>13</v>
      </c>
      <c r="F48" s="144">
        <f t="shared" si="0"/>
        <v>9</v>
      </c>
      <c r="G48" s="145">
        <f t="shared" si="3"/>
        <v>3.25</v>
      </c>
      <c r="H48" s="127">
        <v>15</v>
      </c>
      <c r="I48" s="128"/>
      <c r="J48" s="124">
        <f t="shared" si="1"/>
        <v>15</v>
      </c>
      <c r="K48" s="144">
        <f t="shared" si="2"/>
        <v>2</v>
      </c>
      <c r="L48" s="150">
        <f t="shared" si="4"/>
        <v>1.1538461538461537</v>
      </c>
    </row>
    <row r="49" spans="1:12" s="101" customFormat="1" ht="13.5">
      <c r="A49" s="514" t="s">
        <v>59</v>
      </c>
      <c r="B49" s="515"/>
      <c r="C49" s="515"/>
      <c r="D49" s="125">
        <v>60</v>
      </c>
      <c r="E49" s="126">
        <v>85</v>
      </c>
      <c r="F49" s="144">
        <f t="shared" si="0"/>
        <v>25</v>
      </c>
      <c r="G49" s="145">
        <f t="shared" si="3"/>
        <v>1.4166666666666667</v>
      </c>
      <c r="H49" s="127">
        <v>85</v>
      </c>
      <c r="I49" s="128"/>
      <c r="J49" s="124">
        <f t="shared" si="1"/>
        <v>85</v>
      </c>
      <c r="K49" s="144">
        <f t="shared" si="2"/>
        <v>0</v>
      </c>
      <c r="L49" s="150">
        <f t="shared" si="4"/>
        <v>1</v>
      </c>
    </row>
    <row r="50" spans="1:12" s="101" customFormat="1" ht="13.5">
      <c r="A50" s="514" t="s">
        <v>168</v>
      </c>
      <c r="B50" s="515"/>
      <c r="C50" s="515"/>
      <c r="D50" s="125"/>
      <c r="E50" s="126"/>
      <c r="F50" s="144">
        <f t="shared" si="0"/>
        <v>0</v>
      </c>
      <c r="G50" s="145"/>
      <c r="H50" s="127"/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7"/>
      <c r="D51" s="125"/>
      <c r="E51" s="126"/>
      <c r="F51" s="144">
        <f t="shared" si="0"/>
        <v>0</v>
      </c>
      <c r="G51" s="145"/>
      <c r="H51" s="127"/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7"/>
      <c r="D52" s="125"/>
      <c r="E52" s="126"/>
      <c r="F52" s="144">
        <f t="shared" si="0"/>
        <v>0</v>
      </c>
      <c r="G52" s="145"/>
      <c r="H52" s="127"/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7"/>
      <c r="D53" s="125">
        <v>2751</v>
      </c>
      <c r="E53" s="126">
        <v>1670</v>
      </c>
      <c r="F53" s="144">
        <f t="shared" si="0"/>
        <v>-1081</v>
      </c>
      <c r="G53" s="145">
        <f t="shared" si="3"/>
        <v>0.6070519810977826</v>
      </c>
      <c r="H53" s="127">
        <v>1584</v>
      </c>
      <c r="I53" s="128"/>
      <c r="J53" s="124">
        <f t="shared" si="1"/>
        <v>1584</v>
      </c>
      <c r="K53" s="144">
        <f t="shared" si="2"/>
        <v>-86</v>
      </c>
      <c r="L53" s="150">
        <f t="shared" si="4"/>
        <v>0.948502994011976</v>
      </c>
    </row>
    <row r="54" spans="1:12" s="101" customFormat="1" ht="13.5">
      <c r="A54" s="529" t="s">
        <v>63</v>
      </c>
      <c r="B54" s="530"/>
      <c r="C54" s="530"/>
      <c r="D54" s="125">
        <v>2324</v>
      </c>
      <c r="E54" s="126">
        <v>1576</v>
      </c>
      <c r="F54" s="144">
        <f t="shared" si="0"/>
        <v>-748</v>
      </c>
      <c r="G54" s="145">
        <f t="shared" si="3"/>
        <v>0.6781411359724613</v>
      </c>
      <c r="H54" s="127">
        <v>1384</v>
      </c>
      <c r="I54" s="128"/>
      <c r="J54" s="124">
        <f t="shared" si="1"/>
        <v>1384</v>
      </c>
      <c r="K54" s="144">
        <f t="shared" si="2"/>
        <v>-192</v>
      </c>
      <c r="L54" s="150">
        <f t="shared" si="4"/>
        <v>0.8781725888324873</v>
      </c>
    </row>
    <row r="55" spans="1:12" s="101" customFormat="1" ht="13.5">
      <c r="A55" s="529" t="s">
        <v>169</v>
      </c>
      <c r="B55" s="530"/>
      <c r="C55" s="530"/>
      <c r="D55" s="125">
        <v>390</v>
      </c>
      <c r="E55" s="126">
        <v>72</v>
      </c>
      <c r="F55" s="144">
        <f t="shared" si="0"/>
        <v>-318</v>
      </c>
      <c r="G55" s="145">
        <f t="shared" si="3"/>
        <v>0.18461538461538463</v>
      </c>
      <c r="H55" s="127">
        <v>130</v>
      </c>
      <c r="I55" s="128"/>
      <c r="J55" s="124">
        <f t="shared" si="1"/>
        <v>130</v>
      </c>
      <c r="K55" s="144">
        <f t="shared" si="2"/>
        <v>58</v>
      </c>
      <c r="L55" s="150">
        <f t="shared" si="4"/>
        <v>1.8055555555555556</v>
      </c>
    </row>
    <row r="56" spans="1:12" s="101" customFormat="1" ht="13.5">
      <c r="A56" s="529" t="s">
        <v>133</v>
      </c>
      <c r="B56" s="530"/>
      <c r="C56" s="530"/>
      <c r="D56" s="125">
        <v>37</v>
      </c>
      <c r="E56" s="126">
        <v>24</v>
      </c>
      <c r="F56" s="144">
        <f t="shared" si="0"/>
        <v>-13</v>
      </c>
      <c r="G56" s="145">
        <f t="shared" si="3"/>
        <v>0.6486486486486487</v>
      </c>
      <c r="H56" s="127">
        <v>70</v>
      </c>
      <c r="I56" s="128"/>
      <c r="J56" s="124">
        <f t="shared" si="1"/>
        <v>70</v>
      </c>
      <c r="K56" s="144">
        <f t="shared" si="2"/>
        <v>46</v>
      </c>
      <c r="L56" s="150">
        <f t="shared" si="4"/>
        <v>2.9166666666666665</v>
      </c>
    </row>
    <row r="57" spans="1:12" s="101" customFormat="1" ht="13.5">
      <c r="A57" s="526" t="s">
        <v>64</v>
      </c>
      <c r="B57" s="527"/>
      <c r="C57" s="527"/>
      <c r="D57" s="125">
        <v>66</v>
      </c>
      <c r="E57" s="126">
        <v>62</v>
      </c>
      <c r="F57" s="144">
        <f t="shared" si="0"/>
        <v>-4</v>
      </c>
      <c r="G57" s="145">
        <f t="shared" si="3"/>
        <v>0.9393939393939394</v>
      </c>
      <c r="H57" s="127">
        <v>100</v>
      </c>
      <c r="I57" s="128"/>
      <c r="J57" s="124">
        <f t="shared" si="1"/>
        <v>100</v>
      </c>
      <c r="K57" s="144">
        <f t="shared" si="2"/>
        <v>38</v>
      </c>
      <c r="L57" s="150">
        <f t="shared" si="4"/>
        <v>1.6129032258064515</v>
      </c>
    </row>
    <row r="58" spans="1:12" s="101" customFormat="1" ht="13.5">
      <c r="A58" s="526" t="s">
        <v>65</v>
      </c>
      <c r="B58" s="527"/>
      <c r="C58" s="527"/>
      <c r="D58" s="125">
        <v>6</v>
      </c>
      <c r="E58" s="126">
        <v>8</v>
      </c>
      <c r="F58" s="144">
        <f t="shared" si="0"/>
        <v>2</v>
      </c>
      <c r="G58" s="145">
        <f t="shared" si="3"/>
        <v>1.3333333333333333</v>
      </c>
      <c r="H58" s="127">
        <v>8</v>
      </c>
      <c r="I58" s="128"/>
      <c r="J58" s="124">
        <f t="shared" si="1"/>
        <v>8</v>
      </c>
      <c r="K58" s="144">
        <f t="shared" si="2"/>
        <v>0</v>
      </c>
      <c r="L58" s="150">
        <f t="shared" si="4"/>
        <v>1</v>
      </c>
    </row>
    <row r="59" spans="1:14" s="101" customFormat="1" ht="13.5">
      <c r="A59" s="526" t="s">
        <v>66</v>
      </c>
      <c r="B59" s="527"/>
      <c r="C59" s="527"/>
      <c r="D59" s="125">
        <v>1057</v>
      </c>
      <c r="E59" s="126">
        <v>1243</v>
      </c>
      <c r="F59" s="144">
        <f t="shared" si="0"/>
        <v>186</v>
      </c>
      <c r="G59" s="145">
        <f t="shared" si="3"/>
        <v>1.1759697256386</v>
      </c>
      <c r="H59" s="127">
        <v>1250</v>
      </c>
      <c r="I59" s="128"/>
      <c r="J59" s="124">
        <f t="shared" si="1"/>
        <v>1250</v>
      </c>
      <c r="K59" s="144">
        <f t="shared" si="2"/>
        <v>7</v>
      </c>
      <c r="L59" s="150">
        <f t="shared" si="4"/>
        <v>1.005631536604988</v>
      </c>
      <c r="N59" s="129"/>
    </row>
    <row r="60" spans="1:12" s="101" customFormat="1" ht="13.5">
      <c r="A60" s="514" t="s">
        <v>67</v>
      </c>
      <c r="B60" s="515"/>
      <c r="C60" s="515"/>
      <c r="D60" s="125">
        <v>88</v>
      </c>
      <c r="E60" s="126">
        <v>74</v>
      </c>
      <c r="F60" s="144">
        <f t="shared" si="0"/>
        <v>-14</v>
      </c>
      <c r="G60" s="145">
        <f t="shared" si="3"/>
        <v>0.8409090909090909</v>
      </c>
      <c r="H60" s="127">
        <v>75</v>
      </c>
      <c r="I60" s="128"/>
      <c r="J60" s="124">
        <f t="shared" si="1"/>
        <v>75</v>
      </c>
      <c r="K60" s="144">
        <f t="shared" si="2"/>
        <v>1</v>
      </c>
      <c r="L60" s="150">
        <f t="shared" si="4"/>
        <v>1.0135135135135136</v>
      </c>
    </row>
    <row r="61" spans="1:12" s="101" customFormat="1" ht="13.5">
      <c r="A61" s="514" t="s">
        <v>68</v>
      </c>
      <c r="B61" s="515"/>
      <c r="C61" s="515"/>
      <c r="D61" s="125"/>
      <c r="E61" s="126">
        <v>7</v>
      </c>
      <c r="F61" s="144">
        <f t="shared" si="0"/>
        <v>7</v>
      </c>
      <c r="G61" s="145"/>
      <c r="H61" s="127">
        <v>0</v>
      </c>
      <c r="I61" s="128"/>
      <c r="J61" s="124">
        <f t="shared" si="1"/>
        <v>0</v>
      </c>
      <c r="K61" s="144">
        <f t="shared" si="2"/>
        <v>-7</v>
      </c>
      <c r="L61" s="150">
        <f t="shared" si="4"/>
        <v>0</v>
      </c>
    </row>
    <row r="62" spans="1:12" s="101" customFormat="1" ht="13.5">
      <c r="A62" s="514" t="s">
        <v>69</v>
      </c>
      <c r="B62" s="515"/>
      <c r="C62" s="515"/>
      <c r="D62" s="125"/>
      <c r="E62" s="126"/>
      <c r="F62" s="144">
        <f t="shared" si="0"/>
        <v>0</v>
      </c>
      <c r="G62" s="145"/>
      <c r="H62" s="127"/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5"/>
      <c r="D63" s="125"/>
      <c r="E63" s="126"/>
      <c r="F63" s="144">
        <f t="shared" si="0"/>
        <v>0</v>
      </c>
      <c r="G63" s="145"/>
      <c r="H63" s="127"/>
      <c r="I63" s="128"/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514" t="s">
        <v>71</v>
      </c>
      <c r="B64" s="515"/>
      <c r="C64" s="515"/>
      <c r="D64" s="125"/>
      <c r="E64" s="126"/>
      <c r="F64" s="144">
        <f t="shared" si="0"/>
        <v>0</v>
      </c>
      <c r="G64" s="145"/>
      <c r="H64" s="127"/>
      <c r="I64" s="128"/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5"/>
      <c r="D65" s="125"/>
      <c r="E65" s="126">
        <v>527</v>
      </c>
      <c r="F65" s="144">
        <f t="shared" si="0"/>
        <v>527</v>
      </c>
      <c r="G65" s="145"/>
      <c r="H65" s="127">
        <v>550</v>
      </c>
      <c r="I65" s="128"/>
      <c r="J65" s="124">
        <f t="shared" si="1"/>
        <v>550</v>
      </c>
      <c r="K65" s="144">
        <f t="shared" si="2"/>
        <v>23</v>
      </c>
      <c r="L65" s="150">
        <f t="shared" si="4"/>
        <v>1.0436432637571158</v>
      </c>
    </row>
    <row r="66" spans="1:12" s="101" customFormat="1" ht="13.5">
      <c r="A66" s="514" t="s">
        <v>72</v>
      </c>
      <c r="B66" s="515"/>
      <c r="C66" s="515"/>
      <c r="D66" s="125"/>
      <c r="E66" s="126">
        <v>194</v>
      </c>
      <c r="F66" s="144">
        <f t="shared" si="0"/>
        <v>194</v>
      </c>
      <c r="G66" s="145"/>
      <c r="H66" s="127">
        <v>195</v>
      </c>
      <c r="I66" s="128"/>
      <c r="J66" s="124">
        <f t="shared" si="1"/>
        <v>195</v>
      </c>
      <c r="K66" s="144">
        <f t="shared" si="2"/>
        <v>1</v>
      </c>
      <c r="L66" s="150">
        <f t="shared" si="4"/>
        <v>1.0051546391752577</v>
      </c>
    </row>
    <row r="67" spans="1:12" s="101" customFormat="1" ht="13.5">
      <c r="A67" s="514" t="s">
        <v>73</v>
      </c>
      <c r="B67" s="515"/>
      <c r="C67" s="515"/>
      <c r="D67" s="125">
        <v>959</v>
      </c>
      <c r="E67" s="126">
        <v>441</v>
      </c>
      <c r="F67" s="144">
        <f t="shared" si="0"/>
        <v>-518</v>
      </c>
      <c r="G67" s="145">
        <f>E67/D67</f>
        <v>0.45985401459854014</v>
      </c>
      <c r="H67" s="127">
        <v>420</v>
      </c>
      <c r="I67" s="128"/>
      <c r="J67" s="124">
        <f t="shared" si="1"/>
        <v>420</v>
      </c>
      <c r="K67" s="144">
        <f t="shared" si="2"/>
        <v>-21</v>
      </c>
      <c r="L67" s="150">
        <f t="shared" si="4"/>
        <v>0.9523809523809523</v>
      </c>
    </row>
    <row r="68" spans="1:12" s="101" customFormat="1" ht="13.5">
      <c r="A68" s="514" t="s">
        <v>171</v>
      </c>
      <c r="B68" s="515"/>
      <c r="C68" s="515"/>
      <c r="D68" s="125"/>
      <c r="E68" s="126"/>
      <c r="F68" s="144">
        <f t="shared" si="0"/>
        <v>0</v>
      </c>
      <c r="G68" s="145"/>
      <c r="H68" s="127">
        <v>10</v>
      </c>
      <c r="I68" s="128"/>
      <c r="J68" s="124">
        <f t="shared" si="1"/>
        <v>10</v>
      </c>
      <c r="K68" s="144">
        <f t="shared" si="2"/>
        <v>10</v>
      </c>
      <c r="L68" s="150"/>
    </row>
    <row r="69" spans="1:14" s="101" customFormat="1" ht="13.5">
      <c r="A69" s="526" t="s">
        <v>74</v>
      </c>
      <c r="B69" s="527"/>
      <c r="C69" s="527"/>
      <c r="D69" s="125">
        <v>25303</v>
      </c>
      <c r="E69" s="126">
        <v>25271</v>
      </c>
      <c r="F69" s="144">
        <f t="shared" si="0"/>
        <v>-32</v>
      </c>
      <c r="G69" s="145">
        <f t="shared" si="3"/>
        <v>0.9987353278267399</v>
      </c>
      <c r="H69" s="127">
        <v>25378</v>
      </c>
      <c r="I69" s="128"/>
      <c r="J69" s="124">
        <f t="shared" si="1"/>
        <v>25378</v>
      </c>
      <c r="K69" s="144">
        <f t="shared" si="2"/>
        <v>107</v>
      </c>
      <c r="L69" s="150">
        <f t="shared" si="4"/>
        <v>1.0042341023307348</v>
      </c>
      <c r="N69" s="129"/>
    </row>
    <row r="70" spans="1:12" s="101" customFormat="1" ht="13.5">
      <c r="A70" s="514" t="s">
        <v>75</v>
      </c>
      <c r="B70" s="515"/>
      <c r="C70" s="515"/>
      <c r="D70" s="125">
        <v>18504</v>
      </c>
      <c r="E70" s="126">
        <v>18612</v>
      </c>
      <c r="F70" s="144">
        <f t="shared" si="0"/>
        <v>108</v>
      </c>
      <c r="G70" s="145">
        <f t="shared" si="3"/>
        <v>1.0058365758754864</v>
      </c>
      <c r="H70" s="127">
        <v>18728</v>
      </c>
      <c r="I70" s="128"/>
      <c r="J70" s="124">
        <f t="shared" si="1"/>
        <v>18728</v>
      </c>
      <c r="K70" s="144">
        <f t="shared" si="2"/>
        <v>116</v>
      </c>
      <c r="L70" s="150">
        <f t="shared" si="4"/>
        <v>1.0062325381474317</v>
      </c>
    </row>
    <row r="71" spans="1:12" s="101" customFormat="1" ht="13.5">
      <c r="A71" s="514" t="s">
        <v>76</v>
      </c>
      <c r="B71" s="515"/>
      <c r="C71" s="515"/>
      <c r="D71" s="125">
        <v>18458</v>
      </c>
      <c r="E71" s="126">
        <v>18579</v>
      </c>
      <c r="F71" s="144">
        <f t="shared" si="0"/>
        <v>121</v>
      </c>
      <c r="G71" s="145">
        <f t="shared" si="3"/>
        <v>1.0065554231227651</v>
      </c>
      <c r="H71" s="127">
        <v>18600</v>
      </c>
      <c r="I71" s="128"/>
      <c r="J71" s="124">
        <f t="shared" si="1"/>
        <v>18600</v>
      </c>
      <c r="K71" s="144">
        <f t="shared" si="2"/>
        <v>21</v>
      </c>
      <c r="L71" s="150">
        <f t="shared" si="4"/>
        <v>1.001130308412724</v>
      </c>
    </row>
    <row r="72" spans="1:12" s="101" customFormat="1" ht="13.5">
      <c r="A72" s="514" t="s">
        <v>172</v>
      </c>
      <c r="B72" s="515"/>
      <c r="C72" s="515"/>
      <c r="D72" s="125">
        <v>18458</v>
      </c>
      <c r="E72" s="126">
        <v>18458</v>
      </c>
      <c r="F72" s="144">
        <f t="shared" si="0"/>
        <v>0</v>
      </c>
      <c r="G72" s="145">
        <f t="shared" si="3"/>
        <v>1</v>
      </c>
      <c r="H72" s="127">
        <v>18458</v>
      </c>
      <c r="I72" s="128"/>
      <c r="J72" s="124">
        <f t="shared" si="1"/>
        <v>18458</v>
      </c>
      <c r="K72" s="144">
        <f t="shared" si="2"/>
        <v>0</v>
      </c>
      <c r="L72" s="150">
        <f t="shared" si="4"/>
        <v>1</v>
      </c>
    </row>
    <row r="73" spans="1:14" s="101" customFormat="1" ht="13.5">
      <c r="A73" s="514" t="s">
        <v>77</v>
      </c>
      <c r="B73" s="515"/>
      <c r="C73" s="515"/>
      <c r="D73" s="125">
        <v>58</v>
      </c>
      <c r="E73" s="126">
        <v>33</v>
      </c>
      <c r="F73" s="144">
        <f t="shared" si="0"/>
        <v>-25</v>
      </c>
      <c r="G73" s="145">
        <f t="shared" si="3"/>
        <v>0.5689655172413793</v>
      </c>
      <c r="H73" s="127">
        <v>100</v>
      </c>
      <c r="I73" s="128"/>
      <c r="J73" s="124">
        <f t="shared" si="1"/>
        <v>100</v>
      </c>
      <c r="K73" s="144">
        <f t="shared" si="2"/>
        <v>67</v>
      </c>
      <c r="L73" s="150">
        <f t="shared" si="4"/>
        <v>3.0303030303030303</v>
      </c>
      <c r="N73" s="129"/>
    </row>
    <row r="74" spans="1:12" s="101" customFormat="1" ht="13.5">
      <c r="A74" s="514" t="s">
        <v>78</v>
      </c>
      <c r="B74" s="515"/>
      <c r="C74" s="515"/>
      <c r="D74" s="125">
        <v>6687</v>
      </c>
      <c r="E74" s="126">
        <v>6643</v>
      </c>
      <c r="F74" s="144">
        <f t="shared" si="0"/>
        <v>-44</v>
      </c>
      <c r="G74" s="145">
        <f t="shared" si="3"/>
        <v>0.99342006879019</v>
      </c>
      <c r="H74" s="127">
        <v>6650</v>
      </c>
      <c r="I74" s="128"/>
      <c r="J74" s="124">
        <f t="shared" si="1"/>
        <v>6650</v>
      </c>
      <c r="K74" s="144">
        <f t="shared" si="2"/>
        <v>7</v>
      </c>
      <c r="L74" s="150">
        <f t="shared" si="4"/>
        <v>1.0010537407797682</v>
      </c>
    </row>
    <row r="75" spans="1:15" s="101" customFormat="1" ht="13.5">
      <c r="A75" s="526" t="s">
        <v>79</v>
      </c>
      <c r="B75" s="527"/>
      <c r="C75" s="527"/>
      <c r="D75" s="125">
        <v>2</v>
      </c>
      <c r="E75" s="126">
        <v>3</v>
      </c>
      <c r="F75" s="144">
        <f t="shared" si="0"/>
        <v>1</v>
      </c>
      <c r="G75" s="145">
        <f t="shared" si="3"/>
        <v>1.5</v>
      </c>
      <c r="H75" s="127">
        <v>3</v>
      </c>
      <c r="I75" s="128"/>
      <c r="J75" s="124">
        <f t="shared" si="1"/>
        <v>3</v>
      </c>
      <c r="K75" s="144">
        <f t="shared" si="2"/>
        <v>0</v>
      </c>
      <c r="L75" s="150">
        <f t="shared" si="4"/>
        <v>1</v>
      </c>
      <c r="N75" s="129"/>
      <c r="O75" s="139"/>
    </row>
    <row r="76" spans="1:12" s="101" customFormat="1" ht="13.5">
      <c r="A76" s="514" t="s">
        <v>80</v>
      </c>
      <c r="B76" s="515"/>
      <c r="C76" s="515"/>
      <c r="D76" s="125"/>
      <c r="E76" s="126"/>
      <c r="F76" s="144">
        <f aca="true" t="shared" si="5" ref="F76:F90">E76-D76</f>
        <v>0</v>
      </c>
      <c r="G76" s="145"/>
      <c r="H76" s="127"/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7"/>
      <c r="D77" s="125">
        <v>227</v>
      </c>
      <c r="E77" s="126">
        <v>71</v>
      </c>
      <c r="F77" s="144">
        <f t="shared" si="5"/>
        <v>-156</v>
      </c>
      <c r="G77" s="145">
        <f>E77/D77</f>
        <v>0.31277533039647576</v>
      </c>
      <c r="H77" s="127">
        <v>70</v>
      </c>
      <c r="I77" s="128"/>
      <c r="J77" s="124">
        <v>71</v>
      </c>
      <c r="K77" s="144">
        <f t="shared" si="7"/>
        <v>0</v>
      </c>
      <c r="L77" s="150">
        <f aca="true" t="shared" si="8" ref="L77:L85">J77/E77</f>
        <v>1</v>
      </c>
    </row>
    <row r="78" spans="1:12" s="101" customFormat="1" ht="13.5">
      <c r="A78" s="514" t="s">
        <v>82</v>
      </c>
      <c r="B78" s="515"/>
      <c r="C78" s="515"/>
      <c r="D78" s="138"/>
      <c r="E78" s="130"/>
      <c r="F78" s="144">
        <f t="shared" si="5"/>
        <v>0</v>
      </c>
      <c r="G78" s="145"/>
      <c r="H78" s="122"/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5"/>
      <c r="D79" s="125"/>
      <c r="E79" s="126"/>
      <c r="F79" s="144">
        <f t="shared" si="5"/>
        <v>0</v>
      </c>
      <c r="G79" s="145"/>
      <c r="H79" s="127"/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7"/>
      <c r="D80" s="125">
        <v>1166</v>
      </c>
      <c r="E80" s="126">
        <v>1697</v>
      </c>
      <c r="F80" s="144">
        <f t="shared" si="5"/>
        <v>531</v>
      </c>
      <c r="G80" s="145">
        <f>E80/D80</f>
        <v>1.4554030874785593</v>
      </c>
      <c r="H80" s="127"/>
      <c r="I80" s="128"/>
      <c r="J80" s="124">
        <f t="shared" si="6"/>
        <v>0</v>
      </c>
      <c r="K80" s="144">
        <f t="shared" si="7"/>
        <v>-1697</v>
      </c>
      <c r="L80" s="150">
        <f t="shared" si="8"/>
        <v>0</v>
      </c>
    </row>
    <row r="81" spans="1:12" s="101" customFormat="1" ht="13.5">
      <c r="A81" s="514" t="s">
        <v>85</v>
      </c>
      <c r="B81" s="515"/>
      <c r="C81" s="515"/>
      <c r="D81" s="125">
        <v>1165</v>
      </c>
      <c r="E81" s="126">
        <v>1215</v>
      </c>
      <c r="F81" s="144">
        <f t="shared" si="5"/>
        <v>50</v>
      </c>
      <c r="G81" s="145">
        <f>E81/D81</f>
        <v>1.0429184549356223</v>
      </c>
      <c r="H81" s="127">
        <v>1179</v>
      </c>
      <c r="I81" s="128"/>
      <c r="J81" s="124">
        <v>1179</v>
      </c>
      <c r="K81" s="144">
        <f t="shared" si="7"/>
        <v>-36</v>
      </c>
      <c r="L81" s="150">
        <f t="shared" si="8"/>
        <v>0.9703703703703703</v>
      </c>
    </row>
    <row r="82" spans="1:12" s="101" customFormat="1" ht="13.5">
      <c r="A82" s="514" t="s">
        <v>86</v>
      </c>
      <c r="B82" s="515"/>
      <c r="C82" s="515"/>
      <c r="D82" s="125"/>
      <c r="E82" s="126">
        <v>53</v>
      </c>
      <c r="F82" s="144">
        <f t="shared" si="5"/>
        <v>53</v>
      </c>
      <c r="G82" s="145"/>
      <c r="H82" s="127">
        <v>100</v>
      </c>
      <c r="I82" s="128"/>
      <c r="J82" s="124">
        <f t="shared" si="6"/>
        <v>100</v>
      </c>
      <c r="K82" s="144">
        <f t="shared" si="7"/>
        <v>47</v>
      </c>
      <c r="L82" s="150">
        <f t="shared" si="8"/>
        <v>1.8867924528301887</v>
      </c>
    </row>
    <row r="83" spans="1:12" s="101" customFormat="1" ht="13.5">
      <c r="A83" s="514" t="s">
        <v>173</v>
      </c>
      <c r="B83" s="515"/>
      <c r="C83" s="515"/>
      <c r="D83" s="125">
        <v>1</v>
      </c>
      <c r="E83" s="126"/>
      <c r="F83" s="144">
        <f t="shared" si="5"/>
        <v>-1</v>
      </c>
      <c r="G83" s="145">
        <f>E83/D83</f>
        <v>0</v>
      </c>
      <c r="H83" s="127"/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5"/>
      <c r="D84" s="125"/>
      <c r="E84" s="126">
        <v>434</v>
      </c>
      <c r="F84" s="144">
        <f t="shared" si="5"/>
        <v>434</v>
      </c>
      <c r="G84" s="145"/>
      <c r="H84" s="127">
        <v>400</v>
      </c>
      <c r="I84" s="128"/>
      <c r="J84" s="124">
        <f t="shared" si="6"/>
        <v>400</v>
      </c>
      <c r="K84" s="144">
        <f t="shared" si="7"/>
        <v>-34</v>
      </c>
      <c r="L84" s="150">
        <f t="shared" si="8"/>
        <v>0.9216589861751152</v>
      </c>
    </row>
    <row r="85" spans="1:12" s="101" customFormat="1" ht="13.5">
      <c r="A85" s="514" t="s">
        <v>174</v>
      </c>
      <c r="B85" s="515"/>
      <c r="C85" s="515"/>
      <c r="D85" s="125"/>
      <c r="E85" s="126">
        <v>340</v>
      </c>
      <c r="F85" s="144">
        <f t="shared" si="5"/>
        <v>340</v>
      </c>
      <c r="G85" s="145"/>
      <c r="H85" s="127">
        <v>400</v>
      </c>
      <c r="I85" s="128"/>
      <c r="J85" s="124">
        <f t="shared" si="6"/>
        <v>400</v>
      </c>
      <c r="K85" s="144">
        <f t="shared" si="7"/>
        <v>60</v>
      </c>
      <c r="L85" s="150">
        <f t="shared" si="8"/>
        <v>1.1764705882352942</v>
      </c>
    </row>
    <row r="86" spans="1:14" s="101" customFormat="1" ht="13.5">
      <c r="A86" s="514" t="s">
        <v>175</v>
      </c>
      <c r="B86" s="515"/>
      <c r="C86" s="515"/>
      <c r="D86" s="125"/>
      <c r="E86" s="126"/>
      <c r="F86" s="144">
        <f t="shared" si="5"/>
        <v>0</v>
      </c>
      <c r="G86" s="145"/>
      <c r="H86" s="127"/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526" t="s">
        <v>88</v>
      </c>
      <c r="B87" s="527"/>
      <c r="C87" s="527"/>
      <c r="D87" s="125"/>
      <c r="E87" s="126"/>
      <c r="F87" s="144">
        <f t="shared" si="5"/>
        <v>0</v>
      </c>
      <c r="G87" s="145"/>
      <c r="H87" s="127"/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5"/>
      <c r="D88" s="125">
        <v>21</v>
      </c>
      <c r="E88" s="126"/>
      <c r="F88" s="144">
        <f t="shared" si="5"/>
        <v>-21</v>
      </c>
      <c r="G88" s="145">
        <f>E88/D88</f>
        <v>0</v>
      </c>
      <c r="H88" s="127"/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7"/>
      <c r="D89" s="125"/>
      <c r="E89" s="126"/>
      <c r="F89" s="144">
        <f t="shared" si="5"/>
        <v>0</v>
      </c>
      <c r="G89" s="145"/>
      <c r="H89" s="127"/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15"/>
      <c r="D90" s="245"/>
      <c r="E90" s="140"/>
      <c r="F90" s="144">
        <f t="shared" si="5"/>
        <v>0</v>
      </c>
      <c r="G90" s="145"/>
      <c r="H90" s="127"/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38705</v>
      </c>
      <c r="E91" s="178">
        <v>38123</v>
      </c>
      <c r="F91" s="179"/>
      <c r="G91" s="179"/>
      <c r="H91" s="180">
        <v>38657</v>
      </c>
      <c r="I91" s="180"/>
      <c r="J91" s="181">
        <f>H91</f>
        <v>38657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v>0</v>
      </c>
      <c r="E92" s="184">
        <v>0</v>
      </c>
      <c r="F92" s="185"/>
      <c r="G92" s="185"/>
      <c r="H92" s="184">
        <v>-50</v>
      </c>
      <c r="I92" s="184">
        <v>50</v>
      </c>
      <c r="J92" s="186">
        <v>0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3.5">
      <c r="A94" s="561" t="s">
        <v>178</v>
      </c>
      <c r="B94" s="562"/>
      <c r="C94" s="565" t="s">
        <v>104</v>
      </c>
      <c r="D94" s="42"/>
      <c r="E94" s="561" t="s">
        <v>179</v>
      </c>
      <c r="F94" s="567"/>
      <c r="G94" s="567"/>
      <c r="H94" s="562"/>
      <c r="I94" s="565" t="s">
        <v>104</v>
      </c>
      <c r="J94" s="43"/>
      <c r="K94" s="43"/>
      <c r="L94" s="43"/>
      <c r="M94" s="43"/>
      <c r="N94" s="43"/>
    </row>
    <row r="95" spans="1:14" ht="14.25" thickBot="1">
      <c r="A95" s="563"/>
      <c r="B95" s="564"/>
      <c r="C95" s="566"/>
      <c r="D95" s="42"/>
      <c r="E95" s="568"/>
      <c r="F95" s="569"/>
      <c r="G95" s="569"/>
      <c r="H95" s="570"/>
      <c r="I95" s="571"/>
      <c r="J95" s="43"/>
      <c r="K95" s="43"/>
      <c r="L95" s="43"/>
      <c r="M95" s="43"/>
      <c r="N95" s="43"/>
    </row>
    <row r="96" spans="1:14" ht="14.25" thickBot="1">
      <c r="A96" s="578" t="s">
        <v>222</v>
      </c>
      <c r="B96" s="579"/>
      <c r="C96" s="109">
        <v>100</v>
      </c>
      <c r="D96" s="92"/>
      <c r="E96" s="572" t="s">
        <v>225</v>
      </c>
      <c r="F96" s="577"/>
      <c r="G96" s="577"/>
      <c r="H96" s="573"/>
      <c r="I96" s="110">
        <v>300</v>
      </c>
      <c r="J96" s="43"/>
      <c r="K96" s="43"/>
      <c r="L96" s="43"/>
      <c r="M96" s="43"/>
      <c r="N96" s="38" t="s">
        <v>105</v>
      </c>
    </row>
    <row r="97" spans="1:14" ht="13.5">
      <c r="A97" s="578" t="s">
        <v>223</v>
      </c>
      <c r="B97" s="579"/>
      <c r="C97" s="109">
        <v>250</v>
      </c>
      <c r="D97" s="92"/>
      <c r="E97" s="572" t="s">
        <v>226</v>
      </c>
      <c r="F97" s="577"/>
      <c r="G97" s="577"/>
      <c r="H97" s="573"/>
      <c r="I97" s="111">
        <f>450-316</f>
        <v>134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578" t="s">
        <v>224</v>
      </c>
      <c r="B98" s="579"/>
      <c r="C98" s="109">
        <v>150</v>
      </c>
      <c r="D98" s="92"/>
      <c r="E98" s="572" t="s">
        <v>227</v>
      </c>
      <c r="F98" s="577"/>
      <c r="G98" s="577"/>
      <c r="H98" s="573"/>
      <c r="I98" s="111">
        <v>170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578" t="s">
        <v>225</v>
      </c>
      <c r="B99" s="579"/>
      <c r="C99" s="93">
        <v>300</v>
      </c>
      <c r="D99" s="92"/>
      <c r="E99" s="572" t="s">
        <v>228</v>
      </c>
      <c r="F99" s="577"/>
      <c r="G99" s="577"/>
      <c r="H99" s="573"/>
      <c r="I99" s="111">
        <v>280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578" t="s">
        <v>136</v>
      </c>
      <c r="B100" s="579"/>
      <c r="C100" s="296">
        <v>480</v>
      </c>
      <c r="D100" s="92"/>
      <c r="E100" s="572" t="s">
        <v>229</v>
      </c>
      <c r="F100" s="577"/>
      <c r="G100" s="577"/>
      <c r="H100" s="573"/>
      <c r="I100" s="208">
        <v>100</v>
      </c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578"/>
      <c r="B101" s="579"/>
      <c r="C101" s="93"/>
      <c r="D101" s="92"/>
      <c r="E101" s="572" t="s">
        <v>230</v>
      </c>
      <c r="F101" s="577"/>
      <c r="G101" s="577"/>
      <c r="H101" s="573"/>
      <c r="I101" s="208">
        <v>300</v>
      </c>
      <c r="J101" s="43"/>
      <c r="K101" s="43"/>
      <c r="L101" s="43"/>
      <c r="M101" s="43"/>
      <c r="N101" s="43"/>
    </row>
    <row r="102" spans="1:14" ht="13.5">
      <c r="A102" s="578"/>
      <c r="B102" s="579"/>
      <c r="C102" s="93"/>
      <c r="D102" s="92"/>
      <c r="E102" s="572" t="s">
        <v>231</v>
      </c>
      <c r="F102" s="577"/>
      <c r="G102" s="577"/>
      <c r="H102" s="573"/>
      <c r="I102" s="208">
        <v>100</v>
      </c>
      <c r="J102" s="43"/>
      <c r="K102" s="43"/>
      <c r="L102" s="43"/>
      <c r="M102" s="43"/>
      <c r="N102" s="43"/>
    </row>
    <row r="103" spans="1:14" ht="13.5">
      <c r="A103" s="578"/>
      <c r="B103" s="579"/>
      <c r="C103" s="93"/>
      <c r="D103" s="92"/>
      <c r="E103" s="572" t="s">
        <v>232</v>
      </c>
      <c r="F103" s="577"/>
      <c r="G103" s="577"/>
      <c r="H103" s="573"/>
      <c r="I103" s="105">
        <v>200</v>
      </c>
      <c r="J103" s="43"/>
      <c r="K103" s="43"/>
      <c r="L103" s="43"/>
      <c r="M103" s="43"/>
      <c r="N103" s="43"/>
    </row>
    <row r="104" spans="1:14" ht="14.25" thickBot="1">
      <c r="A104" s="578"/>
      <c r="B104" s="579"/>
      <c r="C104" s="93"/>
      <c r="D104" s="92"/>
      <c r="E104" s="572"/>
      <c r="F104" s="577"/>
      <c r="G104" s="577"/>
      <c r="H104" s="573"/>
      <c r="I104" s="208"/>
      <c r="J104" s="43"/>
      <c r="K104" s="43"/>
      <c r="L104" s="43"/>
      <c r="M104" s="43"/>
      <c r="N104" s="43"/>
    </row>
    <row r="105" spans="1:14" ht="14.25" thickBot="1">
      <c r="A105" s="585" t="s">
        <v>97</v>
      </c>
      <c r="B105" s="586"/>
      <c r="C105" s="373">
        <f>SUM(C96:C104)</f>
        <v>1280</v>
      </c>
      <c r="D105" s="59"/>
      <c r="E105" s="587" t="s">
        <v>97</v>
      </c>
      <c r="F105" s="588"/>
      <c r="G105" s="588"/>
      <c r="H105" s="589"/>
      <c r="I105" s="60">
        <f>SUM(I96:I104)</f>
        <v>1584</v>
      </c>
      <c r="J105" s="43"/>
      <c r="K105" s="43"/>
      <c r="L105" s="43"/>
      <c r="M105" s="43"/>
      <c r="N105" s="61"/>
    </row>
    <row r="106" spans="1:13" s="34" customFormat="1" ht="13.5">
      <c r="A106" s="59"/>
      <c r="B106" s="62"/>
      <c r="C106" s="62"/>
      <c r="D106" s="62"/>
      <c r="E106" s="62"/>
      <c r="M106" s="232"/>
    </row>
    <row r="107" spans="1:13" s="34" customFormat="1" ht="13.5">
      <c r="A107" s="63"/>
      <c r="B107" s="36"/>
      <c r="C107" s="36"/>
      <c r="D107" s="36"/>
      <c r="E107" s="39"/>
      <c r="F107" s="41"/>
      <c r="G107" s="41"/>
      <c r="H107" s="35"/>
      <c r="I107" s="36"/>
      <c r="J107" s="36"/>
      <c r="K107" s="36"/>
      <c r="L107" s="39"/>
      <c r="M107" s="232"/>
    </row>
    <row r="108" spans="1:13" s="34" customFormat="1" ht="14.25" thickBot="1">
      <c r="A108" s="63" t="s">
        <v>181</v>
      </c>
      <c r="B108" s="36"/>
      <c r="C108" s="36"/>
      <c r="D108" s="36"/>
      <c r="E108" s="39"/>
      <c r="F108" s="41"/>
      <c r="G108" s="41"/>
      <c r="H108" s="35"/>
      <c r="I108" s="36"/>
      <c r="J108" s="36" t="s">
        <v>110</v>
      </c>
      <c r="K108" s="36"/>
      <c r="L108" s="39"/>
      <c r="M108" s="232"/>
    </row>
    <row r="109" spans="1:13" s="34" customFormat="1" ht="13.5">
      <c r="A109" s="449" t="s">
        <v>111</v>
      </c>
      <c r="B109" s="452" t="s">
        <v>248</v>
      </c>
      <c r="C109" s="459" t="s">
        <v>182</v>
      </c>
      <c r="D109" s="460"/>
      <c r="E109" s="460"/>
      <c r="F109" s="460"/>
      <c r="G109" s="460"/>
      <c r="H109" s="460"/>
      <c r="I109" s="460"/>
      <c r="J109" s="461"/>
      <c r="K109" s="455" t="s">
        <v>183</v>
      </c>
      <c r="M109" s="232"/>
    </row>
    <row r="110" spans="1:13" s="34" customFormat="1" ht="13.5">
      <c r="A110" s="450"/>
      <c r="B110" s="453"/>
      <c r="C110" s="458" t="s">
        <v>112</v>
      </c>
      <c r="D110" s="462" t="s">
        <v>113</v>
      </c>
      <c r="E110" s="462"/>
      <c r="F110" s="462"/>
      <c r="G110" s="462"/>
      <c r="H110" s="462"/>
      <c r="I110" s="462"/>
      <c r="J110" s="463"/>
      <c r="K110" s="456"/>
      <c r="M110" s="232"/>
    </row>
    <row r="111" spans="1:13" s="34" customFormat="1" ht="14.25" thickBot="1">
      <c r="A111" s="451"/>
      <c r="B111" s="454"/>
      <c r="C111" s="458"/>
      <c r="D111" s="164">
        <v>1</v>
      </c>
      <c r="E111" s="164">
        <v>2</v>
      </c>
      <c r="F111" s="164">
        <v>3</v>
      </c>
      <c r="G111" s="164">
        <v>4</v>
      </c>
      <c r="H111" s="164">
        <v>5</v>
      </c>
      <c r="I111" s="164">
        <v>6</v>
      </c>
      <c r="J111" s="165">
        <v>7</v>
      </c>
      <c r="K111" s="457"/>
      <c r="L111" s="71"/>
      <c r="M111" s="232"/>
    </row>
    <row r="112" spans="1:13" s="34" customFormat="1" ht="14.25" thickBot="1">
      <c r="A112" s="64">
        <v>49106</v>
      </c>
      <c r="B112" s="65">
        <v>12835</v>
      </c>
      <c r="C112" s="166">
        <f>SUM(D112:J112)</f>
        <v>1179</v>
      </c>
      <c r="D112" s="167">
        <v>166</v>
      </c>
      <c r="E112" s="167">
        <v>572</v>
      </c>
      <c r="F112" s="167">
        <v>0</v>
      </c>
      <c r="G112" s="167">
        <v>0</v>
      </c>
      <c r="H112" s="167">
        <v>0</v>
      </c>
      <c r="I112" s="168">
        <v>4</v>
      </c>
      <c r="J112" s="225">
        <v>437</v>
      </c>
      <c r="K112" s="163">
        <v>35665</v>
      </c>
      <c r="M112" s="232"/>
    </row>
    <row r="113" spans="1:13" s="34" customFormat="1" ht="13.5">
      <c r="A113" s="59"/>
      <c r="B113" s="62"/>
      <c r="C113" s="62"/>
      <c r="D113" s="62"/>
      <c r="E113" s="62"/>
      <c r="M113" s="232"/>
    </row>
    <row r="114" spans="1:13" s="34" customFormat="1" ht="14.25" thickBot="1">
      <c r="A114" s="63" t="s">
        <v>184</v>
      </c>
      <c r="C114" s="36"/>
      <c r="D114" s="36"/>
      <c r="E114" s="36"/>
      <c r="F114" s="36" t="s">
        <v>110</v>
      </c>
      <c r="G114" s="41"/>
      <c r="H114" s="35"/>
      <c r="M114" s="232"/>
    </row>
    <row r="115" spans="1:13" s="34" customFormat="1" ht="15" customHeight="1" thickBot="1">
      <c r="A115" s="467" t="s">
        <v>114</v>
      </c>
      <c r="B115" s="469" t="s">
        <v>188</v>
      </c>
      <c r="C115" s="188" t="s">
        <v>185</v>
      </c>
      <c r="D115" s="189"/>
      <c r="E115" s="189"/>
      <c r="F115" s="190"/>
      <c r="M115" s="232"/>
    </row>
    <row r="116" spans="1:13" s="34" customFormat="1" ht="27.75" thickBot="1">
      <c r="A116" s="468"/>
      <c r="B116" s="469"/>
      <c r="C116" s="67" t="s">
        <v>186</v>
      </c>
      <c r="D116" s="66" t="s">
        <v>115</v>
      </c>
      <c r="E116" s="67" t="s">
        <v>116</v>
      </c>
      <c r="F116" s="191" t="s">
        <v>187</v>
      </c>
      <c r="M116" s="232"/>
    </row>
    <row r="117" spans="1:13" s="34" customFormat="1" ht="13.5">
      <c r="A117" s="192" t="s">
        <v>117</v>
      </c>
      <c r="B117" s="218">
        <v>3766.8</v>
      </c>
      <c r="C117" s="68" t="s">
        <v>118</v>
      </c>
      <c r="D117" s="69" t="s">
        <v>118</v>
      </c>
      <c r="E117" s="69" t="s">
        <v>118</v>
      </c>
      <c r="F117" s="193" t="s">
        <v>118</v>
      </c>
      <c r="M117" s="232"/>
    </row>
    <row r="118" spans="1:13" s="34" customFormat="1" ht="13.5">
      <c r="A118" s="194" t="s">
        <v>119</v>
      </c>
      <c r="B118" s="219">
        <v>132</v>
      </c>
      <c r="C118" s="197">
        <v>132</v>
      </c>
      <c r="D118" s="51">
        <v>0</v>
      </c>
      <c r="E118" s="106">
        <v>100</v>
      </c>
      <c r="F118" s="198">
        <f>C118+D118-E118</f>
        <v>32</v>
      </c>
      <c r="M118" s="273"/>
    </row>
    <row r="119" spans="1:13" s="34" customFormat="1" ht="13.5">
      <c r="A119" s="194" t="s">
        <v>120</v>
      </c>
      <c r="B119" s="219">
        <v>1408</v>
      </c>
      <c r="C119" s="197">
        <f>668+734</f>
        <v>1402</v>
      </c>
      <c r="D119" s="51">
        <v>34</v>
      </c>
      <c r="E119" s="106">
        <v>1228</v>
      </c>
      <c r="F119" s="198">
        <f>C119+D119-E119</f>
        <v>208</v>
      </c>
      <c r="G119" s="232"/>
      <c r="M119" s="273"/>
    </row>
    <row r="120" spans="1:13" s="34" customFormat="1" ht="13.5">
      <c r="A120" s="194" t="s">
        <v>121</v>
      </c>
      <c r="B120" s="219">
        <v>185</v>
      </c>
      <c r="C120" s="72">
        <v>185</v>
      </c>
      <c r="D120" s="73">
        <v>1179</v>
      </c>
      <c r="E120" s="206">
        <f>500+300+480</f>
        <v>1280</v>
      </c>
      <c r="F120" s="198">
        <f>C120+D120-E120</f>
        <v>84</v>
      </c>
      <c r="M120" s="273"/>
    </row>
    <row r="121" spans="1:13" s="34" customFormat="1" ht="13.5">
      <c r="A121" s="194" t="s">
        <v>122</v>
      </c>
      <c r="B121" s="219">
        <f>B117-B118-B119-B120</f>
        <v>2041.8000000000002</v>
      </c>
      <c r="C121" s="74" t="s">
        <v>118</v>
      </c>
      <c r="D121" s="75" t="s">
        <v>118</v>
      </c>
      <c r="E121" s="76" t="s">
        <v>118</v>
      </c>
      <c r="F121" s="195" t="s">
        <v>118</v>
      </c>
      <c r="M121" s="273"/>
    </row>
    <row r="122" spans="1:13" s="34" customFormat="1" ht="14.25" thickBot="1">
      <c r="A122" s="196" t="s">
        <v>123</v>
      </c>
      <c r="B122" s="220">
        <v>69</v>
      </c>
      <c r="C122" s="199">
        <v>69</v>
      </c>
      <c r="D122" s="200">
        <v>185</v>
      </c>
      <c r="E122" s="207">
        <v>254</v>
      </c>
      <c r="F122" s="201">
        <f>C122+D122-E122</f>
        <v>0</v>
      </c>
      <c r="M122" s="273"/>
    </row>
    <row r="123" spans="1:15" s="34" customFormat="1" ht="13.5">
      <c r="A123" s="35"/>
      <c r="B123" s="36"/>
      <c r="C123" s="36"/>
      <c r="D123" s="37"/>
      <c r="E123" s="38"/>
      <c r="F123" s="36"/>
      <c r="G123" s="36"/>
      <c r="H123" s="39"/>
      <c r="I123" s="40"/>
      <c r="J123" s="41"/>
      <c r="K123" s="35"/>
      <c r="L123" s="36"/>
      <c r="M123" s="278"/>
      <c r="N123" s="36"/>
      <c r="O123" s="39"/>
    </row>
    <row r="124" spans="1:13" ht="13.5">
      <c r="A124" s="63"/>
      <c r="K124" s="36"/>
      <c r="M124" s="284"/>
    </row>
    <row r="125" spans="1:11" ht="14.25" thickBot="1">
      <c r="A125" s="63" t="s">
        <v>189</v>
      </c>
      <c r="K125" s="36" t="s">
        <v>110</v>
      </c>
    </row>
    <row r="126" spans="1:11" ht="13.5">
      <c r="A126" s="464" t="s">
        <v>124</v>
      </c>
      <c r="B126" s="465"/>
      <c r="C126" s="466"/>
      <c r="D126" s="78"/>
      <c r="E126" s="464" t="s">
        <v>125</v>
      </c>
      <c r="F126" s="465"/>
      <c r="G126" s="466"/>
      <c r="I126" s="464" t="s">
        <v>126</v>
      </c>
      <c r="J126" s="465"/>
      <c r="K126" s="466"/>
    </row>
    <row r="127" spans="1:11" ht="14.25" thickBot="1">
      <c r="A127" s="79" t="s">
        <v>127</v>
      </c>
      <c r="B127" s="80" t="s">
        <v>128</v>
      </c>
      <c r="C127" s="81" t="s">
        <v>129</v>
      </c>
      <c r="D127" s="78"/>
      <c r="E127" s="82"/>
      <c r="F127" s="470" t="s">
        <v>130</v>
      </c>
      <c r="G127" s="471"/>
      <c r="I127" s="79"/>
      <c r="J127" s="80" t="s">
        <v>131</v>
      </c>
      <c r="K127" s="81" t="s">
        <v>129</v>
      </c>
    </row>
    <row r="128" spans="1:11" ht="13.5">
      <c r="A128" s="83">
        <v>2012</v>
      </c>
      <c r="B128" s="84">
        <v>84</v>
      </c>
      <c r="C128" s="85">
        <v>83</v>
      </c>
      <c r="D128" s="37"/>
      <c r="E128" s="83">
        <v>2012</v>
      </c>
      <c r="F128" s="472">
        <v>130</v>
      </c>
      <c r="G128" s="473"/>
      <c r="I128" s="83">
        <v>2012</v>
      </c>
      <c r="J128" s="84">
        <v>18458</v>
      </c>
      <c r="K128" s="85">
        <v>18458</v>
      </c>
    </row>
    <row r="129" spans="1:11" ht="14.25" thickBot="1">
      <c r="A129" s="86">
        <v>2013</v>
      </c>
      <c r="B129" s="87">
        <v>83</v>
      </c>
      <c r="C129" s="88" t="s">
        <v>92</v>
      </c>
      <c r="D129" s="37"/>
      <c r="E129" s="86">
        <v>2013</v>
      </c>
      <c r="F129" s="388">
        <v>130</v>
      </c>
      <c r="G129" s="389"/>
      <c r="I129" s="86">
        <v>2013</v>
      </c>
      <c r="J129" s="87">
        <v>18458</v>
      </c>
      <c r="K129" s="88" t="s">
        <v>92</v>
      </c>
    </row>
    <row r="130" spans="4:5" ht="13.5">
      <c r="D130" s="37"/>
      <c r="E130" s="1"/>
    </row>
    <row r="131" spans="4:5" ht="13.5">
      <c r="D131" s="78"/>
      <c r="E131" s="1"/>
    </row>
    <row r="132" spans="4:5" ht="13.5">
      <c r="D132" s="78"/>
      <c r="E132" s="1"/>
    </row>
    <row r="133" spans="4:5" ht="13.5">
      <c r="D133" s="37"/>
      <c r="E133" s="1"/>
    </row>
    <row r="134" spans="4:5" ht="13.5">
      <c r="D134" s="37"/>
      <c r="E134" s="1"/>
    </row>
  </sheetData>
  <sheetProtection selectLockedCells="1" selectUnlockedCells="1"/>
  <mergeCells count="131">
    <mergeCell ref="F127:G127"/>
    <mergeCell ref="F128:G128"/>
    <mergeCell ref="F129:G129"/>
    <mergeCell ref="A91:C91"/>
    <mergeCell ref="A92:C92"/>
    <mergeCell ref="A88:C88"/>
    <mergeCell ref="A89:C89"/>
    <mergeCell ref="A96:B96"/>
    <mergeCell ref="A97:B97"/>
    <mergeCell ref="A98:B98"/>
    <mergeCell ref="K109:K111"/>
    <mergeCell ref="C110:C111"/>
    <mergeCell ref="D110:J110"/>
    <mergeCell ref="A115:A116"/>
    <mergeCell ref="B115:B116"/>
    <mergeCell ref="A126:C126"/>
    <mergeCell ref="E126:G126"/>
    <mergeCell ref="I126:K126"/>
    <mergeCell ref="A90:C90"/>
    <mergeCell ref="A102:B102"/>
    <mergeCell ref="A103:B103"/>
    <mergeCell ref="A104:B104"/>
    <mergeCell ref="E96:H96"/>
    <mergeCell ref="E97:H97"/>
    <mergeCell ref="E98:H98"/>
    <mergeCell ref="E99:H99"/>
    <mergeCell ref="E100:H100"/>
    <mergeCell ref="E101:H101"/>
    <mergeCell ref="E102:H102"/>
    <mergeCell ref="E103:H103"/>
    <mergeCell ref="E104:H104"/>
    <mergeCell ref="A109:A111"/>
    <mergeCell ref="B109:B111"/>
    <mergeCell ref="C109:J109"/>
    <mergeCell ref="A105:B105"/>
    <mergeCell ref="E105:H105"/>
    <mergeCell ref="A101:B101"/>
    <mergeCell ref="A99:B99"/>
    <mergeCell ref="A100:B100"/>
    <mergeCell ref="E94:H95"/>
    <mergeCell ref="I94:I95"/>
    <mergeCell ref="A85:C85"/>
    <mergeCell ref="A86:C86"/>
    <mergeCell ref="A87:C87"/>
    <mergeCell ref="A94:B95"/>
    <mergeCell ref="C94:C95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1" r:id="rId1"/>
  <headerFooter alignWithMargins="0">
    <oddFooter>&amp;C&amp;"Arial CE,Běžné"&amp;P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T132"/>
  <sheetViews>
    <sheetView view="pageBreakPreview" zoomScale="70" zoomScaleSheetLayoutView="70" zoomScalePageLayoutView="0" workbookViewId="0" topLeftCell="A45">
      <selection activeCell="H4" sqref="H4:L92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7" width="13.00390625" style="1" customWidth="1"/>
    <col min="8" max="8" width="20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153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09"/>
      <c r="D7" s="121">
        <f>D8+D9+D16+D17</f>
        <v>22176.689999999995</v>
      </c>
      <c r="E7" s="239">
        <f>E8+E9+E16+E17</f>
        <v>23282</v>
      </c>
      <c r="F7" s="154">
        <f>E7-D7</f>
        <v>1105.310000000005</v>
      </c>
      <c r="G7" s="145">
        <f>E7/D7</f>
        <v>1.0498410718641964</v>
      </c>
      <c r="H7" s="122">
        <f>H8+H9+H16+H17</f>
        <v>21685</v>
      </c>
      <c r="I7" s="123">
        <f>I8+I9+I16+I17</f>
        <v>1350</v>
      </c>
      <c r="J7" s="156">
        <f>H7+I7</f>
        <v>23035</v>
      </c>
      <c r="K7" s="144">
        <f>J7-E7</f>
        <v>-247</v>
      </c>
      <c r="L7" s="150">
        <f>J7/E7</f>
        <v>0.9893909457950348</v>
      </c>
    </row>
    <row r="8" spans="1:12" s="101" customFormat="1" ht="13.5">
      <c r="A8" s="511" t="s">
        <v>25</v>
      </c>
      <c r="B8" s="512"/>
      <c r="C8" s="512"/>
      <c r="D8" s="125"/>
      <c r="E8" s="240"/>
      <c r="F8" s="154">
        <f aca="true" t="shared" si="0" ref="F8:F75">E8-D8</f>
        <v>0</v>
      </c>
      <c r="G8" s="145"/>
      <c r="H8" s="127"/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2"/>
      <c r="D9" s="125">
        <f>D10+D11+D12+D13+D14+D15</f>
        <v>22176.689999999995</v>
      </c>
      <c r="E9" s="240">
        <f>E10+E11+E12+E13+E14+E15</f>
        <v>23275</v>
      </c>
      <c r="F9" s="154">
        <f t="shared" si="0"/>
        <v>1098.310000000005</v>
      </c>
      <c r="G9" s="145">
        <f aca="true" t="shared" si="3" ref="G9:G74">E9/D9</f>
        <v>1.0495254251197994</v>
      </c>
      <c r="H9" s="127">
        <f>H10+H11+H12+H13+H14+H15</f>
        <v>21670</v>
      </c>
      <c r="I9" s="128">
        <f>I10+I11+I12+I13+I14+I15</f>
        <v>1350</v>
      </c>
      <c r="J9" s="156">
        <f t="shared" si="1"/>
        <v>23020</v>
      </c>
      <c r="K9" s="144">
        <f t="shared" si="2"/>
        <v>-255</v>
      </c>
      <c r="L9" s="150">
        <f aca="true" t="shared" si="4" ref="L9:L75">J9/E9</f>
        <v>0.9890440386680989</v>
      </c>
    </row>
    <row r="10" spans="1:12" s="101" customFormat="1" ht="13.5">
      <c r="A10" s="514" t="s">
        <v>27</v>
      </c>
      <c r="B10" s="515"/>
      <c r="C10" s="515"/>
      <c r="D10" s="125">
        <v>9545.63</v>
      </c>
      <c r="E10" s="240">
        <v>9922</v>
      </c>
      <c r="F10" s="154">
        <f t="shared" si="0"/>
        <v>376.3700000000008</v>
      </c>
      <c r="G10" s="145">
        <f t="shared" si="3"/>
        <v>1.0394285133616117</v>
      </c>
      <c r="H10" s="127">
        <v>9920</v>
      </c>
      <c r="I10" s="128"/>
      <c r="J10" s="156">
        <f t="shared" si="1"/>
        <v>9920</v>
      </c>
      <c r="K10" s="144">
        <f t="shared" si="2"/>
        <v>-2</v>
      </c>
      <c r="L10" s="150">
        <f t="shared" si="4"/>
        <v>0.9997984277363435</v>
      </c>
    </row>
    <row r="11" spans="1:12" s="101" customFormat="1" ht="13.5">
      <c r="A11" s="514" t="s">
        <v>28</v>
      </c>
      <c r="B11" s="515"/>
      <c r="C11" s="515"/>
      <c r="D11" s="125">
        <v>9699</v>
      </c>
      <c r="E11" s="240">
        <v>9898</v>
      </c>
      <c r="F11" s="154">
        <f t="shared" si="0"/>
        <v>199</v>
      </c>
      <c r="G11" s="145">
        <f t="shared" si="3"/>
        <v>1.0205175791318692</v>
      </c>
      <c r="H11" s="127">
        <v>10000</v>
      </c>
      <c r="I11" s="128"/>
      <c r="J11" s="156">
        <f t="shared" si="1"/>
        <v>10000</v>
      </c>
      <c r="K11" s="144">
        <f t="shared" si="2"/>
        <v>102</v>
      </c>
      <c r="L11" s="150">
        <f t="shared" si="4"/>
        <v>1.0103051121438675</v>
      </c>
    </row>
    <row r="12" spans="1:12" s="101" customFormat="1" ht="13.5">
      <c r="A12" s="514" t="s">
        <v>29</v>
      </c>
      <c r="B12" s="515"/>
      <c r="C12" s="515"/>
      <c r="D12" s="125"/>
      <c r="E12" s="240">
        <v>61</v>
      </c>
      <c r="F12" s="154">
        <f t="shared" si="0"/>
        <v>61</v>
      </c>
      <c r="G12" s="145"/>
      <c r="H12" s="127">
        <v>90</v>
      </c>
      <c r="I12" s="128"/>
      <c r="J12" s="156">
        <f t="shared" si="1"/>
        <v>90</v>
      </c>
      <c r="K12" s="144">
        <f t="shared" si="2"/>
        <v>29</v>
      </c>
      <c r="L12" s="150">
        <f t="shared" si="4"/>
        <v>1.4754098360655739</v>
      </c>
    </row>
    <row r="13" spans="1:12" s="101" customFormat="1" ht="13.5">
      <c r="A13" s="514" t="s">
        <v>30</v>
      </c>
      <c r="B13" s="515"/>
      <c r="C13" s="515"/>
      <c r="D13" s="125">
        <v>1651.01</v>
      </c>
      <c r="E13" s="240">
        <v>1855</v>
      </c>
      <c r="F13" s="154">
        <f t="shared" si="0"/>
        <v>203.99</v>
      </c>
      <c r="G13" s="145">
        <f t="shared" si="3"/>
        <v>1.1235546725943513</v>
      </c>
      <c r="H13" s="127">
        <v>1440</v>
      </c>
      <c r="I13" s="128"/>
      <c r="J13" s="156">
        <f t="shared" si="1"/>
        <v>1440</v>
      </c>
      <c r="K13" s="144">
        <f t="shared" si="2"/>
        <v>-415</v>
      </c>
      <c r="L13" s="150">
        <f t="shared" si="4"/>
        <v>0.7762803234501348</v>
      </c>
    </row>
    <row r="14" spans="1:12" s="101" customFormat="1" ht="13.5">
      <c r="A14" s="514" t="s">
        <v>31</v>
      </c>
      <c r="B14" s="515"/>
      <c r="C14" s="515"/>
      <c r="D14" s="125">
        <v>1277.18</v>
      </c>
      <c r="E14" s="240">
        <v>1539</v>
      </c>
      <c r="F14" s="154">
        <f t="shared" si="0"/>
        <v>261.81999999999994</v>
      </c>
      <c r="G14" s="145">
        <f t="shared" si="3"/>
        <v>1.2049985123475155</v>
      </c>
      <c r="H14" s="127">
        <v>220</v>
      </c>
      <c r="I14" s="128">
        <v>1350</v>
      </c>
      <c r="J14" s="156">
        <f t="shared" si="1"/>
        <v>1570</v>
      </c>
      <c r="K14" s="144">
        <f t="shared" si="2"/>
        <v>31</v>
      </c>
      <c r="L14" s="150">
        <f t="shared" si="4"/>
        <v>1.0201429499675114</v>
      </c>
    </row>
    <row r="15" spans="1:14" s="101" customFormat="1" ht="13.5">
      <c r="A15" s="514" t="s">
        <v>32</v>
      </c>
      <c r="B15" s="515"/>
      <c r="C15" s="515"/>
      <c r="D15" s="125">
        <v>3.87</v>
      </c>
      <c r="E15" s="240"/>
      <c r="F15" s="154">
        <f t="shared" si="0"/>
        <v>-3.87</v>
      </c>
      <c r="G15" s="145">
        <f t="shared" si="3"/>
        <v>0</v>
      </c>
      <c r="H15" s="127"/>
      <c r="I15" s="128"/>
      <c r="J15" s="156">
        <f t="shared" si="1"/>
        <v>0</v>
      </c>
      <c r="K15" s="144">
        <f t="shared" si="2"/>
        <v>0</v>
      </c>
      <c r="L15" s="150"/>
      <c r="N15" s="129"/>
    </row>
    <row r="16" spans="1:12" s="101" customFormat="1" ht="13.5">
      <c r="A16" s="511" t="s">
        <v>33</v>
      </c>
      <c r="B16" s="512"/>
      <c r="C16" s="512"/>
      <c r="D16" s="125"/>
      <c r="E16" s="240">
        <v>7</v>
      </c>
      <c r="F16" s="154">
        <f t="shared" si="0"/>
        <v>7</v>
      </c>
      <c r="G16" s="145"/>
      <c r="H16" s="127">
        <v>15</v>
      </c>
      <c r="I16" s="128"/>
      <c r="J16" s="156">
        <f t="shared" si="1"/>
        <v>15</v>
      </c>
      <c r="K16" s="144">
        <f t="shared" si="2"/>
        <v>8</v>
      </c>
      <c r="L16" s="150">
        <f t="shared" si="4"/>
        <v>2.142857142857143</v>
      </c>
    </row>
    <row r="17" spans="1:12" s="101" customFormat="1" ht="13.5">
      <c r="A17" s="511" t="s">
        <v>34</v>
      </c>
      <c r="B17" s="512"/>
      <c r="C17" s="512"/>
      <c r="D17" s="125"/>
      <c r="E17" s="240"/>
      <c r="F17" s="154">
        <f t="shared" si="0"/>
        <v>0</v>
      </c>
      <c r="G17" s="145"/>
      <c r="H17" s="127"/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8"/>
      <c r="D18" s="125">
        <v>881</v>
      </c>
      <c r="E18" s="240">
        <v>439</v>
      </c>
      <c r="F18" s="154">
        <f t="shared" si="0"/>
        <v>-442</v>
      </c>
      <c r="G18" s="145">
        <f t="shared" si="3"/>
        <v>0.4982973893303065</v>
      </c>
      <c r="H18" s="127">
        <v>428</v>
      </c>
      <c r="I18" s="128"/>
      <c r="J18" s="156">
        <f t="shared" si="1"/>
        <v>428</v>
      </c>
      <c r="K18" s="144">
        <f t="shared" si="2"/>
        <v>-11</v>
      </c>
      <c r="L18" s="150">
        <f t="shared" si="4"/>
        <v>0.9749430523917996</v>
      </c>
    </row>
    <row r="19" spans="1:12" s="101" customFormat="1" ht="13.5">
      <c r="A19" s="511" t="s">
        <v>36</v>
      </c>
      <c r="B19" s="512"/>
      <c r="C19" s="512"/>
      <c r="D19" s="125"/>
      <c r="E19" s="240"/>
      <c r="F19" s="154">
        <f t="shared" si="0"/>
        <v>0</v>
      </c>
      <c r="G19" s="145"/>
      <c r="H19" s="366"/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2"/>
      <c r="D20" s="125"/>
      <c r="E20" s="241"/>
      <c r="F20" s="154">
        <f t="shared" si="0"/>
        <v>0</v>
      </c>
      <c r="G20" s="145"/>
      <c r="H20" s="367"/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1"/>
      <c r="D21" s="125">
        <f>D22+D23+D24+D25</f>
        <v>791</v>
      </c>
      <c r="E21" s="240">
        <f>E22+E23+E24+E25</f>
        <v>403</v>
      </c>
      <c r="F21" s="154">
        <f t="shared" si="0"/>
        <v>-388</v>
      </c>
      <c r="G21" s="145">
        <f t="shared" si="3"/>
        <v>0.5094816687737042</v>
      </c>
      <c r="H21" s="366">
        <v>410</v>
      </c>
      <c r="I21" s="128"/>
      <c r="J21" s="156">
        <f t="shared" si="1"/>
        <v>410</v>
      </c>
      <c r="K21" s="144">
        <f t="shared" si="2"/>
        <v>7</v>
      </c>
      <c r="L21" s="150">
        <f t="shared" si="4"/>
        <v>1.0173697270471465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1"/>
      <c r="D22" s="125">
        <v>791</v>
      </c>
      <c r="E22" s="240">
        <v>249</v>
      </c>
      <c r="F22" s="154">
        <f t="shared" si="0"/>
        <v>-542</v>
      </c>
      <c r="G22" s="145">
        <f t="shared" si="3"/>
        <v>0.3147914032869785</v>
      </c>
      <c r="H22" s="366">
        <v>110</v>
      </c>
      <c r="I22" s="128"/>
      <c r="J22" s="156">
        <f t="shared" si="1"/>
        <v>110</v>
      </c>
      <c r="K22" s="144">
        <f t="shared" si="2"/>
        <v>-139</v>
      </c>
      <c r="L22" s="150">
        <f t="shared" si="4"/>
        <v>0.44176706827309237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1"/>
      <c r="D23" s="125"/>
      <c r="E23" s="240"/>
      <c r="F23" s="154">
        <f t="shared" si="0"/>
        <v>0</v>
      </c>
      <c r="G23" s="145"/>
      <c r="H23" s="366">
        <v>300</v>
      </c>
      <c r="I23" s="128"/>
      <c r="J23" s="156">
        <f t="shared" si="1"/>
        <v>300</v>
      </c>
      <c r="K23" s="144">
        <f t="shared" si="2"/>
        <v>300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1"/>
      <c r="D24" s="125"/>
      <c r="E24" s="240">
        <v>154</v>
      </c>
      <c r="F24" s="154">
        <f t="shared" si="0"/>
        <v>154</v>
      </c>
      <c r="G24" s="145"/>
      <c r="H24" s="366"/>
      <c r="I24" s="128"/>
      <c r="J24" s="156">
        <f t="shared" si="1"/>
        <v>0</v>
      </c>
      <c r="K24" s="144">
        <f t="shared" si="2"/>
        <v>-154</v>
      </c>
      <c r="L24" s="150">
        <f t="shared" si="4"/>
        <v>0</v>
      </c>
    </row>
    <row r="25" spans="1:12" s="101" customFormat="1" ht="13.5">
      <c r="A25" s="520" t="s">
        <v>163</v>
      </c>
      <c r="B25" s="521"/>
      <c r="C25" s="521"/>
      <c r="D25" s="125"/>
      <c r="E25" s="240"/>
      <c r="F25" s="154">
        <f t="shared" si="0"/>
        <v>0</v>
      </c>
      <c r="G25" s="145"/>
      <c r="H25" s="366"/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8"/>
      <c r="D26" s="125">
        <f>D27+D28</f>
        <v>12</v>
      </c>
      <c r="E26" s="240">
        <f>E27+E28</f>
        <v>10</v>
      </c>
      <c r="F26" s="154">
        <f t="shared" si="0"/>
        <v>-2</v>
      </c>
      <c r="G26" s="145">
        <f t="shared" si="3"/>
        <v>0.8333333333333334</v>
      </c>
      <c r="H26" s="366">
        <f>H27+H28</f>
        <v>10</v>
      </c>
      <c r="I26" s="128"/>
      <c r="J26" s="156">
        <f t="shared" si="1"/>
        <v>10</v>
      </c>
      <c r="K26" s="144">
        <f t="shared" si="2"/>
        <v>0</v>
      </c>
      <c r="L26" s="150">
        <f t="shared" si="4"/>
        <v>1</v>
      </c>
    </row>
    <row r="27" spans="1:12" s="101" customFormat="1" ht="13.5">
      <c r="A27" s="511" t="s">
        <v>40</v>
      </c>
      <c r="B27" s="512"/>
      <c r="C27" s="512"/>
      <c r="D27" s="125">
        <v>12</v>
      </c>
      <c r="E27" s="240">
        <v>10</v>
      </c>
      <c r="F27" s="154">
        <f t="shared" si="0"/>
        <v>-2</v>
      </c>
      <c r="G27" s="145">
        <f t="shared" si="3"/>
        <v>0.8333333333333334</v>
      </c>
      <c r="H27" s="366">
        <v>10</v>
      </c>
      <c r="I27" s="128"/>
      <c r="J27" s="156">
        <f t="shared" si="1"/>
        <v>10</v>
      </c>
      <c r="K27" s="144">
        <f t="shared" si="2"/>
        <v>0</v>
      </c>
      <c r="L27" s="150">
        <f t="shared" si="4"/>
        <v>1</v>
      </c>
    </row>
    <row r="28" spans="1:12" s="101" customFormat="1" ht="13.5">
      <c r="A28" s="511" t="s">
        <v>41</v>
      </c>
      <c r="B28" s="512"/>
      <c r="C28" s="512"/>
      <c r="D28" s="125"/>
      <c r="E28" s="240"/>
      <c r="F28" s="154">
        <f t="shared" si="0"/>
        <v>0</v>
      </c>
      <c r="G28" s="145"/>
      <c r="H28" s="366"/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8"/>
      <c r="D29" s="125">
        <f>D30+D31+D32+D33</f>
        <v>13478</v>
      </c>
      <c r="E29" s="241">
        <f>E30+E31+E32+E33</f>
        <v>10875</v>
      </c>
      <c r="F29" s="154">
        <f t="shared" si="0"/>
        <v>-2603</v>
      </c>
      <c r="G29" s="145">
        <f t="shared" si="3"/>
        <v>0.8068704555572044</v>
      </c>
      <c r="H29" s="367">
        <f>H30+H31+H32+H33</f>
        <v>8919</v>
      </c>
      <c r="I29" s="123"/>
      <c r="J29" s="156">
        <f t="shared" si="1"/>
        <v>8919</v>
      </c>
      <c r="K29" s="144">
        <f t="shared" si="2"/>
        <v>-1956</v>
      </c>
      <c r="L29" s="150">
        <f t="shared" si="4"/>
        <v>0.8201379310344827</v>
      </c>
    </row>
    <row r="30" spans="1:14" s="101" customFormat="1" ht="13.5">
      <c r="A30" s="514" t="s">
        <v>164</v>
      </c>
      <c r="B30" s="515"/>
      <c r="C30" s="515"/>
      <c r="D30" s="131">
        <v>4037</v>
      </c>
      <c r="E30" s="242">
        <v>2767</v>
      </c>
      <c r="F30" s="155">
        <f t="shared" si="0"/>
        <v>-1270</v>
      </c>
      <c r="G30" s="147">
        <f t="shared" si="3"/>
        <v>0.685409957889522</v>
      </c>
      <c r="H30" s="363">
        <v>1397</v>
      </c>
      <c r="I30" s="133"/>
      <c r="J30" s="157">
        <f t="shared" si="1"/>
        <v>1397</v>
      </c>
      <c r="K30" s="146">
        <f t="shared" si="2"/>
        <v>-1370</v>
      </c>
      <c r="L30" s="151">
        <f t="shared" si="4"/>
        <v>0.5048789302493676</v>
      </c>
      <c r="N30" s="129"/>
    </row>
    <row r="31" spans="1:12" s="101" customFormat="1" ht="13.5">
      <c r="A31" s="514" t="s">
        <v>43</v>
      </c>
      <c r="B31" s="515"/>
      <c r="C31" s="515"/>
      <c r="D31" s="125">
        <v>9080</v>
      </c>
      <c r="E31" s="240">
        <v>7746</v>
      </c>
      <c r="F31" s="154">
        <f t="shared" si="0"/>
        <v>-1334</v>
      </c>
      <c r="G31" s="145">
        <f t="shared" si="3"/>
        <v>0.8530837004405286</v>
      </c>
      <c r="H31" s="127">
        <v>6706</v>
      </c>
      <c r="I31" s="128"/>
      <c r="J31" s="156">
        <f t="shared" si="1"/>
        <v>6706</v>
      </c>
      <c r="K31" s="144">
        <f t="shared" si="2"/>
        <v>-1040</v>
      </c>
      <c r="L31" s="150">
        <f t="shared" si="4"/>
        <v>0.86573715466047</v>
      </c>
    </row>
    <row r="32" spans="1:12" s="101" customFormat="1" ht="13.5">
      <c r="A32" s="511" t="s">
        <v>44</v>
      </c>
      <c r="B32" s="512"/>
      <c r="C32" s="512"/>
      <c r="D32" s="138"/>
      <c r="E32" s="241"/>
      <c r="F32" s="154">
        <f t="shared" si="0"/>
        <v>0</v>
      </c>
      <c r="G32" s="145"/>
      <c r="H32" s="122"/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514" t="s">
        <v>45</v>
      </c>
      <c r="B33" s="515"/>
      <c r="C33" s="515"/>
      <c r="D33" s="153">
        <v>361</v>
      </c>
      <c r="E33" s="243">
        <v>362</v>
      </c>
      <c r="F33" s="154">
        <f t="shared" si="0"/>
        <v>1</v>
      </c>
      <c r="G33" s="145">
        <f t="shared" si="3"/>
        <v>1.002770083102493</v>
      </c>
      <c r="H33" s="158">
        <v>816</v>
      </c>
      <c r="I33" s="159"/>
      <c r="J33" s="160">
        <f t="shared" si="1"/>
        <v>816</v>
      </c>
      <c r="K33" s="161">
        <f t="shared" si="2"/>
        <v>454</v>
      </c>
      <c r="L33" s="162">
        <f t="shared" si="4"/>
        <v>2.25414364640884</v>
      </c>
      <c r="N33" s="129"/>
    </row>
    <row r="34" spans="1:12" s="101" customFormat="1" ht="14.25" thickBot="1">
      <c r="A34" s="523" t="s">
        <v>46</v>
      </c>
      <c r="B34" s="524"/>
      <c r="C34" s="524"/>
      <c r="D34" s="171">
        <f>D7+D18+D26+D29</f>
        <v>36547.689999999995</v>
      </c>
      <c r="E34" s="244">
        <f>E7+E18+E26+E29</f>
        <v>34606</v>
      </c>
      <c r="F34" s="173">
        <f t="shared" si="0"/>
        <v>-1941.689999999995</v>
      </c>
      <c r="G34" s="174">
        <f t="shared" si="3"/>
        <v>0.9468724288730698</v>
      </c>
      <c r="H34" s="172">
        <f>H7+H18+H26+H29</f>
        <v>31042</v>
      </c>
      <c r="I34" s="172">
        <f>I7+I18+I26+I29</f>
        <v>1350</v>
      </c>
      <c r="J34" s="175">
        <f t="shared" si="1"/>
        <v>32392</v>
      </c>
      <c r="K34" s="173">
        <f t="shared" si="2"/>
        <v>-2214</v>
      </c>
      <c r="L34" s="176">
        <f t="shared" si="4"/>
        <v>0.9360226550309195</v>
      </c>
    </row>
    <row r="35" spans="1:12" s="101" customFormat="1" ht="13.5">
      <c r="A35" s="526" t="s">
        <v>47</v>
      </c>
      <c r="B35" s="527"/>
      <c r="C35" s="527"/>
      <c r="D35" s="135">
        <f>D36+D37+D38+D39+D40+D41+D42+D43+D44+D45</f>
        <v>6493</v>
      </c>
      <c r="E35" s="136">
        <f>E36+E37+E38+E39+E40+E41+E42+E43+E44+E45</f>
        <v>4962</v>
      </c>
      <c r="F35" s="148">
        <f t="shared" si="0"/>
        <v>-1531</v>
      </c>
      <c r="G35" s="149">
        <f t="shared" si="3"/>
        <v>0.7642076081934391</v>
      </c>
      <c r="H35" s="137">
        <f>H36+H37+H38+H39+H40+H41+H42+H43+H44+H45</f>
        <v>4315</v>
      </c>
      <c r="I35" s="137">
        <f>I36+I37+I38+I39+I40+I41+I42+I43+I44+I45</f>
        <v>800</v>
      </c>
      <c r="J35" s="134">
        <f t="shared" si="1"/>
        <v>5115</v>
      </c>
      <c r="K35" s="148">
        <f t="shared" si="2"/>
        <v>153</v>
      </c>
      <c r="L35" s="152">
        <f t="shared" si="4"/>
        <v>1.0308343409915357</v>
      </c>
    </row>
    <row r="36" spans="1:12" s="101" customFormat="1" ht="13.5">
      <c r="A36" s="514" t="s">
        <v>48</v>
      </c>
      <c r="B36" s="515"/>
      <c r="C36" s="515"/>
      <c r="D36" s="125">
        <v>3313</v>
      </c>
      <c r="E36" s="126">
        <v>3469</v>
      </c>
      <c r="F36" s="144">
        <f t="shared" si="0"/>
        <v>156</v>
      </c>
      <c r="G36" s="145">
        <f t="shared" si="3"/>
        <v>1.047087232115907</v>
      </c>
      <c r="H36" s="127">
        <v>2750</v>
      </c>
      <c r="I36" s="128">
        <v>750</v>
      </c>
      <c r="J36" s="124">
        <f t="shared" si="1"/>
        <v>3500</v>
      </c>
      <c r="K36" s="144">
        <f t="shared" si="2"/>
        <v>31</v>
      </c>
      <c r="L36" s="150">
        <f t="shared" si="4"/>
        <v>1.0089362928797925</v>
      </c>
    </row>
    <row r="37" spans="1:12" s="101" customFormat="1" ht="13.5">
      <c r="A37" s="514" t="s">
        <v>49</v>
      </c>
      <c r="B37" s="515"/>
      <c r="C37" s="515"/>
      <c r="D37" s="125">
        <v>50</v>
      </c>
      <c r="E37" s="126">
        <v>48</v>
      </c>
      <c r="F37" s="144">
        <f t="shared" si="0"/>
        <v>-2</v>
      </c>
      <c r="G37" s="145">
        <f t="shared" si="3"/>
        <v>0.96</v>
      </c>
      <c r="H37" s="127">
        <v>50</v>
      </c>
      <c r="I37" s="128"/>
      <c r="J37" s="124">
        <f t="shared" si="1"/>
        <v>50</v>
      </c>
      <c r="K37" s="144">
        <f t="shared" si="2"/>
        <v>2</v>
      </c>
      <c r="L37" s="150">
        <f t="shared" si="4"/>
        <v>1.0416666666666667</v>
      </c>
    </row>
    <row r="38" spans="1:12" s="101" customFormat="1" ht="13.5">
      <c r="A38" s="514" t="s">
        <v>50</v>
      </c>
      <c r="B38" s="515"/>
      <c r="C38" s="515"/>
      <c r="D38" s="138">
        <v>687</v>
      </c>
      <c r="E38" s="130">
        <v>45</v>
      </c>
      <c r="F38" s="144">
        <f t="shared" si="0"/>
        <v>-642</v>
      </c>
      <c r="G38" s="145">
        <f t="shared" si="3"/>
        <v>0.06550218340611354</v>
      </c>
      <c r="H38" s="122">
        <v>100</v>
      </c>
      <c r="I38" s="123"/>
      <c r="J38" s="124">
        <f t="shared" si="1"/>
        <v>100</v>
      </c>
      <c r="K38" s="144">
        <f t="shared" si="2"/>
        <v>55</v>
      </c>
      <c r="L38" s="150">
        <f t="shared" si="4"/>
        <v>2.2222222222222223</v>
      </c>
    </row>
    <row r="39" spans="1:12" s="101" customFormat="1" ht="13.5">
      <c r="A39" s="514" t="s">
        <v>51</v>
      </c>
      <c r="B39" s="515"/>
      <c r="C39" s="515"/>
      <c r="D39" s="125">
        <v>12</v>
      </c>
      <c r="E39" s="126">
        <v>13</v>
      </c>
      <c r="F39" s="144">
        <f t="shared" si="0"/>
        <v>1</v>
      </c>
      <c r="G39" s="145">
        <f t="shared" si="3"/>
        <v>1.0833333333333333</v>
      </c>
      <c r="H39" s="127">
        <v>15</v>
      </c>
      <c r="I39" s="128"/>
      <c r="J39" s="124">
        <f t="shared" si="1"/>
        <v>15</v>
      </c>
      <c r="K39" s="144">
        <f t="shared" si="2"/>
        <v>2</v>
      </c>
      <c r="L39" s="150">
        <f t="shared" si="4"/>
        <v>1.1538461538461537</v>
      </c>
    </row>
    <row r="40" spans="1:12" s="101" customFormat="1" ht="13.5">
      <c r="A40" s="514" t="s">
        <v>52</v>
      </c>
      <c r="B40" s="515"/>
      <c r="C40" s="515"/>
      <c r="D40" s="125"/>
      <c r="E40" s="126">
        <v>10</v>
      </c>
      <c r="F40" s="144">
        <f t="shared" si="0"/>
        <v>10</v>
      </c>
      <c r="G40" s="145"/>
      <c r="H40" s="127">
        <v>10</v>
      </c>
      <c r="I40" s="128"/>
      <c r="J40" s="124">
        <f t="shared" si="1"/>
        <v>10</v>
      </c>
      <c r="K40" s="144">
        <f t="shared" si="2"/>
        <v>0</v>
      </c>
      <c r="L40" s="150">
        <f t="shared" si="4"/>
        <v>1</v>
      </c>
    </row>
    <row r="41" spans="1:14" s="101" customFormat="1" ht="13.5">
      <c r="A41" s="514" t="s">
        <v>53</v>
      </c>
      <c r="B41" s="515"/>
      <c r="C41" s="515"/>
      <c r="D41" s="125">
        <v>42</v>
      </c>
      <c r="E41" s="126">
        <v>42</v>
      </c>
      <c r="F41" s="144">
        <f t="shared" si="0"/>
        <v>0</v>
      </c>
      <c r="G41" s="145">
        <f t="shared" si="3"/>
        <v>1</v>
      </c>
      <c r="H41" s="127">
        <v>40</v>
      </c>
      <c r="I41" s="128"/>
      <c r="J41" s="124">
        <f t="shared" si="1"/>
        <v>40</v>
      </c>
      <c r="K41" s="144">
        <f t="shared" si="2"/>
        <v>-2</v>
      </c>
      <c r="L41" s="150">
        <f t="shared" si="4"/>
        <v>0.9523809523809523</v>
      </c>
      <c r="N41" s="129"/>
    </row>
    <row r="42" spans="1:12" s="101" customFormat="1" ht="13.5">
      <c r="A42" s="514" t="s">
        <v>54</v>
      </c>
      <c r="B42" s="515"/>
      <c r="C42" s="515"/>
      <c r="D42" s="125"/>
      <c r="E42" s="126">
        <v>299</v>
      </c>
      <c r="F42" s="144">
        <f t="shared" si="0"/>
        <v>299</v>
      </c>
      <c r="G42" s="145"/>
      <c r="H42" s="127">
        <v>270</v>
      </c>
      <c r="I42" s="128">
        <v>30</v>
      </c>
      <c r="J42" s="124">
        <f t="shared" si="1"/>
        <v>300</v>
      </c>
      <c r="K42" s="144">
        <f t="shared" si="2"/>
        <v>1</v>
      </c>
      <c r="L42" s="150">
        <f t="shared" si="4"/>
        <v>1.0033444816053512</v>
      </c>
    </row>
    <row r="43" spans="1:14" s="101" customFormat="1" ht="13.5">
      <c r="A43" s="514" t="s">
        <v>166</v>
      </c>
      <c r="B43" s="515"/>
      <c r="C43" s="515"/>
      <c r="D43" s="125"/>
      <c r="E43" s="126"/>
      <c r="F43" s="144">
        <f t="shared" si="0"/>
        <v>0</v>
      </c>
      <c r="G43" s="145"/>
      <c r="H43" s="127"/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5"/>
      <c r="D44" s="125"/>
      <c r="E44" s="126"/>
      <c r="F44" s="144">
        <f t="shared" si="0"/>
        <v>0</v>
      </c>
      <c r="G44" s="145"/>
      <c r="H44" s="127">
        <v>60</v>
      </c>
      <c r="I44" s="128"/>
      <c r="J44" s="124">
        <f t="shared" si="1"/>
        <v>60</v>
      </c>
      <c r="K44" s="144">
        <f t="shared" si="2"/>
        <v>60</v>
      </c>
      <c r="L44" s="150"/>
    </row>
    <row r="45" spans="1:12" s="101" customFormat="1" ht="13.5">
      <c r="A45" s="514" t="s">
        <v>55</v>
      </c>
      <c r="B45" s="515"/>
      <c r="C45" s="515"/>
      <c r="D45" s="125">
        <v>2389</v>
      </c>
      <c r="E45" s="126">
        <v>1036</v>
      </c>
      <c r="F45" s="144">
        <f t="shared" si="0"/>
        <v>-1353</v>
      </c>
      <c r="G45" s="145">
        <f t="shared" si="3"/>
        <v>0.43365424863959817</v>
      </c>
      <c r="H45" s="127">
        <v>1020</v>
      </c>
      <c r="I45" s="128">
        <v>20</v>
      </c>
      <c r="J45" s="124">
        <f t="shared" si="1"/>
        <v>1040</v>
      </c>
      <c r="K45" s="144">
        <f t="shared" si="2"/>
        <v>4</v>
      </c>
      <c r="L45" s="150">
        <f t="shared" si="4"/>
        <v>1.0038610038610039</v>
      </c>
    </row>
    <row r="46" spans="1:14" s="101" customFormat="1" ht="13.5">
      <c r="A46" s="526" t="s">
        <v>56</v>
      </c>
      <c r="B46" s="527"/>
      <c r="C46" s="527"/>
      <c r="D46" s="125">
        <f>D47+D48+D49+D50</f>
        <v>3104</v>
      </c>
      <c r="E46" s="126">
        <f>E47+E48+E49+E50</f>
        <v>2754</v>
      </c>
      <c r="F46" s="144">
        <f t="shared" si="0"/>
        <v>-350</v>
      </c>
      <c r="G46" s="145">
        <f t="shared" si="3"/>
        <v>0.8872422680412371</v>
      </c>
      <c r="H46" s="127">
        <f>H47+H48+H49+H50</f>
        <v>2750</v>
      </c>
      <c r="I46" s="127">
        <f>I47+I48+I49+I50</f>
        <v>140</v>
      </c>
      <c r="J46" s="124">
        <f t="shared" si="1"/>
        <v>2890</v>
      </c>
      <c r="K46" s="144">
        <f t="shared" si="2"/>
        <v>136</v>
      </c>
      <c r="L46" s="150">
        <f t="shared" si="4"/>
        <v>1.0493827160493827</v>
      </c>
      <c r="N46" s="129"/>
    </row>
    <row r="47" spans="1:12" s="101" customFormat="1" ht="13.5">
      <c r="A47" s="514" t="s">
        <v>57</v>
      </c>
      <c r="B47" s="515"/>
      <c r="C47" s="515"/>
      <c r="D47" s="125">
        <v>1565</v>
      </c>
      <c r="E47" s="126">
        <v>1784</v>
      </c>
      <c r="F47" s="144">
        <f t="shared" si="0"/>
        <v>219</v>
      </c>
      <c r="G47" s="145">
        <f t="shared" si="3"/>
        <v>1.1399361022364218</v>
      </c>
      <c r="H47" s="127">
        <v>1840</v>
      </c>
      <c r="I47" s="128">
        <v>80</v>
      </c>
      <c r="J47" s="124">
        <f t="shared" si="1"/>
        <v>1920</v>
      </c>
      <c r="K47" s="144">
        <f t="shared" si="2"/>
        <v>136</v>
      </c>
      <c r="L47" s="150">
        <f t="shared" si="4"/>
        <v>1.0762331838565022</v>
      </c>
    </row>
    <row r="48" spans="1:12" s="101" customFormat="1" ht="13.5">
      <c r="A48" s="514" t="s">
        <v>58</v>
      </c>
      <c r="B48" s="515"/>
      <c r="C48" s="515"/>
      <c r="D48" s="125">
        <v>1159</v>
      </c>
      <c r="E48" s="126">
        <v>649</v>
      </c>
      <c r="F48" s="144">
        <f t="shared" si="0"/>
        <v>-510</v>
      </c>
      <c r="G48" s="145">
        <f t="shared" si="3"/>
        <v>0.5599654874892148</v>
      </c>
      <c r="H48" s="127">
        <v>610</v>
      </c>
      <c r="I48" s="128">
        <v>40</v>
      </c>
      <c r="J48" s="124">
        <f t="shared" si="1"/>
        <v>650</v>
      </c>
      <c r="K48" s="144">
        <f t="shared" si="2"/>
        <v>1</v>
      </c>
      <c r="L48" s="150">
        <f t="shared" si="4"/>
        <v>1.0015408320493067</v>
      </c>
    </row>
    <row r="49" spans="1:12" s="101" customFormat="1" ht="13.5">
      <c r="A49" s="514" t="s">
        <v>59</v>
      </c>
      <c r="B49" s="515"/>
      <c r="C49" s="515"/>
      <c r="D49" s="125">
        <v>380</v>
      </c>
      <c r="E49" s="126">
        <v>321</v>
      </c>
      <c r="F49" s="144">
        <f t="shared" si="0"/>
        <v>-59</v>
      </c>
      <c r="G49" s="145">
        <f t="shared" si="3"/>
        <v>0.8447368421052631</v>
      </c>
      <c r="H49" s="127">
        <v>300</v>
      </c>
      <c r="I49" s="128">
        <v>20</v>
      </c>
      <c r="J49" s="124">
        <f t="shared" si="1"/>
        <v>320</v>
      </c>
      <c r="K49" s="144">
        <f t="shared" si="2"/>
        <v>-1</v>
      </c>
      <c r="L49" s="150">
        <f t="shared" si="4"/>
        <v>0.9968847352024922</v>
      </c>
    </row>
    <row r="50" spans="1:12" s="101" customFormat="1" ht="13.5">
      <c r="A50" s="514" t="s">
        <v>168</v>
      </c>
      <c r="B50" s="515"/>
      <c r="C50" s="515"/>
      <c r="D50" s="125"/>
      <c r="E50" s="126"/>
      <c r="F50" s="144">
        <f t="shared" si="0"/>
        <v>0</v>
      </c>
      <c r="G50" s="145"/>
      <c r="H50" s="127"/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7"/>
      <c r="D51" s="125"/>
      <c r="E51" s="126"/>
      <c r="F51" s="144">
        <f t="shared" si="0"/>
        <v>0</v>
      </c>
      <c r="G51" s="145"/>
      <c r="H51" s="127"/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7"/>
      <c r="D52" s="125"/>
      <c r="E52" s="126"/>
      <c r="F52" s="144">
        <f t="shared" si="0"/>
        <v>0</v>
      </c>
      <c r="G52" s="145"/>
      <c r="H52" s="127"/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7"/>
      <c r="D53" s="125">
        <f>D54+D55+D56</f>
        <v>236</v>
      </c>
      <c r="E53" s="126">
        <f>E54+E55+E56</f>
        <v>75</v>
      </c>
      <c r="F53" s="144">
        <f t="shared" si="0"/>
        <v>-161</v>
      </c>
      <c r="G53" s="145">
        <f t="shared" si="3"/>
        <v>0.3177966101694915</v>
      </c>
      <c r="H53" s="127">
        <f>H54+H55+H56</f>
        <v>290</v>
      </c>
      <c r="I53" s="128">
        <f>I54+I55+I56</f>
        <v>10</v>
      </c>
      <c r="J53" s="124">
        <f t="shared" si="1"/>
        <v>300</v>
      </c>
      <c r="K53" s="144">
        <f t="shared" si="2"/>
        <v>225</v>
      </c>
      <c r="L53" s="150">
        <f t="shared" si="4"/>
        <v>4</v>
      </c>
    </row>
    <row r="54" spans="1:12" s="101" customFormat="1" ht="13.5">
      <c r="A54" s="529" t="s">
        <v>63</v>
      </c>
      <c r="B54" s="530"/>
      <c r="C54" s="530"/>
      <c r="D54" s="125">
        <v>199</v>
      </c>
      <c r="E54" s="126">
        <v>33</v>
      </c>
      <c r="F54" s="144">
        <f t="shared" si="0"/>
        <v>-166</v>
      </c>
      <c r="G54" s="145">
        <f t="shared" si="3"/>
        <v>0.1658291457286432</v>
      </c>
      <c r="H54" s="127">
        <v>110</v>
      </c>
      <c r="I54" s="128"/>
      <c r="J54" s="124">
        <f t="shared" si="1"/>
        <v>110</v>
      </c>
      <c r="K54" s="144">
        <f t="shared" si="2"/>
        <v>77</v>
      </c>
      <c r="L54" s="150">
        <f t="shared" si="4"/>
        <v>3.3333333333333335</v>
      </c>
    </row>
    <row r="55" spans="1:12" s="101" customFormat="1" ht="13.5">
      <c r="A55" s="529" t="s">
        <v>169</v>
      </c>
      <c r="B55" s="530"/>
      <c r="C55" s="530"/>
      <c r="D55" s="125">
        <v>26</v>
      </c>
      <c r="E55" s="126">
        <v>35</v>
      </c>
      <c r="F55" s="144">
        <f t="shared" si="0"/>
        <v>9</v>
      </c>
      <c r="G55" s="145">
        <f t="shared" si="3"/>
        <v>1.3461538461538463</v>
      </c>
      <c r="H55" s="127">
        <v>170</v>
      </c>
      <c r="I55" s="128">
        <v>10</v>
      </c>
      <c r="J55" s="124">
        <f t="shared" si="1"/>
        <v>180</v>
      </c>
      <c r="K55" s="144">
        <f t="shared" si="2"/>
        <v>145</v>
      </c>
      <c r="L55" s="150">
        <f t="shared" si="4"/>
        <v>5.142857142857143</v>
      </c>
    </row>
    <row r="56" spans="1:12" s="101" customFormat="1" ht="13.5">
      <c r="A56" s="529" t="s">
        <v>133</v>
      </c>
      <c r="B56" s="530"/>
      <c r="C56" s="530"/>
      <c r="D56" s="125">
        <v>11</v>
      </c>
      <c r="E56" s="126">
        <v>7</v>
      </c>
      <c r="F56" s="144">
        <f t="shared" si="0"/>
        <v>-4</v>
      </c>
      <c r="G56" s="145">
        <f t="shared" si="3"/>
        <v>0.6363636363636364</v>
      </c>
      <c r="H56" s="127">
        <v>10</v>
      </c>
      <c r="I56" s="128"/>
      <c r="J56" s="124">
        <f t="shared" si="1"/>
        <v>10</v>
      </c>
      <c r="K56" s="144">
        <f t="shared" si="2"/>
        <v>3</v>
      </c>
      <c r="L56" s="150">
        <f t="shared" si="4"/>
        <v>1.4285714285714286</v>
      </c>
    </row>
    <row r="57" spans="1:12" s="101" customFormat="1" ht="13.5">
      <c r="A57" s="526" t="s">
        <v>64</v>
      </c>
      <c r="B57" s="527"/>
      <c r="C57" s="527"/>
      <c r="D57" s="125">
        <v>87</v>
      </c>
      <c r="E57" s="126">
        <v>72</v>
      </c>
      <c r="F57" s="144">
        <f t="shared" si="0"/>
        <v>-15</v>
      </c>
      <c r="G57" s="145">
        <f t="shared" si="3"/>
        <v>0.8275862068965517</v>
      </c>
      <c r="H57" s="127">
        <v>80</v>
      </c>
      <c r="I57" s="128"/>
      <c r="J57" s="124">
        <f t="shared" si="1"/>
        <v>80</v>
      </c>
      <c r="K57" s="144">
        <f t="shared" si="2"/>
        <v>8</v>
      </c>
      <c r="L57" s="150">
        <f t="shared" si="4"/>
        <v>1.1111111111111112</v>
      </c>
    </row>
    <row r="58" spans="1:12" s="101" customFormat="1" ht="13.5">
      <c r="A58" s="526" t="s">
        <v>65</v>
      </c>
      <c r="B58" s="527"/>
      <c r="C58" s="527"/>
      <c r="D58" s="125">
        <v>30</v>
      </c>
      <c r="E58" s="126">
        <v>7</v>
      </c>
      <c r="F58" s="144">
        <f t="shared" si="0"/>
        <v>-23</v>
      </c>
      <c r="G58" s="145">
        <f t="shared" si="3"/>
        <v>0.23333333333333334</v>
      </c>
      <c r="H58" s="127">
        <v>10</v>
      </c>
      <c r="I58" s="128"/>
      <c r="J58" s="124">
        <f t="shared" si="1"/>
        <v>10</v>
      </c>
      <c r="K58" s="144">
        <f t="shared" si="2"/>
        <v>3</v>
      </c>
      <c r="L58" s="150">
        <f t="shared" si="4"/>
        <v>1.4285714285714286</v>
      </c>
    </row>
    <row r="59" spans="1:14" s="101" customFormat="1" ht="13.5">
      <c r="A59" s="526" t="s">
        <v>66</v>
      </c>
      <c r="B59" s="527"/>
      <c r="C59" s="527"/>
      <c r="D59" s="125">
        <f>D60+D61+D62+D63+D64+D65+D66+D67+D68</f>
        <v>1774</v>
      </c>
      <c r="E59" s="126">
        <f>E60+E61+E62+E63+E64+E65+E66+E67+E68</f>
        <v>1436</v>
      </c>
      <c r="F59" s="144">
        <f t="shared" si="0"/>
        <v>-338</v>
      </c>
      <c r="G59" s="145">
        <f t="shared" si="3"/>
        <v>0.8094701240135288</v>
      </c>
      <c r="H59" s="127">
        <f>H60+H61+H62+H63+H64+H65+H66+H67+H68</f>
        <v>1540</v>
      </c>
      <c r="I59" s="128">
        <f>I60+I61+I62+I63+I64+I65+I66+I67+I68</f>
        <v>5</v>
      </c>
      <c r="J59" s="124">
        <f t="shared" si="1"/>
        <v>1545</v>
      </c>
      <c r="K59" s="144">
        <f t="shared" si="2"/>
        <v>109</v>
      </c>
      <c r="L59" s="150">
        <f t="shared" si="4"/>
        <v>1.0759052924791086</v>
      </c>
      <c r="N59" s="129"/>
    </row>
    <row r="60" spans="1:12" s="101" customFormat="1" ht="13.5">
      <c r="A60" s="514" t="s">
        <v>67</v>
      </c>
      <c r="B60" s="515"/>
      <c r="C60" s="515"/>
      <c r="D60" s="125">
        <v>88</v>
      </c>
      <c r="E60" s="126">
        <v>62</v>
      </c>
      <c r="F60" s="144">
        <f t="shared" si="0"/>
        <v>-26</v>
      </c>
      <c r="G60" s="145">
        <f t="shared" si="3"/>
        <v>0.7045454545454546</v>
      </c>
      <c r="H60" s="127">
        <v>65</v>
      </c>
      <c r="I60" s="128"/>
      <c r="J60" s="124">
        <f t="shared" si="1"/>
        <v>65</v>
      </c>
      <c r="K60" s="144">
        <f t="shared" si="2"/>
        <v>3</v>
      </c>
      <c r="L60" s="150">
        <f t="shared" si="4"/>
        <v>1.0483870967741935</v>
      </c>
    </row>
    <row r="61" spans="1:12" s="101" customFormat="1" ht="13.5">
      <c r="A61" s="514" t="s">
        <v>68</v>
      </c>
      <c r="B61" s="515"/>
      <c r="C61" s="515"/>
      <c r="D61" s="125"/>
      <c r="E61" s="126">
        <v>7</v>
      </c>
      <c r="F61" s="144">
        <f t="shared" si="0"/>
        <v>7</v>
      </c>
      <c r="G61" s="145"/>
      <c r="H61" s="127"/>
      <c r="I61" s="128"/>
      <c r="J61" s="124">
        <f t="shared" si="1"/>
        <v>0</v>
      </c>
      <c r="K61" s="144">
        <f t="shared" si="2"/>
        <v>-7</v>
      </c>
      <c r="L61" s="150">
        <f t="shared" si="4"/>
        <v>0</v>
      </c>
    </row>
    <row r="62" spans="1:12" s="101" customFormat="1" ht="13.5">
      <c r="A62" s="514" t="s">
        <v>69</v>
      </c>
      <c r="B62" s="515"/>
      <c r="C62" s="515"/>
      <c r="D62" s="125"/>
      <c r="E62" s="126"/>
      <c r="F62" s="144">
        <f t="shared" si="0"/>
        <v>0</v>
      </c>
      <c r="G62" s="145"/>
      <c r="H62" s="127"/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5"/>
      <c r="D63" s="125"/>
      <c r="E63" s="126"/>
      <c r="F63" s="144">
        <f t="shared" si="0"/>
        <v>0</v>
      </c>
      <c r="G63" s="145"/>
      <c r="H63" s="127"/>
      <c r="I63" s="128"/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514" t="s">
        <v>71</v>
      </c>
      <c r="B64" s="515"/>
      <c r="C64" s="515"/>
      <c r="D64" s="125"/>
      <c r="E64" s="126"/>
      <c r="F64" s="144">
        <f t="shared" si="0"/>
        <v>0</v>
      </c>
      <c r="G64" s="145"/>
      <c r="H64" s="127"/>
      <c r="I64" s="128"/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5"/>
      <c r="D65" s="125">
        <v>515</v>
      </c>
      <c r="E65" s="126">
        <v>570</v>
      </c>
      <c r="F65" s="144">
        <f t="shared" si="0"/>
        <v>55</v>
      </c>
      <c r="G65" s="145">
        <f t="shared" si="3"/>
        <v>1.1067961165048543</v>
      </c>
      <c r="H65" s="127">
        <v>565</v>
      </c>
      <c r="I65" s="128">
        <v>5</v>
      </c>
      <c r="J65" s="124">
        <f t="shared" si="1"/>
        <v>570</v>
      </c>
      <c r="K65" s="144">
        <f t="shared" si="2"/>
        <v>0</v>
      </c>
      <c r="L65" s="150">
        <f t="shared" si="4"/>
        <v>1</v>
      </c>
    </row>
    <row r="66" spans="1:12" s="101" customFormat="1" ht="13.5">
      <c r="A66" s="514" t="s">
        <v>72</v>
      </c>
      <c r="B66" s="515"/>
      <c r="C66" s="515"/>
      <c r="D66" s="125"/>
      <c r="E66" s="126">
        <v>227</v>
      </c>
      <c r="F66" s="144">
        <f t="shared" si="0"/>
        <v>227</v>
      </c>
      <c r="G66" s="145"/>
      <c r="H66" s="127">
        <v>340</v>
      </c>
      <c r="I66" s="128"/>
      <c r="J66" s="124">
        <f t="shared" si="1"/>
        <v>340</v>
      </c>
      <c r="K66" s="144">
        <f t="shared" si="2"/>
        <v>113</v>
      </c>
      <c r="L66" s="150">
        <f t="shared" si="4"/>
        <v>1.497797356828194</v>
      </c>
    </row>
    <row r="67" spans="1:12" s="101" customFormat="1" ht="13.5">
      <c r="A67" s="514" t="s">
        <v>73</v>
      </c>
      <c r="B67" s="515"/>
      <c r="C67" s="515"/>
      <c r="D67" s="125">
        <v>1171</v>
      </c>
      <c r="E67" s="126">
        <v>570</v>
      </c>
      <c r="F67" s="144">
        <f t="shared" si="0"/>
        <v>-601</v>
      </c>
      <c r="G67" s="145">
        <f>E67/D67</f>
        <v>0.48676345004269855</v>
      </c>
      <c r="H67" s="127">
        <v>570</v>
      </c>
      <c r="I67" s="128"/>
      <c r="J67" s="124">
        <f t="shared" si="1"/>
        <v>570</v>
      </c>
      <c r="K67" s="144">
        <f t="shared" si="2"/>
        <v>0</v>
      </c>
      <c r="L67" s="150">
        <f t="shared" si="4"/>
        <v>1</v>
      </c>
    </row>
    <row r="68" spans="1:12" s="101" customFormat="1" ht="13.5">
      <c r="A68" s="514" t="s">
        <v>171</v>
      </c>
      <c r="B68" s="515"/>
      <c r="C68" s="515"/>
      <c r="D68" s="125"/>
      <c r="E68" s="126"/>
      <c r="F68" s="144">
        <f t="shared" si="0"/>
        <v>0</v>
      </c>
      <c r="G68" s="145"/>
      <c r="H68" s="127"/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7"/>
      <c r="D69" s="125">
        <f>D70+D74</f>
        <v>22163</v>
      </c>
      <c r="E69" s="126">
        <f>E70+E74</f>
        <v>22683</v>
      </c>
      <c r="F69" s="144">
        <f t="shared" si="0"/>
        <v>520</v>
      </c>
      <c r="G69" s="145">
        <f t="shared" si="3"/>
        <v>1.0234625276361504</v>
      </c>
      <c r="H69" s="127">
        <f>H70+H74</f>
        <v>21105</v>
      </c>
      <c r="I69" s="128">
        <f>I70+I74</f>
        <v>367</v>
      </c>
      <c r="J69" s="124">
        <f t="shared" si="1"/>
        <v>21472</v>
      </c>
      <c r="K69" s="144">
        <f t="shared" si="2"/>
        <v>-1211</v>
      </c>
      <c r="L69" s="150">
        <f t="shared" si="4"/>
        <v>0.9466120001763435</v>
      </c>
      <c r="N69" s="129"/>
    </row>
    <row r="70" spans="1:12" s="101" customFormat="1" ht="13.5">
      <c r="A70" s="514" t="s">
        <v>75</v>
      </c>
      <c r="B70" s="515"/>
      <c r="C70" s="515"/>
      <c r="D70" s="125">
        <f>D71+D73</f>
        <v>16309</v>
      </c>
      <c r="E70" s="126">
        <f>E71+E73</f>
        <v>16491</v>
      </c>
      <c r="F70" s="144">
        <f t="shared" si="0"/>
        <v>182</v>
      </c>
      <c r="G70" s="145">
        <f t="shared" si="3"/>
        <v>1.0111594824943282</v>
      </c>
      <c r="H70" s="127">
        <f>H71+H73</f>
        <v>15348</v>
      </c>
      <c r="I70" s="128">
        <f>I71+I73</f>
        <v>274</v>
      </c>
      <c r="J70" s="124">
        <f t="shared" si="1"/>
        <v>15622</v>
      </c>
      <c r="K70" s="144">
        <f t="shared" si="2"/>
        <v>-869</v>
      </c>
      <c r="L70" s="150">
        <f t="shared" si="4"/>
        <v>0.9473045903826329</v>
      </c>
    </row>
    <row r="71" spans="1:12" s="101" customFormat="1" ht="13.5">
      <c r="A71" s="514" t="s">
        <v>76</v>
      </c>
      <c r="B71" s="515"/>
      <c r="C71" s="515"/>
      <c r="D71" s="125">
        <v>16118</v>
      </c>
      <c r="E71" s="126">
        <v>16261</v>
      </c>
      <c r="F71" s="144">
        <f t="shared" si="0"/>
        <v>143</v>
      </c>
      <c r="G71" s="145">
        <f t="shared" si="3"/>
        <v>1.0088720684948504</v>
      </c>
      <c r="H71" s="127">
        <v>15128</v>
      </c>
      <c r="I71" s="128">
        <v>274</v>
      </c>
      <c r="J71" s="124">
        <f t="shared" si="1"/>
        <v>15402</v>
      </c>
      <c r="K71" s="144">
        <f t="shared" si="2"/>
        <v>-859</v>
      </c>
      <c r="L71" s="150">
        <f t="shared" si="4"/>
        <v>0.9471742205276428</v>
      </c>
    </row>
    <row r="72" spans="1:12" s="101" customFormat="1" ht="13.5">
      <c r="A72" s="514" t="s">
        <v>172</v>
      </c>
      <c r="B72" s="515"/>
      <c r="C72" s="515"/>
      <c r="D72" s="125">
        <v>16118</v>
      </c>
      <c r="E72" s="126">
        <v>16115</v>
      </c>
      <c r="F72" s="144">
        <f t="shared" si="0"/>
        <v>-3</v>
      </c>
      <c r="G72" s="145">
        <f t="shared" si="3"/>
        <v>0.9998138726889192</v>
      </c>
      <c r="H72" s="127">
        <v>15032</v>
      </c>
      <c r="I72" s="128">
        <v>270</v>
      </c>
      <c r="J72" s="124">
        <f>H72+I72</f>
        <v>15302</v>
      </c>
      <c r="K72" s="144">
        <f t="shared" si="2"/>
        <v>-813</v>
      </c>
      <c r="L72" s="150">
        <f t="shared" si="4"/>
        <v>0.9495501085944772</v>
      </c>
    </row>
    <row r="73" spans="1:14" s="101" customFormat="1" ht="13.5">
      <c r="A73" s="514" t="s">
        <v>77</v>
      </c>
      <c r="B73" s="515"/>
      <c r="C73" s="515"/>
      <c r="D73" s="125">
        <v>191</v>
      </c>
      <c r="E73" s="126">
        <v>230</v>
      </c>
      <c r="F73" s="144">
        <f t="shared" si="0"/>
        <v>39</v>
      </c>
      <c r="G73" s="145">
        <f t="shared" si="3"/>
        <v>1.2041884816753927</v>
      </c>
      <c r="H73" s="127">
        <v>220</v>
      </c>
      <c r="I73" s="128"/>
      <c r="J73" s="124">
        <f t="shared" si="1"/>
        <v>220</v>
      </c>
      <c r="K73" s="144">
        <f t="shared" si="2"/>
        <v>-10</v>
      </c>
      <c r="L73" s="150">
        <f t="shared" si="4"/>
        <v>0.9565217391304348</v>
      </c>
      <c r="N73" s="129"/>
    </row>
    <row r="74" spans="1:12" s="101" customFormat="1" ht="13.5">
      <c r="A74" s="514" t="s">
        <v>78</v>
      </c>
      <c r="B74" s="515"/>
      <c r="C74" s="515"/>
      <c r="D74" s="125">
        <v>5854</v>
      </c>
      <c r="E74" s="126">
        <v>6192</v>
      </c>
      <c r="F74" s="144">
        <f t="shared" si="0"/>
        <v>338</v>
      </c>
      <c r="G74" s="145">
        <f t="shared" si="3"/>
        <v>1.0577382985992483</v>
      </c>
      <c r="H74" s="127">
        <v>5757</v>
      </c>
      <c r="I74" s="128">
        <v>93</v>
      </c>
      <c r="J74" s="124">
        <f t="shared" si="1"/>
        <v>5850</v>
      </c>
      <c r="K74" s="144">
        <f t="shared" si="2"/>
        <v>-342</v>
      </c>
      <c r="L74" s="150">
        <f t="shared" si="4"/>
        <v>0.9447674418604651</v>
      </c>
    </row>
    <row r="75" spans="1:15" s="101" customFormat="1" ht="13.5">
      <c r="A75" s="526" t="s">
        <v>79</v>
      </c>
      <c r="B75" s="527"/>
      <c r="C75" s="527"/>
      <c r="D75" s="125"/>
      <c r="E75" s="126">
        <v>3</v>
      </c>
      <c r="F75" s="144">
        <f t="shared" si="0"/>
        <v>3</v>
      </c>
      <c r="G75" s="145"/>
      <c r="H75" s="127">
        <v>3</v>
      </c>
      <c r="I75" s="128"/>
      <c r="J75" s="124">
        <f t="shared" si="1"/>
        <v>3</v>
      </c>
      <c r="K75" s="144">
        <f t="shared" si="2"/>
        <v>0</v>
      </c>
      <c r="L75" s="150">
        <f t="shared" si="4"/>
        <v>1</v>
      </c>
      <c r="N75" s="129"/>
      <c r="O75" s="139"/>
    </row>
    <row r="76" spans="1:12" s="101" customFormat="1" ht="13.5">
      <c r="A76" s="514" t="s">
        <v>80</v>
      </c>
      <c r="B76" s="515"/>
      <c r="C76" s="515"/>
      <c r="D76" s="125"/>
      <c r="E76" s="126"/>
      <c r="F76" s="144">
        <f aca="true" t="shared" si="5" ref="F76:F90">E76-D76</f>
        <v>0</v>
      </c>
      <c r="G76" s="145"/>
      <c r="H76" s="127"/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7"/>
      <c r="D77" s="125">
        <v>280</v>
      </c>
      <c r="E77" s="126">
        <v>59</v>
      </c>
      <c r="F77" s="144">
        <f t="shared" si="5"/>
        <v>-221</v>
      </c>
      <c r="G77" s="145">
        <f>E77/D77</f>
        <v>0.21071428571428572</v>
      </c>
      <c r="H77" s="127">
        <v>53</v>
      </c>
      <c r="I77" s="128"/>
      <c r="J77" s="124">
        <f t="shared" si="6"/>
        <v>53</v>
      </c>
      <c r="K77" s="144">
        <f t="shared" si="7"/>
        <v>-6</v>
      </c>
      <c r="L77" s="150">
        <f aca="true" t="shared" si="8" ref="L77:L85">J77/E77</f>
        <v>0.8983050847457628</v>
      </c>
    </row>
    <row r="78" spans="1:12" s="101" customFormat="1" ht="13.5">
      <c r="A78" s="514" t="s">
        <v>82</v>
      </c>
      <c r="B78" s="515"/>
      <c r="C78" s="515"/>
      <c r="D78" s="138"/>
      <c r="E78" s="130"/>
      <c r="F78" s="144">
        <f t="shared" si="5"/>
        <v>0</v>
      </c>
      <c r="G78" s="145"/>
      <c r="H78" s="122"/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5"/>
      <c r="D79" s="125"/>
      <c r="E79" s="126"/>
      <c r="F79" s="144">
        <f t="shared" si="5"/>
        <v>0</v>
      </c>
      <c r="G79" s="145"/>
      <c r="H79" s="127"/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7"/>
      <c r="D80" s="125">
        <f>D81+D82+D83+D84+D85+D86</f>
        <v>2259</v>
      </c>
      <c r="E80" s="126">
        <f>E81+E82+E83+E84</f>
        <v>2545</v>
      </c>
      <c r="F80" s="144">
        <f t="shared" si="5"/>
        <v>286</v>
      </c>
      <c r="G80" s="145">
        <f>E80/D80</f>
        <v>1.126604692341744</v>
      </c>
      <c r="H80" s="127">
        <f>H81+H84</f>
        <v>2160</v>
      </c>
      <c r="I80" s="128"/>
      <c r="J80" s="124">
        <f t="shared" si="6"/>
        <v>2160</v>
      </c>
      <c r="K80" s="144">
        <f t="shared" si="7"/>
        <v>-385</v>
      </c>
      <c r="L80" s="150">
        <f t="shared" si="8"/>
        <v>0.8487229862475442</v>
      </c>
    </row>
    <row r="81" spans="1:12" s="101" customFormat="1" ht="13.5">
      <c r="A81" s="514" t="s">
        <v>85</v>
      </c>
      <c r="B81" s="515"/>
      <c r="C81" s="515"/>
      <c r="D81" s="125">
        <v>2259</v>
      </c>
      <c r="E81" s="126">
        <v>2100</v>
      </c>
      <c r="F81" s="144">
        <f t="shared" si="5"/>
        <v>-159</v>
      </c>
      <c r="G81" s="145">
        <f>E81/D81</f>
        <v>0.9296148738379814</v>
      </c>
      <c r="H81" s="366">
        <v>2060</v>
      </c>
      <c r="I81" s="128"/>
      <c r="J81" s="124">
        <f t="shared" si="6"/>
        <v>2060</v>
      </c>
      <c r="K81" s="144">
        <f t="shared" si="7"/>
        <v>-40</v>
      </c>
      <c r="L81" s="150">
        <f t="shared" si="8"/>
        <v>0.9809523809523809</v>
      </c>
    </row>
    <row r="82" spans="1:12" s="101" customFormat="1" ht="13.5">
      <c r="A82" s="514" t="s">
        <v>86</v>
      </c>
      <c r="B82" s="515"/>
      <c r="C82" s="515"/>
      <c r="D82" s="125"/>
      <c r="E82" s="126">
        <v>65</v>
      </c>
      <c r="F82" s="144">
        <f t="shared" si="5"/>
        <v>65</v>
      </c>
      <c r="G82" s="145"/>
      <c r="H82" s="127"/>
      <c r="I82" s="128"/>
      <c r="J82" s="124">
        <f t="shared" si="6"/>
        <v>0</v>
      </c>
      <c r="K82" s="144">
        <f t="shared" si="7"/>
        <v>-65</v>
      </c>
      <c r="L82" s="150">
        <f t="shared" si="8"/>
        <v>0</v>
      </c>
    </row>
    <row r="83" spans="1:12" s="101" customFormat="1" ht="13.5">
      <c r="A83" s="514" t="s">
        <v>173</v>
      </c>
      <c r="B83" s="515"/>
      <c r="C83" s="515"/>
      <c r="D83" s="125"/>
      <c r="E83" s="126"/>
      <c r="F83" s="144">
        <f t="shared" si="5"/>
        <v>0</v>
      </c>
      <c r="G83" s="145"/>
      <c r="H83" s="127"/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5"/>
      <c r="D84" s="125"/>
      <c r="E84" s="126">
        <v>380</v>
      </c>
      <c r="F84" s="144">
        <f t="shared" si="5"/>
        <v>380</v>
      </c>
      <c r="G84" s="145"/>
      <c r="H84" s="127">
        <f>H85+H86</f>
        <v>100</v>
      </c>
      <c r="I84" s="128"/>
      <c r="J84" s="124">
        <f t="shared" si="6"/>
        <v>100</v>
      </c>
      <c r="K84" s="144">
        <f t="shared" si="7"/>
        <v>-280</v>
      </c>
      <c r="L84" s="150">
        <f t="shared" si="8"/>
        <v>0.2631578947368421</v>
      </c>
    </row>
    <row r="85" spans="1:12" s="101" customFormat="1" ht="13.5">
      <c r="A85" s="514" t="s">
        <v>174</v>
      </c>
      <c r="B85" s="515"/>
      <c r="C85" s="515"/>
      <c r="D85" s="125"/>
      <c r="E85" s="126">
        <v>328</v>
      </c>
      <c r="F85" s="144">
        <f t="shared" si="5"/>
        <v>328</v>
      </c>
      <c r="G85" s="145"/>
      <c r="H85" s="127">
        <v>100</v>
      </c>
      <c r="I85" s="128"/>
      <c r="J85" s="124">
        <f t="shared" si="6"/>
        <v>100</v>
      </c>
      <c r="K85" s="144">
        <f t="shared" si="7"/>
        <v>-228</v>
      </c>
      <c r="L85" s="150">
        <f t="shared" si="8"/>
        <v>0.3048780487804878</v>
      </c>
    </row>
    <row r="86" spans="1:14" s="101" customFormat="1" ht="13.5">
      <c r="A86" s="514" t="s">
        <v>175</v>
      </c>
      <c r="B86" s="515"/>
      <c r="C86" s="515"/>
      <c r="D86" s="125"/>
      <c r="E86" s="126"/>
      <c r="F86" s="144">
        <f t="shared" si="5"/>
        <v>0</v>
      </c>
      <c r="G86" s="145"/>
      <c r="H86" s="127"/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526" t="s">
        <v>88</v>
      </c>
      <c r="B87" s="527"/>
      <c r="C87" s="527"/>
      <c r="D87" s="125">
        <v>24</v>
      </c>
      <c r="E87" s="126"/>
      <c r="F87" s="144">
        <f t="shared" si="5"/>
        <v>-24</v>
      </c>
      <c r="G87" s="145">
        <f>E87/D87</f>
        <v>0</v>
      </c>
      <c r="H87" s="127"/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5"/>
      <c r="D88" s="125"/>
      <c r="E88" s="126"/>
      <c r="F88" s="144">
        <f t="shared" si="5"/>
        <v>0</v>
      </c>
      <c r="G88" s="145"/>
      <c r="H88" s="127"/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7"/>
      <c r="D89" s="125"/>
      <c r="E89" s="126"/>
      <c r="F89" s="144">
        <f t="shared" si="5"/>
        <v>0</v>
      </c>
      <c r="G89" s="145"/>
      <c r="H89" s="127"/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15"/>
      <c r="D90" s="245"/>
      <c r="E90" s="140"/>
      <c r="F90" s="144">
        <f t="shared" si="5"/>
        <v>0</v>
      </c>
      <c r="G90" s="145"/>
      <c r="H90" s="127"/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f>D35+D46+D51+D52+D53+D57+D58+D59+D69+D75+D77+D80+D87+D89</f>
        <v>36450</v>
      </c>
      <c r="E91" s="178">
        <f>E35+E46+E51+E52+E53+E57+E58+E59+E69+E75+E77+E80+E87+E89</f>
        <v>34596</v>
      </c>
      <c r="F91" s="179"/>
      <c r="G91" s="179"/>
      <c r="H91" s="180">
        <f>H35+H46+H51+H52+H53+H57+H58+H59+H69+H75+H77+H80+H87+H89</f>
        <v>32306</v>
      </c>
      <c r="I91" s="180">
        <f>I35+I46+I51+I52+I53+I57+I58+I59+I69+I75+I77+I80+I87+I89</f>
        <v>1322</v>
      </c>
      <c r="J91" s="181">
        <f>J35+J46+J51+J52+J53+J57+J58+J59+J69+J75+J77+J80+J87+J89</f>
        <v>33628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f>D34-D91</f>
        <v>97.68999999999505</v>
      </c>
      <c r="E92" s="184">
        <f>E34-E91</f>
        <v>10</v>
      </c>
      <c r="F92" s="185"/>
      <c r="G92" s="185"/>
      <c r="H92" s="184">
        <f>H34-H91</f>
        <v>-1264</v>
      </c>
      <c r="I92" s="184">
        <f>I34-I91</f>
        <v>28</v>
      </c>
      <c r="J92" s="186">
        <f>J34-J91</f>
        <v>-1236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3.5">
      <c r="A94" s="561" t="s">
        <v>178</v>
      </c>
      <c r="B94" s="562"/>
      <c r="C94" s="565" t="s">
        <v>104</v>
      </c>
      <c r="D94" s="42"/>
      <c r="E94" s="561" t="s">
        <v>179</v>
      </c>
      <c r="F94" s="567"/>
      <c r="G94" s="567"/>
      <c r="H94" s="562"/>
      <c r="I94" s="565" t="s">
        <v>104</v>
      </c>
      <c r="J94" s="43"/>
      <c r="K94" s="43"/>
      <c r="L94" s="43"/>
      <c r="M94" s="43"/>
      <c r="N94" s="43"/>
    </row>
    <row r="95" spans="1:14" ht="14.25" thickBot="1">
      <c r="A95" s="563"/>
      <c r="B95" s="564"/>
      <c r="C95" s="566"/>
      <c r="D95" s="42"/>
      <c r="E95" s="568"/>
      <c r="F95" s="569"/>
      <c r="G95" s="569"/>
      <c r="H95" s="570"/>
      <c r="I95" s="571"/>
      <c r="J95" s="43"/>
      <c r="K95" s="43"/>
      <c r="L95" s="43"/>
      <c r="M95" s="43"/>
      <c r="N95" s="43"/>
    </row>
    <row r="96" spans="1:14" ht="14.25" thickBot="1">
      <c r="A96" s="578" t="s">
        <v>307</v>
      </c>
      <c r="B96" s="579"/>
      <c r="C96" s="109">
        <v>100</v>
      </c>
      <c r="D96" s="92"/>
      <c r="E96" s="572" t="s">
        <v>309</v>
      </c>
      <c r="F96" s="577"/>
      <c r="G96" s="577"/>
      <c r="H96" s="573"/>
      <c r="I96" s="110">
        <v>110</v>
      </c>
      <c r="J96" s="43"/>
      <c r="K96" s="43"/>
      <c r="L96" s="43"/>
      <c r="M96" s="43"/>
      <c r="N96" s="38" t="s">
        <v>105</v>
      </c>
    </row>
    <row r="97" spans="1:14" ht="13.5">
      <c r="A97" s="578" t="s">
        <v>308</v>
      </c>
      <c r="B97" s="579"/>
      <c r="C97" s="369">
        <v>300</v>
      </c>
      <c r="D97" s="92"/>
      <c r="E97" s="572" t="s">
        <v>310</v>
      </c>
      <c r="F97" s="577"/>
      <c r="G97" s="577"/>
      <c r="H97" s="573"/>
      <c r="I97" s="111">
        <v>180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578" t="s">
        <v>306</v>
      </c>
      <c r="B98" s="579"/>
      <c r="C98" s="369">
        <v>1146</v>
      </c>
      <c r="D98" s="92"/>
      <c r="E98" s="572" t="s">
        <v>311</v>
      </c>
      <c r="F98" s="577"/>
      <c r="G98" s="577"/>
      <c r="H98" s="573"/>
      <c r="I98" s="111">
        <v>10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578"/>
      <c r="B99" s="579"/>
      <c r="C99" s="296"/>
      <c r="D99" s="92"/>
      <c r="E99" s="572"/>
      <c r="F99" s="577"/>
      <c r="G99" s="577"/>
      <c r="H99" s="573"/>
      <c r="I99" s="111"/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578"/>
      <c r="B100" s="579"/>
      <c r="C100" s="93"/>
      <c r="D100" s="92"/>
      <c r="E100" s="572"/>
      <c r="F100" s="577"/>
      <c r="G100" s="577"/>
      <c r="H100" s="573"/>
      <c r="I100" s="208"/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578"/>
      <c r="B101" s="579"/>
      <c r="C101" s="93"/>
      <c r="D101" s="92"/>
      <c r="E101" s="572"/>
      <c r="F101" s="577"/>
      <c r="G101" s="577"/>
      <c r="H101" s="573"/>
      <c r="I101" s="208"/>
      <c r="J101" s="43"/>
      <c r="K101" s="43"/>
      <c r="L101" s="43"/>
      <c r="M101" s="43"/>
      <c r="N101" s="43"/>
    </row>
    <row r="102" spans="1:14" ht="13.5">
      <c r="A102" s="578"/>
      <c r="B102" s="579"/>
      <c r="C102" s="93"/>
      <c r="D102" s="92"/>
      <c r="E102" s="572"/>
      <c r="F102" s="577"/>
      <c r="G102" s="577"/>
      <c r="H102" s="573"/>
      <c r="I102" s="208"/>
      <c r="J102" s="43"/>
      <c r="K102" s="43"/>
      <c r="L102" s="43"/>
      <c r="M102" s="43"/>
      <c r="N102" s="43"/>
    </row>
    <row r="103" spans="1:14" ht="13.5">
      <c r="A103" s="578"/>
      <c r="B103" s="579"/>
      <c r="C103" s="93"/>
      <c r="D103" s="92"/>
      <c r="E103" s="572"/>
      <c r="F103" s="577"/>
      <c r="G103" s="577"/>
      <c r="H103" s="573"/>
      <c r="I103" s="105"/>
      <c r="J103" s="43"/>
      <c r="K103" s="43"/>
      <c r="L103" s="43"/>
      <c r="M103" s="43"/>
      <c r="N103" s="43"/>
    </row>
    <row r="104" spans="1:14" ht="14.25" thickBot="1">
      <c r="A104" s="578"/>
      <c r="B104" s="579"/>
      <c r="C104" s="93"/>
      <c r="D104" s="92"/>
      <c r="E104" s="572"/>
      <c r="F104" s="577"/>
      <c r="G104" s="577"/>
      <c r="H104" s="573"/>
      <c r="I104" s="208"/>
      <c r="J104" s="43"/>
      <c r="K104" s="43"/>
      <c r="L104" s="43"/>
      <c r="M104" s="43"/>
      <c r="N104" s="43"/>
    </row>
    <row r="105" spans="1:14" ht="14.25" thickBot="1">
      <c r="A105" s="585" t="s">
        <v>97</v>
      </c>
      <c r="B105" s="586"/>
      <c r="C105" s="58">
        <f>SUM(C96:C104)</f>
        <v>1546</v>
      </c>
      <c r="D105" s="59"/>
      <c r="E105" s="587" t="s">
        <v>97</v>
      </c>
      <c r="F105" s="588"/>
      <c r="G105" s="588"/>
      <c r="H105" s="589"/>
      <c r="I105" s="60">
        <f>SUM(I96:I104)</f>
        <v>300</v>
      </c>
      <c r="J105" s="43"/>
      <c r="K105" s="43"/>
      <c r="L105" s="43"/>
      <c r="M105" s="43"/>
      <c r="N105" s="61"/>
    </row>
    <row r="106" spans="1:5" s="34" customFormat="1" ht="13.5">
      <c r="A106" s="59"/>
      <c r="B106" s="62"/>
      <c r="C106" s="62"/>
      <c r="D106" s="62"/>
      <c r="E106" s="62"/>
    </row>
    <row r="107" spans="1:12" s="34" customFormat="1" ht="13.5">
      <c r="A107" s="63"/>
      <c r="B107" s="36"/>
      <c r="C107" s="36"/>
      <c r="D107" s="36"/>
      <c r="E107" s="39"/>
      <c r="F107" s="41"/>
      <c r="G107" s="41"/>
      <c r="H107" s="35"/>
      <c r="I107" s="36"/>
      <c r="J107" s="36"/>
      <c r="K107" s="36"/>
      <c r="L107" s="39"/>
    </row>
    <row r="108" spans="1:12" s="34" customFormat="1" ht="14.25" thickBot="1">
      <c r="A108" s="63" t="s">
        <v>181</v>
      </c>
      <c r="B108" s="36"/>
      <c r="C108" s="36"/>
      <c r="D108" s="36"/>
      <c r="E108" s="39"/>
      <c r="F108" s="41"/>
      <c r="G108" s="41"/>
      <c r="H108" s="35"/>
      <c r="I108" s="36"/>
      <c r="J108" s="36" t="s">
        <v>110</v>
      </c>
      <c r="K108" s="36"/>
      <c r="L108" s="39"/>
    </row>
    <row r="109" spans="1:11" s="34" customFormat="1" ht="13.5">
      <c r="A109" s="449" t="s">
        <v>111</v>
      </c>
      <c r="B109" s="452" t="s">
        <v>248</v>
      </c>
      <c r="C109" s="459" t="s">
        <v>182</v>
      </c>
      <c r="D109" s="460"/>
      <c r="E109" s="460"/>
      <c r="F109" s="460"/>
      <c r="G109" s="460"/>
      <c r="H109" s="460"/>
      <c r="I109" s="460"/>
      <c r="J109" s="461"/>
      <c r="K109" s="455" t="s">
        <v>183</v>
      </c>
    </row>
    <row r="110" spans="1:11" s="34" customFormat="1" ht="13.5">
      <c r="A110" s="450"/>
      <c r="B110" s="453"/>
      <c r="C110" s="458" t="s">
        <v>112</v>
      </c>
      <c r="D110" s="462" t="s">
        <v>113</v>
      </c>
      <c r="E110" s="462"/>
      <c r="F110" s="462"/>
      <c r="G110" s="462"/>
      <c r="H110" s="462"/>
      <c r="I110" s="462"/>
      <c r="J110" s="463"/>
      <c r="K110" s="456"/>
    </row>
    <row r="111" spans="1:12" s="34" customFormat="1" ht="14.25" thickBot="1">
      <c r="A111" s="451"/>
      <c r="B111" s="454"/>
      <c r="C111" s="458"/>
      <c r="D111" s="164">
        <v>1</v>
      </c>
      <c r="E111" s="164">
        <v>2</v>
      </c>
      <c r="F111" s="164">
        <v>3</v>
      </c>
      <c r="G111" s="164">
        <v>4</v>
      </c>
      <c r="H111" s="164">
        <v>5</v>
      </c>
      <c r="I111" s="164">
        <v>6</v>
      </c>
      <c r="J111" s="165">
        <v>7</v>
      </c>
      <c r="K111" s="457"/>
      <c r="L111" s="71"/>
    </row>
    <row r="112" spans="1:11" s="34" customFormat="1" ht="14.25" thickBot="1">
      <c r="A112" s="64">
        <v>125758</v>
      </c>
      <c r="B112" s="65">
        <v>4560</v>
      </c>
      <c r="C112" s="364">
        <f>SUM(D112:J112)</f>
        <v>2060</v>
      </c>
      <c r="D112" s="167">
        <v>69</v>
      </c>
      <c r="E112" s="167">
        <v>843</v>
      </c>
      <c r="F112" s="167">
        <v>0</v>
      </c>
      <c r="G112" s="167">
        <v>0</v>
      </c>
      <c r="H112" s="167">
        <v>2</v>
      </c>
      <c r="I112" s="168">
        <v>0</v>
      </c>
      <c r="J112" s="225">
        <v>1146</v>
      </c>
      <c r="K112" s="163">
        <v>119136</v>
      </c>
    </row>
    <row r="113" spans="1:5" s="34" customFormat="1" ht="13.5">
      <c r="A113" s="59"/>
      <c r="B113" s="62"/>
      <c r="C113" s="62"/>
      <c r="D113" s="62"/>
      <c r="E113" s="62"/>
    </row>
    <row r="114" spans="1:8" s="34" customFormat="1" ht="14.25" thickBot="1">
      <c r="A114" s="63" t="s">
        <v>184</v>
      </c>
      <c r="C114" s="36"/>
      <c r="D114" s="36"/>
      <c r="E114" s="36"/>
      <c r="F114" s="36" t="s">
        <v>110</v>
      </c>
      <c r="G114" s="41"/>
      <c r="H114" s="35"/>
    </row>
    <row r="115" spans="1:6" s="34" customFormat="1" ht="15" customHeight="1" thickBot="1">
      <c r="A115" s="467" t="s">
        <v>114</v>
      </c>
      <c r="B115" s="469" t="s">
        <v>188</v>
      </c>
      <c r="C115" s="188" t="s">
        <v>185</v>
      </c>
      <c r="D115" s="189"/>
      <c r="E115" s="189"/>
      <c r="F115" s="190"/>
    </row>
    <row r="116" spans="1:6" s="34" customFormat="1" ht="27.75" thickBot="1">
      <c r="A116" s="468"/>
      <c r="B116" s="469"/>
      <c r="C116" s="67" t="s">
        <v>186</v>
      </c>
      <c r="D116" s="66" t="s">
        <v>115</v>
      </c>
      <c r="E116" s="67" t="s">
        <v>116</v>
      </c>
      <c r="F116" s="191" t="s">
        <v>187</v>
      </c>
    </row>
    <row r="117" spans="1:6" s="34" customFormat="1" ht="13.5">
      <c r="A117" s="192" t="s">
        <v>117</v>
      </c>
      <c r="B117" s="218">
        <v>1777</v>
      </c>
      <c r="C117" s="68" t="s">
        <v>118</v>
      </c>
      <c r="D117" s="69" t="s">
        <v>118</v>
      </c>
      <c r="E117" s="69" t="s">
        <v>118</v>
      </c>
      <c r="F117" s="193" t="s">
        <v>118</v>
      </c>
    </row>
    <row r="118" spans="1:13" s="34" customFormat="1" ht="13.5">
      <c r="A118" s="194" t="s">
        <v>119</v>
      </c>
      <c r="B118" s="219">
        <v>86</v>
      </c>
      <c r="C118" s="197">
        <v>86</v>
      </c>
      <c r="D118" s="51">
        <v>0</v>
      </c>
      <c r="E118" s="51">
        <v>0</v>
      </c>
      <c r="F118" s="198">
        <f>C118+D118-E118</f>
        <v>86</v>
      </c>
      <c r="M118" s="71"/>
    </row>
    <row r="119" spans="1:13" s="34" customFormat="1" ht="13.5">
      <c r="A119" s="194" t="s">
        <v>120</v>
      </c>
      <c r="B119" s="219">
        <v>1</v>
      </c>
      <c r="C119" s="197">
        <v>0</v>
      </c>
      <c r="D119" s="106">
        <v>110</v>
      </c>
      <c r="E119" s="106">
        <v>110</v>
      </c>
      <c r="F119" s="198">
        <f>C119+D119-E119</f>
        <v>0</v>
      </c>
      <c r="M119" s="71"/>
    </row>
    <row r="120" spans="1:13" s="34" customFormat="1" ht="13.5">
      <c r="A120" s="194" t="s">
        <v>121</v>
      </c>
      <c r="B120" s="219">
        <v>4</v>
      </c>
      <c r="C120" s="72">
        <v>4</v>
      </c>
      <c r="D120" s="206">
        <v>2060</v>
      </c>
      <c r="E120" s="206">
        <v>1546</v>
      </c>
      <c r="F120" s="346">
        <f>C120+D120-E120</f>
        <v>518</v>
      </c>
      <c r="M120" s="71"/>
    </row>
    <row r="121" spans="1:13" s="34" customFormat="1" ht="13.5">
      <c r="A121" s="194" t="s">
        <v>122</v>
      </c>
      <c r="B121" s="219">
        <f>B117-B118-B119-B120</f>
        <v>1686</v>
      </c>
      <c r="C121" s="74" t="s">
        <v>118</v>
      </c>
      <c r="D121" s="365" t="s">
        <v>118</v>
      </c>
      <c r="E121" s="274" t="s">
        <v>118</v>
      </c>
      <c r="F121" s="195" t="s">
        <v>118</v>
      </c>
      <c r="M121" s="71"/>
    </row>
    <row r="122" spans="1:13" s="34" customFormat="1" ht="14.25" thickBot="1">
      <c r="A122" s="196" t="s">
        <v>123</v>
      </c>
      <c r="B122" s="220">
        <v>36</v>
      </c>
      <c r="C122" s="199">
        <v>52</v>
      </c>
      <c r="D122" s="200">
        <v>154</v>
      </c>
      <c r="E122" s="207">
        <v>206</v>
      </c>
      <c r="F122" s="201">
        <f>C122+D122-E122</f>
        <v>0</v>
      </c>
      <c r="M122" s="71"/>
    </row>
    <row r="123" spans="1:15" s="34" customFormat="1" ht="13.5">
      <c r="A123" s="35"/>
      <c r="B123" s="36"/>
      <c r="C123" s="36"/>
      <c r="D123" s="37"/>
      <c r="E123" s="38"/>
      <c r="F123" s="36"/>
      <c r="G123" s="36"/>
      <c r="H123" s="39"/>
      <c r="I123" s="40"/>
      <c r="J123" s="41"/>
      <c r="K123" s="35"/>
      <c r="L123" s="36"/>
      <c r="M123" s="36"/>
      <c r="N123" s="36"/>
      <c r="O123" s="39"/>
    </row>
    <row r="124" spans="1:11" ht="13.5">
      <c r="A124" s="63"/>
      <c r="K124" s="36"/>
    </row>
    <row r="125" spans="1:11" ht="14.25" thickBot="1">
      <c r="A125" s="63" t="s">
        <v>189</v>
      </c>
      <c r="K125" s="36" t="s">
        <v>110</v>
      </c>
    </row>
    <row r="126" spans="1:11" ht="13.5">
      <c r="A126" s="464" t="s">
        <v>124</v>
      </c>
      <c r="B126" s="465"/>
      <c r="C126" s="466"/>
      <c r="D126" s="78"/>
      <c r="E126" s="464" t="s">
        <v>125</v>
      </c>
      <c r="F126" s="465"/>
      <c r="G126" s="466"/>
      <c r="I126" s="464" t="s">
        <v>126</v>
      </c>
      <c r="J126" s="465"/>
      <c r="K126" s="466"/>
    </row>
    <row r="127" spans="1:11" ht="14.25" thickBot="1">
      <c r="A127" s="79" t="s">
        <v>127</v>
      </c>
      <c r="B127" s="80" t="s">
        <v>128</v>
      </c>
      <c r="C127" s="81" t="s">
        <v>129</v>
      </c>
      <c r="D127" s="78"/>
      <c r="E127" s="82"/>
      <c r="F127" s="470" t="s">
        <v>130</v>
      </c>
      <c r="G127" s="471"/>
      <c r="I127" s="79"/>
      <c r="J127" s="80" t="s">
        <v>131</v>
      </c>
      <c r="K127" s="81" t="s">
        <v>129</v>
      </c>
    </row>
    <row r="128" spans="1:11" ht="13.5">
      <c r="A128" s="83">
        <v>2012</v>
      </c>
      <c r="B128" s="84">
        <v>67</v>
      </c>
      <c r="C128" s="85">
        <v>68</v>
      </c>
      <c r="D128" s="37"/>
      <c r="E128" s="83">
        <v>2012</v>
      </c>
      <c r="F128" s="472">
        <v>94</v>
      </c>
      <c r="G128" s="473"/>
      <c r="I128" s="83">
        <v>2012</v>
      </c>
      <c r="J128" s="84">
        <v>16118</v>
      </c>
      <c r="K128" s="85">
        <v>16115</v>
      </c>
    </row>
    <row r="129" spans="1:11" ht="14.25" thickBot="1">
      <c r="A129" s="86">
        <v>2013</v>
      </c>
      <c r="B129" s="87">
        <v>62</v>
      </c>
      <c r="C129" s="88" t="s">
        <v>92</v>
      </c>
      <c r="D129" s="37"/>
      <c r="E129" s="86">
        <v>2013</v>
      </c>
      <c r="F129" s="388">
        <v>94</v>
      </c>
      <c r="G129" s="389"/>
      <c r="I129" s="86">
        <v>2013</v>
      </c>
      <c r="J129" s="87">
        <v>15302</v>
      </c>
      <c r="K129" s="88" t="s">
        <v>92</v>
      </c>
    </row>
    <row r="130" ht="13.5">
      <c r="D130" s="78"/>
    </row>
    <row r="131" ht="13.5">
      <c r="D131" s="37"/>
    </row>
    <row r="132" ht="13.5">
      <c r="D132" s="37"/>
    </row>
  </sheetData>
  <sheetProtection selectLockedCells="1" selectUnlockedCells="1"/>
  <mergeCells count="131">
    <mergeCell ref="F129:G129"/>
    <mergeCell ref="A115:A116"/>
    <mergeCell ref="B115:B116"/>
    <mergeCell ref="A126:C126"/>
    <mergeCell ref="E126:G126"/>
    <mergeCell ref="I126:K126"/>
    <mergeCell ref="F128:G128"/>
    <mergeCell ref="F127:G127"/>
    <mergeCell ref="A105:B105"/>
    <mergeCell ref="E105:H105"/>
    <mergeCell ref="A109:A111"/>
    <mergeCell ref="B109:B111"/>
    <mergeCell ref="C109:J109"/>
    <mergeCell ref="K109:K111"/>
    <mergeCell ref="C110:C111"/>
    <mergeCell ref="D110:J110"/>
    <mergeCell ref="A102:B102"/>
    <mergeCell ref="E102:H102"/>
    <mergeCell ref="A103:B103"/>
    <mergeCell ref="E103:H103"/>
    <mergeCell ref="A104:B104"/>
    <mergeCell ref="E104:H104"/>
    <mergeCell ref="A99:B99"/>
    <mergeCell ref="E99:H99"/>
    <mergeCell ref="A100:B100"/>
    <mergeCell ref="E100:H100"/>
    <mergeCell ref="A101:B101"/>
    <mergeCell ref="E101:H101"/>
    <mergeCell ref="E94:H95"/>
    <mergeCell ref="I94:I95"/>
    <mergeCell ref="E96:H96"/>
    <mergeCell ref="E97:H97"/>
    <mergeCell ref="A98:B98"/>
    <mergeCell ref="E98:H98"/>
    <mergeCell ref="A96:B96"/>
    <mergeCell ref="A97:B97"/>
    <mergeCell ref="A85:C85"/>
    <mergeCell ref="A86:C86"/>
    <mergeCell ref="A87:C87"/>
    <mergeCell ref="A88:C88"/>
    <mergeCell ref="A94:B95"/>
    <mergeCell ref="C94:C95"/>
    <mergeCell ref="A89:C89"/>
    <mergeCell ref="A90:C90"/>
    <mergeCell ref="A91:C91"/>
    <mergeCell ref="A92:C92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2" r:id="rId1"/>
  <headerFooter alignWithMargins="0">
    <oddFooter>&amp;C&amp;"Arial CE,Běžné"&amp;P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T134"/>
  <sheetViews>
    <sheetView view="pageBreakPreview" zoomScale="70" zoomScaleNormal="95" zoomScaleSheetLayoutView="70" zoomScalePageLayoutView="0" workbookViewId="0" topLeftCell="A1">
      <selection activeCell="H20" sqref="H20"/>
    </sheetView>
  </sheetViews>
  <sheetFormatPr defaultColWidth="9.140625" defaultRowHeight="12.75"/>
  <cols>
    <col min="1" max="1" width="27.8515625" style="1" customWidth="1"/>
    <col min="2" max="2" width="17.28125" style="1" customWidth="1"/>
    <col min="3" max="3" width="14.281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18.4218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147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09"/>
      <c r="D7" s="121">
        <v>15817</v>
      </c>
      <c r="E7" s="239">
        <v>16256</v>
      </c>
      <c r="F7" s="154">
        <f>E7-D7</f>
        <v>439</v>
      </c>
      <c r="G7" s="145">
        <f>E7/D7</f>
        <v>1.0277549472086995</v>
      </c>
      <c r="H7" s="122">
        <v>18081</v>
      </c>
      <c r="I7" s="123"/>
      <c r="J7" s="156">
        <f>H7+I7</f>
        <v>18081</v>
      </c>
      <c r="K7" s="144">
        <f>J7-E7</f>
        <v>1825</v>
      </c>
      <c r="L7" s="150">
        <f>J7/E7</f>
        <v>1.1122662401574803</v>
      </c>
    </row>
    <row r="8" spans="1:12" s="101" customFormat="1" ht="13.5">
      <c r="A8" s="511" t="s">
        <v>25</v>
      </c>
      <c r="B8" s="512"/>
      <c r="C8" s="512"/>
      <c r="D8" s="125"/>
      <c r="E8" s="240"/>
      <c r="F8" s="154">
        <f aca="true" t="shared" si="0" ref="F8:F75">E8-D8</f>
        <v>0</v>
      </c>
      <c r="G8" s="145"/>
      <c r="H8" s="127"/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2"/>
      <c r="D9" s="125">
        <v>15817</v>
      </c>
      <c r="E9" s="240">
        <v>16256</v>
      </c>
      <c r="F9" s="154">
        <f t="shared" si="0"/>
        <v>439</v>
      </c>
      <c r="G9" s="145">
        <f aca="true" t="shared" si="3" ref="G9:G75">E9/D9</f>
        <v>1.0277549472086995</v>
      </c>
      <c r="H9" s="127"/>
      <c r="I9" s="128"/>
      <c r="J9" s="156">
        <f t="shared" si="1"/>
        <v>0</v>
      </c>
      <c r="K9" s="144">
        <f t="shared" si="2"/>
        <v>-16256</v>
      </c>
      <c r="L9" s="150">
        <f aca="true" t="shared" si="4" ref="L9:L75">J9/E9</f>
        <v>0</v>
      </c>
    </row>
    <row r="10" spans="1:12" s="101" customFormat="1" ht="13.5">
      <c r="A10" s="514" t="s">
        <v>27</v>
      </c>
      <c r="B10" s="515"/>
      <c r="C10" s="515"/>
      <c r="D10" s="125">
        <v>6828</v>
      </c>
      <c r="E10" s="240">
        <v>7125</v>
      </c>
      <c r="F10" s="154">
        <f t="shared" si="0"/>
        <v>297</v>
      </c>
      <c r="G10" s="145">
        <f t="shared" si="3"/>
        <v>1.0434973637961336</v>
      </c>
      <c r="H10" s="127">
        <v>8045</v>
      </c>
      <c r="I10" s="128"/>
      <c r="J10" s="156">
        <f t="shared" si="1"/>
        <v>8045</v>
      </c>
      <c r="K10" s="144">
        <f t="shared" si="2"/>
        <v>920</v>
      </c>
      <c r="L10" s="150">
        <f t="shared" si="4"/>
        <v>1.1291228070175439</v>
      </c>
    </row>
    <row r="11" spans="1:12" s="101" customFormat="1" ht="13.5">
      <c r="A11" s="514" t="s">
        <v>28</v>
      </c>
      <c r="B11" s="515"/>
      <c r="C11" s="515"/>
      <c r="D11" s="125">
        <v>6402</v>
      </c>
      <c r="E11" s="240">
        <v>6399</v>
      </c>
      <c r="F11" s="154">
        <f t="shared" si="0"/>
        <v>-3</v>
      </c>
      <c r="G11" s="145">
        <f t="shared" si="3"/>
        <v>0.9995313964386129</v>
      </c>
      <c r="H11" s="127">
        <v>7234</v>
      </c>
      <c r="I11" s="128"/>
      <c r="J11" s="156">
        <f t="shared" si="1"/>
        <v>7234</v>
      </c>
      <c r="K11" s="144">
        <f t="shared" si="2"/>
        <v>835</v>
      </c>
      <c r="L11" s="150">
        <f t="shared" si="4"/>
        <v>1.1304891389279574</v>
      </c>
    </row>
    <row r="12" spans="1:12" s="101" customFormat="1" ht="13.5">
      <c r="A12" s="514" t="s">
        <v>29</v>
      </c>
      <c r="B12" s="515"/>
      <c r="C12" s="515"/>
      <c r="D12" s="125"/>
      <c r="E12" s="240">
        <v>2</v>
      </c>
      <c r="F12" s="154">
        <f t="shared" si="0"/>
        <v>2</v>
      </c>
      <c r="G12" s="145"/>
      <c r="H12" s="127">
        <v>2</v>
      </c>
      <c r="I12" s="128"/>
      <c r="J12" s="156">
        <f t="shared" si="1"/>
        <v>2</v>
      </c>
      <c r="K12" s="144">
        <f t="shared" si="2"/>
        <v>0</v>
      </c>
      <c r="L12" s="150">
        <f t="shared" si="4"/>
        <v>1</v>
      </c>
    </row>
    <row r="13" spans="1:12" s="101" customFormat="1" ht="13.5">
      <c r="A13" s="514" t="s">
        <v>30</v>
      </c>
      <c r="B13" s="515"/>
      <c r="C13" s="515"/>
      <c r="D13" s="125">
        <v>2244</v>
      </c>
      <c r="E13" s="240">
        <v>2406</v>
      </c>
      <c r="F13" s="154">
        <f t="shared" si="0"/>
        <v>162</v>
      </c>
      <c r="G13" s="145">
        <f t="shared" si="3"/>
        <v>1.072192513368984</v>
      </c>
      <c r="H13" s="127">
        <v>2500</v>
      </c>
      <c r="I13" s="128"/>
      <c r="J13" s="156">
        <f t="shared" si="1"/>
        <v>2500</v>
      </c>
      <c r="K13" s="144">
        <f t="shared" si="2"/>
        <v>94</v>
      </c>
      <c r="L13" s="150">
        <f t="shared" si="4"/>
        <v>1.0390689941812137</v>
      </c>
    </row>
    <row r="14" spans="1:12" s="101" customFormat="1" ht="13.5">
      <c r="A14" s="514" t="s">
        <v>31</v>
      </c>
      <c r="B14" s="515"/>
      <c r="C14" s="515"/>
      <c r="D14" s="125">
        <v>291</v>
      </c>
      <c r="E14" s="240">
        <v>324</v>
      </c>
      <c r="F14" s="154">
        <f t="shared" si="0"/>
        <v>33</v>
      </c>
      <c r="G14" s="145">
        <f t="shared" si="3"/>
        <v>1.1134020618556701</v>
      </c>
      <c r="H14" s="127">
        <v>300</v>
      </c>
      <c r="I14" s="128"/>
      <c r="J14" s="156">
        <f t="shared" si="1"/>
        <v>300</v>
      </c>
      <c r="K14" s="144">
        <f t="shared" si="2"/>
        <v>-24</v>
      </c>
      <c r="L14" s="150">
        <f t="shared" si="4"/>
        <v>0.9259259259259259</v>
      </c>
    </row>
    <row r="15" spans="1:14" s="101" customFormat="1" ht="13.5">
      <c r="A15" s="514" t="s">
        <v>32</v>
      </c>
      <c r="B15" s="515"/>
      <c r="C15" s="515"/>
      <c r="D15" s="125">
        <v>52</v>
      </c>
      <c r="E15" s="240"/>
      <c r="F15" s="154">
        <f t="shared" si="0"/>
        <v>-52</v>
      </c>
      <c r="G15" s="145">
        <f t="shared" si="3"/>
        <v>0</v>
      </c>
      <c r="H15" s="127"/>
      <c r="I15" s="128"/>
      <c r="J15" s="156">
        <f t="shared" si="1"/>
        <v>0</v>
      </c>
      <c r="K15" s="144">
        <f t="shared" si="2"/>
        <v>0</v>
      </c>
      <c r="L15" s="150"/>
      <c r="N15" s="129"/>
    </row>
    <row r="16" spans="1:12" s="101" customFormat="1" ht="13.5">
      <c r="A16" s="511" t="s">
        <v>33</v>
      </c>
      <c r="B16" s="512"/>
      <c r="C16" s="512"/>
      <c r="D16" s="125"/>
      <c r="E16" s="240"/>
      <c r="F16" s="154">
        <f t="shared" si="0"/>
        <v>0</v>
      </c>
      <c r="G16" s="145"/>
      <c r="H16" s="127"/>
      <c r="I16" s="128"/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511" t="s">
        <v>34</v>
      </c>
      <c r="B17" s="512"/>
      <c r="C17" s="512"/>
      <c r="D17" s="125"/>
      <c r="E17" s="240"/>
      <c r="F17" s="154">
        <f t="shared" si="0"/>
        <v>0</v>
      </c>
      <c r="G17" s="145"/>
      <c r="H17" s="127"/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8"/>
      <c r="D18" s="125">
        <v>93</v>
      </c>
      <c r="E18" s="240">
        <v>16</v>
      </c>
      <c r="F18" s="154">
        <f t="shared" si="0"/>
        <v>-77</v>
      </c>
      <c r="G18" s="145">
        <f t="shared" si="3"/>
        <v>0.17204301075268819</v>
      </c>
      <c r="H18" s="127">
        <v>0</v>
      </c>
      <c r="I18" s="128"/>
      <c r="J18" s="156">
        <f t="shared" si="1"/>
        <v>0</v>
      </c>
      <c r="K18" s="144">
        <f t="shared" si="2"/>
        <v>-16</v>
      </c>
      <c r="L18" s="150">
        <f t="shared" si="4"/>
        <v>0</v>
      </c>
    </row>
    <row r="19" spans="1:12" s="101" customFormat="1" ht="13.5">
      <c r="A19" s="511" t="s">
        <v>36</v>
      </c>
      <c r="B19" s="512"/>
      <c r="C19" s="512"/>
      <c r="D19" s="125"/>
      <c r="E19" s="240"/>
      <c r="F19" s="154">
        <f t="shared" si="0"/>
        <v>0</v>
      </c>
      <c r="G19" s="145"/>
      <c r="H19" s="366"/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2"/>
      <c r="D20" s="125"/>
      <c r="E20" s="241"/>
      <c r="F20" s="154">
        <f t="shared" si="0"/>
        <v>0</v>
      </c>
      <c r="G20" s="145"/>
      <c r="H20" s="367"/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1"/>
      <c r="D21" s="125">
        <v>93</v>
      </c>
      <c r="E21" s="240">
        <v>10</v>
      </c>
      <c r="F21" s="154">
        <f t="shared" si="0"/>
        <v>-83</v>
      </c>
      <c r="G21" s="145">
        <f t="shared" si="3"/>
        <v>0.10752688172043011</v>
      </c>
      <c r="H21" s="366"/>
      <c r="I21" s="128"/>
      <c r="J21" s="156">
        <f t="shared" si="1"/>
        <v>0</v>
      </c>
      <c r="K21" s="144">
        <f t="shared" si="2"/>
        <v>-10</v>
      </c>
      <c r="L21" s="150">
        <f t="shared" si="4"/>
        <v>0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1"/>
      <c r="D22" s="125">
        <v>93</v>
      </c>
      <c r="E22" s="240">
        <v>10</v>
      </c>
      <c r="F22" s="154">
        <f t="shared" si="0"/>
        <v>-83</v>
      </c>
      <c r="G22" s="145">
        <f t="shared" si="3"/>
        <v>0.10752688172043011</v>
      </c>
      <c r="H22" s="366">
        <v>0</v>
      </c>
      <c r="I22" s="128"/>
      <c r="J22" s="156">
        <f t="shared" si="1"/>
        <v>0</v>
      </c>
      <c r="K22" s="144">
        <f t="shared" si="2"/>
        <v>-10</v>
      </c>
      <c r="L22" s="150">
        <f t="shared" si="4"/>
        <v>0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1"/>
      <c r="D23" s="125"/>
      <c r="E23" s="240"/>
      <c r="F23" s="154">
        <f t="shared" si="0"/>
        <v>0</v>
      </c>
      <c r="G23" s="145"/>
      <c r="H23" s="366"/>
      <c r="I23" s="128"/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1"/>
      <c r="D24" s="125"/>
      <c r="E24" s="240"/>
      <c r="F24" s="154">
        <f t="shared" si="0"/>
        <v>0</v>
      </c>
      <c r="G24" s="145"/>
      <c r="H24" s="366"/>
      <c r="I24" s="128"/>
      <c r="J24" s="156">
        <f t="shared" si="1"/>
        <v>0</v>
      </c>
      <c r="K24" s="144">
        <f t="shared" si="2"/>
        <v>0</v>
      </c>
      <c r="L24" s="150"/>
    </row>
    <row r="25" spans="1:12" s="101" customFormat="1" ht="13.5">
      <c r="A25" s="520" t="s">
        <v>163</v>
      </c>
      <c r="B25" s="521"/>
      <c r="C25" s="521"/>
      <c r="D25" s="125"/>
      <c r="E25" s="240"/>
      <c r="F25" s="154">
        <f t="shared" si="0"/>
        <v>0</v>
      </c>
      <c r="G25" s="145"/>
      <c r="H25" s="366"/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8"/>
      <c r="D26" s="125">
        <v>10</v>
      </c>
      <c r="E26" s="240">
        <v>7</v>
      </c>
      <c r="F26" s="154">
        <f t="shared" si="0"/>
        <v>-3</v>
      </c>
      <c r="G26" s="145">
        <f t="shared" si="3"/>
        <v>0.7</v>
      </c>
      <c r="H26" s="366">
        <v>7</v>
      </c>
      <c r="I26" s="128"/>
      <c r="J26" s="156">
        <f t="shared" si="1"/>
        <v>7</v>
      </c>
      <c r="K26" s="144">
        <f t="shared" si="2"/>
        <v>0</v>
      </c>
      <c r="L26" s="150">
        <f t="shared" si="4"/>
        <v>1</v>
      </c>
    </row>
    <row r="27" spans="1:12" s="101" customFormat="1" ht="13.5">
      <c r="A27" s="511" t="s">
        <v>40</v>
      </c>
      <c r="B27" s="512"/>
      <c r="C27" s="512"/>
      <c r="D27" s="125">
        <v>10</v>
      </c>
      <c r="E27" s="240">
        <v>7</v>
      </c>
      <c r="F27" s="154">
        <f t="shared" si="0"/>
        <v>-3</v>
      </c>
      <c r="G27" s="145">
        <f t="shared" si="3"/>
        <v>0.7</v>
      </c>
      <c r="H27" s="366">
        <v>7</v>
      </c>
      <c r="I27" s="128"/>
      <c r="J27" s="156">
        <f t="shared" si="1"/>
        <v>7</v>
      </c>
      <c r="K27" s="144">
        <f t="shared" si="2"/>
        <v>0</v>
      </c>
      <c r="L27" s="150">
        <f t="shared" si="4"/>
        <v>1</v>
      </c>
    </row>
    <row r="28" spans="1:12" s="101" customFormat="1" ht="13.5">
      <c r="A28" s="511" t="s">
        <v>41</v>
      </c>
      <c r="B28" s="512"/>
      <c r="C28" s="512"/>
      <c r="D28" s="125"/>
      <c r="E28" s="240"/>
      <c r="F28" s="154">
        <f t="shared" si="0"/>
        <v>0</v>
      </c>
      <c r="G28" s="145"/>
      <c r="H28" s="366"/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8"/>
      <c r="D29" s="125">
        <v>5449</v>
      </c>
      <c r="E29" s="241">
        <v>5075</v>
      </c>
      <c r="F29" s="154">
        <f t="shared" si="0"/>
        <v>-374</v>
      </c>
      <c r="G29" s="145">
        <f t="shared" si="3"/>
        <v>0.9313635529454946</v>
      </c>
      <c r="H29" s="367">
        <v>4784</v>
      </c>
      <c r="I29" s="123"/>
      <c r="J29" s="156">
        <f t="shared" si="1"/>
        <v>4784</v>
      </c>
      <c r="K29" s="144">
        <f t="shared" si="2"/>
        <v>-291</v>
      </c>
      <c r="L29" s="150">
        <f t="shared" si="4"/>
        <v>0.9426600985221675</v>
      </c>
    </row>
    <row r="30" spans="1:14" s="101" customFormat="1" ht="13.5">
      <c r="A30" s="514" t="s">
        <v>164</v>
      </c>
      <c r="B30" s="515"/>
      <c r="C30" s="515"/>
      <c r="D30" s="131">
        <v>929</v>
      </c>
      <c r="E30" s="242">
        <v>1010</v>
      </c>
      <c r="F30" s="155">
        <f t="shared" si="0"/>
        <v>81</v>
      </c>
      <c r="G30" s="147">
        <f t="shared" si="3"/>
        <v>1.0871905274488698</v>
      </c>
      <c r="H30" s="363">
        <v>1007</v>
      </c>
      <c r="I30" s="133"/>
      <c r="J30" s="157">
        <f t="shared" si="1"/>
        <v>1007</v>
      </c>
      <c r="K30" s="146">
        <f t="shared" si="2"/>
        <v>-3</v>
      </c>
      <c r="L30" s="151">
        <f t="shared" si="4"/>
        <v>0.997029702970297</v>
      </c>
      <c r="N30" s="129"/>
    </row>
    <row r="31" spans="1:12" s="101" customFormat="1" ht="13.5">
      <c r="A31" s="514" t="s">
        <v>43</v>
      </c>
      <c r="B31" s="515"/>
      <c r="C31" s="515"/>
      <c r="D31" s="125">
        <v>4520</v>
      </c>
      <c r="E31" s="240">
        <v>4065</v>
      </c>
      <c r="F31" s="154">
        <f t="shared" si="0"/>
        <v>-455</v>
      </c>
      <c r="G31" s="145">
        <f t="shared" si="3"/>
        <v>0.8993362831858407</v>
      </c>
      <c r="H31" s="127">
        <v>3777</v>
      </c>
      <c r="I31" s="128"/>
      <c r="J31" s="156">
        <f t="shared" si="1"/>
        <v>3777</v>
      </c>
      <c r="K31" s="144">
        <f t="shared" si="2"/>
        <v>-288</v>
      </c>
      <c r="L31" s="150">
        <f t="shared" si="4"/>
        <v>0.9291512915129151</v>
      </c>
    </row>
    <row r="32" spans="1:12" s="101" customFormat="1" ht="13.5">
      <c r="A32" s="511" t="s">
        <v>44</v>
      </c>
      <c r="B32" s="512"/>
      <c r="C32" s="512"/>
      <c r="D32" s="138"/>
      <c r="E32" s="241"/>
      <c r="F32" s="154">
        <f t="shared" si="0"/>
        <v>0</v>
      </c>
      <c r="G32" s="145"/>
      <c r="H32" s="122"/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514" t="s">
        <v>45</v>
      </c>
      <c r="B33" s="515"/>
      <c r="C33" s="515"/>
      <c r="D33" s="153"/>
      <c r="E33" s="243"/>
      <c r="F33" s="154">
        <f t="shared" si="0"/>
        <v>0</v>
      </c>
      <c r="G33" s="145"/>
      <c r="H33" s="158"/>
      <c r="I33" s="159"/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523" t="s">
        <v>46</v>
      </c>
      <c r="B34" s="524"/>
      <c r="C34" s="524"/>
      <c r="D34" s="171">
        <v>21369</v>
      </c>
      <c r="E34" s="244">
        <v>21354</v>
      </c>
      <c r="F34" s="173">
        <f t="shared" si="0"/>
        <v>-15</v>
      </c>
      <c r="G34" s="174">
        <f t="shared" si="3"/>
        <v>0.9992980485750386</v>
      </c>
      <c r="H34" s="172">
        <v>22872</v>
      </c>
      <c r="I34" s="172"/>
      <c r="J34" s="175">
        <f t="shared" si="1"/>
        <v>22872</v>
      </c>
      <c r="K34" s="173">
        <f t="shared" si="2"/>
        <v>1518</v>
      </c>
      <c r="L34" s="176">
        <f t="shared" si="4"/>
        <v>1.0710873840966564</v>
      </c>
    </row>
    <row r="35" spans="1:12" s="101" customFormat="1" ht="13.5">
      <c r="A35" s="526" t="s">
        <v>47</v>
      </c>
      <c r="B35" s="527"/>
      <c r="C35" s="527"/>
      <c r="D35" s="135">
        <v>3212</v>
      </c>
      <c r="E35" s="136">
        <v>2791</v>
      </c>
      <c r="F35" s="148">
        <f t="shared" si="0"/>
        <v>-421</v>
      </c>
      <c r="G35" s="149">
        <f t="shared" si="3"/>
        <v>0.8689290161892902</v>
      </c>
      <c r="H35" s="137">
        <v>4211</v>
      </c>
      <c r="I35" s="137"/>
      <c r="J35" s="134">
        <f t="shared" si="1"/>
        <v>4211</v>
      </c>
      <c r="K35" s="148">
        <f t="shared" si="2"/>
        <v>1420</v>
      </c>
      <c r="L35" s="152">
        <f t="shared" si="4"/>
        <v>1.5087782156932998</v>
      </c>
    </row>
    <row r="36" spans="1:12" s="101" customFormat="1" ht="13.5">
      <c r="A36" s="514" t="s">
        <v>48</v>
      </c>
      <c r="B36" s="515"/>
      <c r="C36" s="515"/>
      <c r="D36" s="125">
        <v>1845</v>
      </c>
      <c r="E36" s="126">
        <v>1961</v>
      </c>
      <c r="F36" s="144">
        <f t="shared" si="0"/>
        <v>116</v>
      </c>
      <c r="G36" s="145">
        <f t="shared" si="3"/>
        <v>1.0628726287262873</v>
      </c>
      <c r="H36" s="127">
        <v>2567</v>
      </c>
      <c r="I36" s="128"/>
      <c r="J36" s="124">
        <f t="shared" si="1"/>
        <v>2567</v>
      </c>
      <c r="K36" s="144">
        <f t="shared" si="2"/>
        <v>606</v>
      </c>
      <c r="L36" s="150">
        <f t="shared" si="4"/>
        <v>1.3090260071392146</v>
      </c>
    </row>
    <row r="37" spans="1:12" s="101" customFormat="1" ht="13.5">
      <c r="A37" s="514" t="s">
        <v>49</v>
      </c>
      <c r="B37" s="515"/>
      <c r="C37" s="515"/>
      <c r="D37" s="125">
        <v>104</v>
      </c>
      <c r="E37" s="126">
        <v>118</v>
      </c>
      <c r="F37" s="144">
        <f t="shared" si="0"/>
        <v>14</v>
      </c>
      <c r="G37" s="145">
        <f t="shared" si="3"/>
        <v>1.1346153846153846</v>
      </c>
      <c r="H37" s="127">
        <v>170</v>
      </c>
      <c r="I37" s="128"/>
      <c r="J37" s="124">
        <f t="shared" si="1"/>
        <v>170</v>
      </c>
      <c r="K37" s="144">
        <f t="shared" si="2"/>
        <v>52</v>
      </c>
      <c r="L37" s="150">
        <f t="shared" si="4"/>
        <v>1.4406779661016949</v>
      </c>
    </row>
    <row r="38" spans="1:12" s="101" customFormat="1" ht="13.5">
      <c r="A38" s="514" t="s">
        <v>50</v>
      </c>
      <c r="B38" s="515"/>
      <c r="C38" s="515"/>
      <c r="D38" s="138">
        <v>165</v>
      </c>
      <c r="E38" s="130">
        <v>37</v>
      </c>
      <c r="F38" s="144">
        <f t="shared" si="0"/>
        <v>-128</v>
      </c>
      <c r="G38" s="145">
        <f t="shared" si="3"/>
        <v>0.22424242424242424</v>
      </c>
      <c r="H38" s="122">
        <v>600</v>
      </c>
      <c r="I38" s="123"/>
      <c r="J38" s="124">
        <f t="shared" si="1"/>
        <v>600</v>
      </c>
      <c r="K38" s="144">
        <f t="shared" si="2"/>
        <v>563</v>
      </c>
      <c r="L38" s="150">
        <f t="shared" si="4"/>
        <v>16.216216216216218</v>
      </c>
    </row>
    <row r="39" spans="1:12" s="101" customFormat="1" ht="13.5">
      <c r="A39" s="514" t="s">
        <v>51</v>
      </c>
      <c r="B39" s="515"/>
      <c r="C39" s="515"/>
      <c r="D39" s="125"/>
      <c r="E39" s="126">
        <v>23</v>
      </c>
      <c r="F39" s="144">
        <f t="shared" si="0"/>
        <v>23</v>
      </c>
      <c r="G39" s="145"/>
      <c r="H39" s="127">
        <v>30</v>
      </c>
      <c r="I39" s="128"/>
      <c r="J39" s="124">
        <f t="shared" si="1"/>
        <v>30</v>
      </c>
      <c r="K39" s="144">
        <f t="shared" si="2"/>
        <v>7</v>
      </c>
      <c r="L39" s="150">
        <f t="shared" si="4"/>
        <v>1.3043478260869565</v>
      </c>
    </row>
    <row r="40" spans="1:12" s="101" customFormat="1" ht="13.5">
      <c r="A40" s="514" t="s">
        <v>52</v>
      </c>
      <c r="B40" s="515"/>
      <c r="C40" s="515"/>
      <c r="D40" s="125"/>
      <c r="E40" s="126">
        <v>20</v>
      </c>
      <c r="F40" s="144">
        <f t="shared" si="0"/>
        <v>20</v>
      </c>
      <c r="G40" s="145"/>
      <c r="H40" s="127">
        <v>40</v>
      </c>
      <c r="I40" s="128"/>
      <c r="J40" s="124">
        <f t="shared" si="1"/>
        <v>40</v>
      </c>
      <c r="K40" s="144">
        <f t="shared" si="2"/>
        <v>20</v>
      </c>
      <c r="L40" s="150">
        <f t="shared" si="4"/>
        <v>2</v>
      </c>
    </row>
    <row r="41" spans="1:14" s="101" customFormat="1" ht="13.5">
      <c r="A41" s="514" t="s">
        <v>53</v>
      </c>
      <c r="B41" s="515"/>
      <c r="C41" s="515"/>
      <c r="D41" s="125">
        <v>84</v>
      </c>
      <c r="E41" s="126">
        <v>42</v>
      </c>
      <c r="F41" s="144">
        <f t="shared" si="0"/>
        <v>-42</v>
      </c>
      <c r="G41" s="145">
        <f t="shared" si="3"/>
        <v>0.5</v>
      </c>
      <c r="H41" s="127">
        <v>100</v>
      </c>
      <c r="I41" s="128"/>
      <c r="J41" s="124">
        <f t="shared" si="1"/>
        <v>100</v>
      </c>
      <c r="K41" s="144">
        <f t="shared" si="2"/>
        <v>58</v>
      </c>
      <c r="L41" s="150">
        <f t="shared" si="4"/>
        <v>2.380952380952381</v>
      </c>
      <c r="N41" s="129"/>
    </row>
    <row r="42" spans="1:12" s="101" customFormat="1" ht="13.5">
      <c r="A42" s="514" t="s">
        <v>54</v>
      </c>
      <c r="B42" s="515"/>
      <c r="C42" s="515"/>
      <c r="D42" s="125">
        <v>193</v>
      </c>
      <c r="E42" s="126">
        <v>270</v>
      </c>
      <c r="F42" s="144">
        <f t="shared" si="0"/>
        <v>77</v>
      </c>
      <c r="G42" s="145">
        <f t="shared" si="3"/>
        <v>1.3989637305699483</v>
      </c>
      <c r="H42" s="127">
        <v>368</v>
      </c>
      <c r="I42" s="128"/>
      <c r="J42" s="124">
        <f t="shared" si="1"/>
        <v>368</v>
      </c>
      <c r="K42" s="144">
        <f t="shared" si="2"/>
        <v>98</v>
      </c>
      <c r="L42" s="150">
        <f t="shared" si="4"/>
        <v>1.362962962962963</v>
      </c>
    </row>
    <row r="43" spans="1:14" s="101" customFormat="1" ht="13.5">
      <c r="A43" s="514" t="s">
        <v>166</v>
      </c>
      <c r="B43" s="515"/>
      <c r="C43" s="515"/>
      <c r="D43" s="125"/>
      <c r="E43" s="126"/>
      <c r="F43" s="144">
        <f t="shared" si="0"/>
        <v>0</v>
      </c>
      <c r="G43" s="145"/>
      <c r="H43" s="127"/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5"/>
      <c r="D44" s="125"/>
      <c r="E44" s="126"/>
      <c r="F44" s="144">
        <f t="shared" si="0"/>
        <v>0</v>
      </c>
      <c r="G44" s="145"/>
      <c r="H44" s="127"/>
      <c r="I44" s="128"/>
      <c r="J44" s="124">
        <f t="shared" si="1"/>
        <v>0</v>
      </c>
      <c r="K44" s="144">
        <f t="shared" si="2"/>
        <v>0</v>
      </c>
      <c r="L44" s="150"/>
    </row>
    <row r="45" spans="1:12" s="101" customFormat="1" ht="13.5">
      <c r="A45" s="514" t="s">
        <v>55</v>
      </c>
      <c r="B45" s="515"/>
      <c r="C45" s="515"/>
      <c r="D45" s="125">
        <v>821</v>
      </c>
      <c r="E45" s="126">
        <v>320</v>
      </c>
      <c r="F45" s="144">
        <f t="shared" si="0"/>
        <v>-501</v>
      </c>
      <c r="G45" s="145">
        <f t="shared" si="3"/>
        <v>0.38976857490864797</v>
      </c>
      <c r="H45" s="127">
        <v>336</v>
      </c>
      <c r="I45" s="128"/>
      <c r="J45" s="124">
        <f t="shared" si="1"/>
        <v>336</v>
      </c>
      <c r="K45" s="144">
        <f t="shared" si="2"/>
        <v>16</v>
      </c>
      <c r="L45" s="150">
        <f t="shared" si="4"/>
        <v>1.05</v>
      </c>
    </row>
    <row r="46" spans="1:14" s="101" customFormat="1" ht="13.5">
      <c r="A46" s="526" t="s">
        <v>56</v>
      </c>
      <c r="B46" s="527"/>
      <c r="C46" s="527"/>
      <c r="D46" s="125">
        <v>1191</v>
      </c>
      <c r="E46" s="126">
        <v>1251</v>
      </c>
      <c r="F46" s="144">
        <f t="shared" si="0"/>
        <v>60</v>
      </c>
      <c r="G46" s="145">
        <f t="shared" si="3"/>
        <v>1.0503778337531486</v>
      </c>
      <c r="H46" s="127">
        <v>1579</v>
      </c>
      <c r="I46" s="127"/>
      <c r="J46" s="124">
        <f t="shared" si="1"/>
        <v>1579</v>
      </c>
      <c r="K46" s="144">
        <f t="shared" si="2"/>
        <v>328</v>
      </c>
      <c r="L46" s="150">
        <f t="shared" si="4"/>
        <v>1.2621902478017586</v>
      </c>
      <c r="N46" s="129"/>
    </row>
    <row r="47" spans="1:12" s="101" customFormat="1" ht="13.5">
      <c r="A47" s="514" t="s">
        <v>57</v>
      </c>
      <c r="B47" s="515"/>
      <c r="C47" s="515"/>
      <c r="D47" s="125">
        <v>631</v>
      </c>
      <c r="E47" s="126">
        <v>630</v>
      </c>
      <c r="F47" s="144">
        <f t="shared" si="0"/>
        <v>-1</v>
      </c>
      <c r="G47" s="145">
        <f t="shared" si="3"/>
        <v>0.9984152139461173</v>
      </c>
      <c r="H47" s="127">
        <v>682</v>
      </c>
      <c r="I47" s="128"/>
      <c r="J47" s="124">
        <f t="shared" si="1"/>
        <v>682</v>
      </c>
      <c r="K47" s="144">
        <f t="shared" si="2"/>
        <v>52</v>
      </c>
      <c r="L47" s="150">
        <f t="shared" si="4"/>
        <v>1.0825396825396825</v>
      </c>
    </row>
    <row r="48" spans="1:12" s="101" customFormat="1" ht="13.5">
      <c r="A48" s="514" t="s">
        <v>58</v>
      </c>
      <c r="B48" s="515"/>
      <c r="C48" s="515"/>
      <c r="D48" s="125">
        <v>357</v>
      </c>
      <c r="E48" s="126">
        <v>402</v>
      </c>
      <c r="F48" s="144">
        <f t="shared" si="0"/>
        <v>45</v>
      </c>
      <c r="G48" s="145">
        <f t="shared" si="3"/>
        <v>1.1260504201680672</v>
      </c>
      <c r="H48" s="127">
        <v>302</v>
      </c>
      <c r="I48" s="128"/>
      <c r="J48" s="124">
        <f t="shared" si="1"/>
        <v>302</v>
      </c>
      <c r="K48" s="144">
        <f t="shared" si="2"/>
        <v>-100</v>
      </c>
      <c r="L48" s="150">
        <f t="shared" si="4"/>
        <v>0.7512437810945274</v>
      </c>
    </row>
    <row r="49" spans="1:12" s="101" customFormat="1" ht="13.5">
      <c r="A49" s="514" t="s">
        <v>59</v>
      </c>
      <c r="B49" s="515"/>
      <c r="C49" s="515"/>
      <c r="D49" s="125">
        <v>203</v>
      </c>
      <c r="E49" s="126">
        <v>219</v>
      </c>
      <c r="F49" s="144">
        <f t="shared" si="0"/>
        <v>16</v>
      </c>
      <c r="G49" s="145">
        <f t="shared" si="3"/>
        <v>1.0788177339901477</v>
      </c>
      <c r="H49" s="127">
        <v>261</v>
      </c>
      <c r="I49" s="128"/>
      <c r="J49" s="124">
        <f t="shared" si="1"/>
        <v>261</v>
      </c>
      <c r="K49" s="144">
        <f t="shared" si="2"/>
        <v>42</v>
      </c>
      <c r="L49" s="150">
        <f t="shared" si="4"/>
        <v>1.1917808219178083</v>
      </c>
    </row>
    <row r="50" spans="1:12" s="101" customFormat="1" ht="13.5">
      <c r="A50" s="514" t="s">
        <v>168</v>
      </c>
      <c r="B50" s="515"/>
      <c r="C50" s="515"/>
      <c r="D50" s="125"/>
      <c r="E50" s="126"/>
      <c r="F50" s="144">
        <f t="shared" si="0"/>
        <v>0</v>
      </c>
      <c r="G50" s="145"/>
      <c r="H50" s="127">
        <v>334</v>
      </c>
      <c r="I50" s="128"/>
      <c r="J50" s="124">
        <f t="shared" si="1"/>
        <v>334</v>
      </c>
      <c r="K50" s="144">
        <f t="shared" si="2"/>
        <v>334</v>
      </c>
      <c r="L50" s="150"/>
    </row>
    <row r="51" spans="1:12" s="101" customFormat="1" ht="13.5">
      <c r="A51" s="526" t="s">
        <v>60</v>
      </c>
      <c r="B51" s="527"/>
      <c r="C51" s="527"/>
      <c r="D51" s="125"/>
      <c r="E51" s="126"/>
      <c r="F51" s="144">
        <f t="shared" si="0"/>
        <v>0</v>
      </c>
      <c r="G51" s="145"/>
      <c r="H51" s="127"/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7"/>
      <c r="D52" s="125"/>
      <c r="E52" s="126"/>
      <c r="F52" s="144">
        <f t="shared" si="0"/>
        <v>0</v>
      </c>
      <c r="G52" s="145"/>
      <c r="H52" s="127"/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7"/>
      <c r="D53" s="125">
        <v>532</v>
      </c>
      <c r="E53" s="126">
        <v>495</v>
      </c>
      <c r="F53" s="144">
        <f t="shared" si="0"/>
        <v>-37</v>
      </c>
      <c r="G53" s="145">
        <f t="shared" si="3"/>
        <v>0.9304511278195489</v>
      </c>
      <c r="H53" s="127">
        <v>920</v>
      </c>
      <c r="I53" s="128"/>
      <c r="J53" s="124">
        <f t="shared" si="1"/>
        <v>920</v>
      </c>
      <c r="K53" s="144">
        <f t="shared" si="2"/>
        <v>425</v>
      </c>
      <c r="L53" s="150">
        <f t="shared" si="4"/>
        <v>1.8585858585858586</v>
      </c>
    </row>
    <row r="54" spans="1:12" s="101" customFormat="1" ht="13.5">
      <c r="A54" s="529" t="s">
        <v>63</v>
      </c>
      <c r="B54" s="530"/>
      <c r="C54" s="530"/>
      <c r="D54" s="125"/>
      <c r="E54" s="126"/>
      <c r="F54" s="144">
        <f t="shared" si="0"/>
        <v>0</v>
      </c>
      <c r="G54" s="145"/>
      <c r="H54" s="127">
        <v>400</v>
      </c>
      <c r="I54" s="128"/>
      <c r="J54" s="124">
        <f t="shared" si="1"/>
        <v>400</v>
      </c>
      <c r="K54" s="144">
        <f t="shared" si="2"/>
        <v>400</v>
      </c>
      <c r="L54" s="150"/>
    </row>
    <row r="55" spans="1:12" s="101" customFormat="1" ht="13.5">
      <c r="A55" s="529" t="s">
        <v>169</v>
      </c>
      <c r="B55" s="530"/>
      <c r="C55" s="530"/>
      <c r="D55" s="125"/>
      <c r="E55" s="126">
        <v>494</v>
      </c>
      <c r="F55" s="144">
        <f t="shared" si="0"/>
        <v>494</v>
      </c>
      <c r="G55" s="145"/>
      <c r="H55" s="127">
        <v>500</v>
      </c>
      <c r="I55" s="128"/>
      <c r="J55" s="124">
        <f t="shared" si="1"/>
        <v>500</v>
      </c>
      <c r="K55" s="144">
        <f t="shared" si="2"/>
        <v>6</v>
      </c>
      <c r="L55" s="150">
        <f t="shared" si="4"/>
        <v>1.0121457489878543</v>
      </c>
    </row>
    <row r="56" spans="1:12" s="101" customFormat="1" ht="13.5">
      <c r="A56" s="529" t="s">
        <v>133</v>
      </c>
      <c r="B56" s="530"/>
      <c r="C56" s="530"/>
      <c r="D56" s="125"/>
      <c r="E56" s="126">
        <v>1</v>
      </c>
      <c r="F56" s="144">
        <f t="shared" si="0"/>
        <v>1</v>
      </c>
      <c r="G56" s="145"/>
      <c r="H56" s="127">
        <v>20</v>
      </c>
      <c r="I56" s="128"/>
      <c r="J56" s="124">
        <f t="shared" si="1"/>
        <v>20</v>
      </c>
      <c r="K56" s="144">
        <f t="shared" si="2"/>
        <v>19</v>
      </c>
      <c r="L56" s="150">
        <f t="shared" si="4"/>
        <v>20</v>
      </c>
    </row>
    <row r="57" spans="1:12" s="101" customFormat="1" ht="13.5">
      <c r="A57" s="526" t="s">
        <v>64</v>
      </c>
      <c r="B57" s="527"/>
      <c r="C57" s="527"/>
      <c r="D57" s="125">
        <v>54</v>
      </c>
      <c r="E57" s="126">
        <v>66</v>
      </c>
      <c r="F57" s="144">
        <f t="shared" si="0"/>
        <v>12</v>
      </c>
      <c r="G57" s="145">
        <f t="shared" si="3"/>
        <v>1.2222222222222223</v>
      </c>
      <c r="H57" s="127">
        <v>95</v>
      </c>
      <c r="I57" s="128"/>
      <c r="J57" s="124">
        <f t="shared" si="1"/>
        <v>95</v>
      </c>
      <c r="K57" s="144">
        <f t="shared" si="2"/>
        <v>29</v>
      </c>
      <c r="L57" s="150">
        <f t="shared" si="4"/>
        <v>1.4393939393939394</v>
      </c>
    </row>
    <row r="58" spans="1:12" s="101" customFormat="1" ht="13.5">
      <c r="A58" s="526" t="s">
        <v>65</v>
      </c>
      <c r="B58" s="527"/>
      <c r="C58" s="527"/>
      <c r="D58" s="125">
        <v>9</v>
      </c>
      <c r="E58" s="126">
        <v>9</v>
      </c>
      <c r="F58" s="144">
        <f t="shared" si="0"/>
        <v>0</v>
      </c>
      <c r="G58" s="145">
        <f t="shared" si="3"/>
        <v>1</v>
      </c>
      <c r="H58" s="127">
        <v>15</v>
      </c>
      <c r="I58" s="128"/>
      <c r="J58" s="124">
        <f t="shared" si="1"/>
        <v>15</v>
      </c>
      <c r="K58" s="144">
        <f t="shared" si="2"/>
        <v>6</v>
      </c>
      <c r="L58" s="150">
        <f t="shared" si="4"/>
        <v>1.6666666666666667</v>
      </c>
    </row>
    <row r="59" spans="1:14" s="101" customFormat="1" ht="13.5">
      <c r="A59" s="526" t="s">
        <v>66</v>
      </c>
      <c r="B59" s="527"/>
      <c r="C59" s="527"/>
      <c r="D59" s="125">
        <v>1355</v>
      </c>
      <c r="E59" s="126">
        <v>1087</v>
      </c>
      <c r="F59" s="144">
        <f t="shared" si="0"/>
        <v>-268</v>
      </c>
      <c r="G59" s="145">
        <f t="shared" si="3"/>
        <v>0.8022140221402214</v>
      </c>
      <c r="H59" s="127">
        <v>1846</v>
      </c>
      <c r="I59" s="128"/>
      <c r="J59" s="124">
        <f t="shared" si="1"/>
        <v>1846</v>
      </c>
      <c r="K59" s="144">
        <f t="shared" si="2"/>
        <v>759</v>
      </c>
      <c r="L59" s="150">
        <f t="shared" si="4"/>
        <v>1.6982520699172032</v>
      </c>
      <c r="N59" s="129"/>
    </row>
    <row r="60" spans="1:12" s="101" customFormat="1" ht="13.5">
      <c r="A60" s="514" t="s">
        <v>67</v>
      </c>
      <c r="B60" s="515"/>
      <c r="C60" s="515"/>
      <c r="D60" s="125">
        <v>98</v>
      </c>
      <c r="E60" s="126">
        <v>101</v>
      </c>
      <c r="F60" s="144">
        <f t="shared" si="0"/>
        <v>3</v>
      </c>
      <c r="G60" s="145">
        <f t="shared" si="3"/>
        <v>1.030612244897959</v>
      </c>
      <c r="H60" s="127">
        <v>150</v>
      </c>
      <c r="I60" s="128"/>
      <c r="J60" s="124">
        <f t="shared" si="1"/>
        <v>150</v>
      </c>
      <c r="K60" s="144">
        <f t="shared" si="2"/>
        <v>49</v>
      </c>
      <c r="L60" s="150">
        <f t="shared" si="4"/>
        <v>1.4851485148514851</v>
      </c>
    </row>
    <row r="61" spans="1:12" s="101" customFormat="1" ht="13.5">
      <c r="A61" s="514" t="s">
        <v>68</v>
      </c>
      <c r="B61" s="515"/>
      <c r="C61" s="515"/>
      <c r="D61" s="125"/>
      <c r="E61" s="126">
        <v>25</v>
      </c>
      <c r="F61" s="144">
        <f t="shared" si="0"/>
        <v>25</v>
      </c>
      <c r="G61" s="145"/>
      <c r="H61" s="127">
        <v>25</v>
      </c>
      <c r="I61" s="128"/>
      <c r="J61" s="124">
        <f t="shared" si="1"/>
        <v>25</v>
      </c>
      <c r="K61" s="144">
        <f t="shared" si="2"/>
        <v>0</v>
      </c>
      <c r="L61" s="150">
        <f t="shared" si="4"/>
        <v>1</v>
      </c>
    </row>
    <row r="62" spans="1:12" s="101" customFormat="1" ht="13.5">
      <c r="A62" s="514" t="s">
        <v>69</v>
      </c>
      <c r="B62" s="515"/>
      <c r="C62" s="515"/>
      <c r="D62" s="125"/>
      <c r="E62" s="126">
        <v>9</v>
      </c>
      <c r="F62" s="144">
        <f t="shared" si="0"/>
        <v>9</v>
      </c>
      <c r="G62" s="145"/>
      <c r="H62" s="127"/>
      <c r="I62" s="128"/>
      <c r="J62" s="124">
        <f t="shared" si="1"/>
        <v>0</v>
      </c>
      <c r="K62" s="144">
        <f t="shared" si="2"/>
        <v>-9</v>
      </c>
      <c r="L62" s="150">
        <f t="shared" si="4"/>
        <v>0</v>
      </c>
    </row>
    <row r="63" spans="1:12" s="101" customFormat="1" ht="13.5">
      <c r="A63" s="514" t="s">
        <v>70</v>
      </c>
      <c r="B63" s="515"/>
      <c r="C63" s="515"/>
      <c r="D63" s="125"/>
      <c r="E63" s="126">
        <v>180</v>
      </c>
      <c r="F63" s="144">
        <f t="shared" si="0"/>
        <v>180</v>
      </c>
      <c r="G63" s="145"/>
      <c r="H63" s="127">
        <v>300</v>
      </c>
      <c r="I63" s="128"/>
      <c r="J63" s="124">
        <f t="shared" si="1"/>
        <v>300</v>
      </c>
      <c r="K63" s="144">
        <f t="shared" si="2"/>
        <v>120</v>
      </c>
      <c r="L63" s="150">
        <f t="shared" si="4"/>
        <v>1.6666666666666667</v>
      </c>
    </row>
    <row r="64" spans="1:12" s="101" customFormat="1" ht="13.5">
      <c r="A64" s="514" t="s">
        <v>71</v>
      </c>
      <c r="B64" s="515"/>
      <c r="C64" s="515"/>
      <c r="D64" s="125"/>
      <c r="E64" s="126"/>
      <c r="F64" s="144">
        <f t="shared" si="0"/>
        <v>0</v>
      </c>
      <c r="G64" s="145"/>
      <c r="H64" s="127">
        <v>171</v>
      </c>
      <c r="I64" s="128"/>
      <c r="J64" s="124">
        <f t="shared" si="1"/>
        <v>171</v>
      </c>
      <c r="K64" s="144">
        <f t="shared" si="2"/>
        <v>171</v>
      </c>
      <c r="L64" s="150"/>
    </row>
    <row r="65" spans="1:12" s="101" customFormat="1" ht="13.5">
      <c r="A65" s="514" t="s">
        <v>170</v>
      </c>
      <c r="B65" s="515"/>
      <c r="C65" s="515"/>
      <c r="D65" s="125"/>
      <c r="E65" s="126">
        <v>138</v>
      </c>
      <c r="F65" s="144">
        <f t="shared" si="0"/>
        <v>138</v>
      </c>
      <c r="G65" s="145"/>
      <c r="H65" s="127">
        <v>200</v>
      </c>
      <c r="I65" s="128"/>
      <c r="J65" s="124">
        <f t="shared" si="1"/>
        <v>200</v>
      </c>
      <c r="K65" s="144">
        <f t="shared" si="2"/>
        <v>62</v>
      </c>
      <c r="L65" s="150">
        <f t="shared" si="4"/>
        <v>1.4492753623188406</v>
      </c>
    </row>
    <row r="66" spans="1:12" s="101" customFormat="1" ht="13.5">
      <c r="A66" s="514" t="s">
        <v>72</v>
      </c>
      <c r="B66" s="515"/>
      <c r="C66" s="515"/>
      <c r="D66" s="125">
        <v>48</v>
      </c>
      <c r="E66" s="126">
        <v>77</v>
      </c>
      <c r="F66" s="144">
        <f t="shared" si="0"/>
        <v>29</v>
      </c>
      <c r="G66" s="145">
        <f t="shared" si="3"/>
        <v>1.6041666666666667</v>
      </c>
      <c r="H66" s="127">
        <v>150</v>
      </c>
      <c r="I66" s="128"/>
      <c r="J66" s="124">
        <f t="shared" si="1"/>
        <v>150</v>
      </c>
      <c r="K66" s="144">
        <f t="shared" si="2"/>
        <v>73</v>
      </c>
      <c r="L66" s="150">
        <f t="shared" si="4"/>
        <v>1.948051948051948</v>
      </c>
    </row>
    <row r="67" spans="1:12" s="101" customFormat="1" ht="13.5">
      <c r="A67" s="514" t="s">
        <v>73</v>
      </c>
      <c r="B67" s="515"/>
      <c r="C67" s="515"/>
      <c r="D67" s="125">
        <v>1209</v>
      </c>
      <c r="E67" s="126">
        <v>557</v>
      </c>
      <c r="F67" s="144">
        <f t="shared" si="0"/>
        <v>-652</v>
      </c>
      <c r="G67" s="145">
        <f>E67/D67</f>
        <v>0.46071133167907363</v>
      </c>
      <c r="H67" s="127">
        <v>850</v>
      </c>
      <c r="I67" s="128"/>
      <c r="J67" s="124">
        <f t="shared" si="1"/>
        <v>850</v>
      </c>
      <c r="K67" s="144">
        <f t="shared" si="2"/>
        <v>293</v>
      </c>
      <c r="L67" s="150">
        <f t="shared" si="4"/>
        <v>1.5260323159784561</v>
      </c>
    </row>
    <row r="68" spans="1:12" s="101" customFormat="1" ht="13.5">
      <c r="A68" s="514" t="s">
        <v>171</v>
      </c>
      <c r="B68" s="515"/>
      <c r="C68" s="515"/>
      <c r="D68" s="125"/>
      <c r="E68" s="126"/>
      <c r="F68" s="144">
        <f t="shared" si="0"/>
        <v>0</v>
      </c>
      <c r="G68" s="145"/>
      <c r="H68" s="127"/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7"/>
      <c r="D69" s="125">
        <v>14344</v>
      </c>
      <c r="E69" s="126">
        <v>14475</v>
      </c>
      <c r="F69" s="144">
        <f t="shared" si="0"/>
        <v>131</v>
      </c>
      <c r="G69" s="145">
        <f t="shared" si="3"/>
        <v>1.0091327384272168</v>
      </c>
      <c r="H69" s="127">
        <v>18956</v>
      </c>
      <c r="I69" s="128"/>
      <c r="J69" s="124">
        <f t="shared" si="1"/>
        <v>18956</v>
      </c>
      <c r="K69" s="144">
        <f t="shared" si="2"/>
        <v>4481</v>
      </c>
      <c r="L69" s="150">
        <f t="shared" si="4"/>
        <v>1.3095682210708117</v>
      </c>
      <c r="N69" s="129"/>
    </row>
    <row r="70" spans="1:12" s="101" customFormat="1" ht="13.5">
      <c r="A70" s="514" t="s">
        <v>75</v>
      </c>
      <c r="B70" s="515"/>
      <c r="C70" s="515"/>
      <c r="D70" s="125">
        <v>10583</v>
      </c>
      <c r="E70" s="126">
        <v>10663</v>
      </c>
      <c r="F70" s="144">
        <f t="shared" si="0"/>
        <v>80</v>
      </c>
      <c r="G70" s="145">
        <f t="shared" si="3"/>
        <v>1.0075592932060853</v>
      </c>
      <c r="H70" s="127">
        <v>14262</v>
      </c>
      <c r="I70" s="128"/>
      <c r="J70" s="124">
        <f t="shared" si="1"/>
        <v>14262</v>
      </c>
      <c r="K70" s="144">
        <f t="shared" si="2"/>
        <v>3599</v>
      </c>
      <c r="L70" s="150">
        <f t="shared" si="4"/>
        <v>1.3375222732814405</v>
      </c>
    </row>
    <row r="71" spans="1:12" s="101" customFormat="1" ht="13.5">
      <c r="A71" s="514" t="s">
        <v>76</v>
      </c>
      <c r="B71" s="515"/>
      <c r="C71" s="515"/>
      <c r="D71" s="125">
        <v>10153</v>
      </c>
      <c r="E71" s="126">
        <v>10215</v>
      </c>
      <c r="F71" s="144">
        <f t="shared" si="0"/>
        <v>62</v>
      </c>
      <c r="G71" s="145">
        <f t="shared" si="3"/>
        <v>1.0061065694868512</v>
      </c>
      <c r="H71" s="127">
        <v>13574</v>
      </c>
      <c r="I71" s="128"/>
      <c r="J71" s="124">
        <f t="shared" si="1"/>
        <v>13574</v>
      </c>
      <c r="K71" s="144">
        <f t="shared" si="2"/>
        <v>3359</v>
      </c>
      <c r="L71" s="150">
        <f t="shared" si="4"/>
        <v>1.3288301517376406</v>
      </c>
    </row>
    <row r="72" spans="1:12" s="101" customFormat="1" ht="13.5">
      <c r="A72" s="514" t="s">
        <v>172</v>
      </c>
      <c r="B72" s="515"/>
      <c r="C72" s="515"/>
      <c r="D72" s="125">
        <v>10155</v>
      </c>
      <c r="E72" s="126">
        <v>10155</v>
      </c>
      <c r="F72" s="144">
        <f t="shared" si="0"/>
        <v>0</v>
      </c>
      <c r="G72" s="145">
        <f t="shared" si="3"/>
        <v>1</v>
      </c>
      <c r="H72" s="127">
        <v>13363</v>
      </c>
      <c r="I72" s="128"/>
      <c r="J72" s="124">
        <f t="shared" si="1"/>
        <v>13363</v>
      </c>
      <c r="K72" s="144">
        <f t="shared" si="2"/>
        <v>3208</v>
      </c>
      <c r="L72" s="150">
        <f t="shared" si="4"/>
        <v>1.3159034958148694</v>
      </c>
    </row>
    <row r="73" spans="1:14" s="101" customFormat="1" ht="13.5">
      <c r="A73" s="514" t="s">
        <v>77</v>
      </c>
      <c r="B73" s="515"/>
      <c r="C73" s="515"/>
      <c r="D73" s="125">
        <v>430</v>
      </c>
      <c r="E73" s="126">
        <v>448</v>
      </c>
      <c r="F73" s="144">
        <f t="shared" si="0"/>
        <v>18</v>
      </c>
      <c r="G73" s="145">
        <f t="shared" si="3"/>
        <v>1.041860465116279</v>
      </c>
      <c r="H73" s="127">
        <v>688</v>
      </c>
      <c r="I73" s="128"/>
      <c r="J73" s="124">
        <f t="shared" si="1"/>
        <v>688</v>
      </c>
      <c r="K73" s="144">
        <f t="shared" si="2"/>
        <v>240</v>
      </c>
      <c r="L73" s="150">
        <f t="shared" si="4"/>
        <v>1.5357142857142858</v>
      </c>
      <c r="N73" s="129"/>
    </row>
    <row r="74" spans="1:12" s="101" customFormat="1" ht="13.5">
      <c r="A74" s="514" t="s">
        <v>78</v>
      </c>
      <c r="B74" s="515"/>
      <c r="C74" s="515"/>
      <c r="D74" s="125">
        <v>3761</v>
      </c>
      <c r="E74" s="126">
        <v>3812</v>
      </c>
      <c r="F74" s="144">
        <f t="shared" si="0"/>
        <v>51</v>
      </c>
      <c r="G74" s="145">
        <f t="shared" si="3"/>
        <v>1.013560223344855</v>
      </c>
      <c r="H74" s="127">
        <v>4694</v>
      </c>
      <c r="I74" s="128"/>
      <c r="J74" s="124">
        <f t="shared" si="1"/>
        <v>4694</v>
      </c>
      <c r="K74" s="144">
        <f t="shared" si="2"/>
        <v>882</v>
      </c>
      <c r="L74" s="150">
        <f t="shared" si="4"/>
        <v>1.2313746065057714</v>
      </c>
    </row>
    <row r="75" spans="1:15" s="101" customFormat="1" ht="13.5">
      <c r="A75" s="526" t="s">
        <v>79</v>
      </c>
      <c r="B75" s="527"/>
      <c r="C75" s="527"/>
      <c r="D75" s="125">
        <v>1</v>
      </c>
      <c r="E75" s="126">
        <v>2</v>
      </c>
      <c r="F75" s="144">
        <f t="shared" si="0"/>
        <v>1</v>
      </c>
      <c r="G75" s="145">
        <f t="shared" si="3"/>
        <v>2</v>
      </c>
      <c r="H75" s="127">
        <v>2</v>
      </c>
      <c r="I75" s="128"/>
      <c r="J75" s="124">
        <f t="shared" si="1"/>
        <v>2</v>
      </c>
      <c r="K75" s="144">
        <f t="shared" si="2"/>
        <v>0</v>
      </c>
      <c r="L75" s="150">
        <f t="shared" si="4"/>
        <v>1</v>
      </c>
      <c r="N75" s="129"/>
      <c r="O75" s="139"/>
    </row>
    <row r="76" spans="1:12" s="101" customFormat="1" ht="13.5">
      <c r="A76" s="514" t="s">
        <v>80</v>
      </c>
      <c r="B76" s="515"/>
      <c r="C76" s="515"/>
      <c r="D76" s="125"/>
      <c r="E76" s="126"/>
      <c r="F76" s="144">
        <f aca="true" t="shared" si="5" ref="F76:F90">E76-D76</f>
        <v>0</v>
      </c>
      <c r="G76" s="145"/>
      <c r="H76" s="127"/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7"/>
      <c r="D77" s="125">
        <v>139</v>
      </c>
      <c r="E77" s="126">
        <v>70</v>
      </c>
      <c r="F77" s="144">
        <f t="shared" si="5"/>
        <v>-69</v>
      </c>
      <c r="G77" s="145">
        <f>E77/D77</f>
        <v>0.5035971223021583</v>
      </c>
      <c r="H77" s="127">
        <v>150</v>
      </c>
      <c r="I77" s="128"/>
      <c r="J77" s="124">
        <f t="shared" si="6"/>
        <v>150</v>
      </c>
      <c r="K77" s="144">
        <f t="shared" si="7"/>
        <v>80</v>
      </c>
      <c r="L77" s="150">
        <f aca="true" t="shared" si="8" ref="L77:L86">J77/E77</f>
        <v>2.142857142857143</v>
      </c>
    </row>
    <row r="78" spans="1:12" s="101" customFormat="1" ht="13.5">
      <c r="A78" s="514" t="s">
        <v>82</v>
      </c>
      <c r="B78" s="515"/>
      <c r="C78" s="515"/>
      <c r="D78" s="138"/>
      <c r="E78" s="130"/>
      <c r="F78" s="144">
        <f t="shared" si="5"/>
        <v>0</v>
      </c>
      <c r="G78" s="145"/>
      <c r="H78" s="122"/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5"/>
      <c r="D79" s="125"/>
      <c r="E79" s="126"/>
      <c r="F79" s="144">
        <f t="shared" si="5"/>
        <v>0</v>
      </c>
      <c r="G79" s="145"/>
      <c r="H79" s="127"/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7"/>
      <c r="D80" s="125">
        <v>532</v>
      </c>
      <c r="E80" s="126">
        <v>1098</v>
      </c>
      <c r="F80" s="144">
        <f t="shared" si="5"/>
        <v>566</v>
      </c>
      <c r="G80" s="145">
        <f>E80/D80</f>
        <v>2.06390977443609</v>
      </c>
      <c r="H80" s="127">
        <v>2138</v>
      </c>
      <c r="I80" s="128"/>
      <c r="J80" s="124">
        <f t="shared" si="6"/>
        <v>2138</v>
      </c>
      <c r="K80" s="144">
        <f t="shared" si="7"/>
        <v>1040</v>
      </c>
      <c r="L80" s="150">
        <f t="shared" si="8"/>
        <v>1.947176684881603</v>
      </c>
    </row>
    <row r="81" spans="1:12" s="101" customFormat="1" ht="13.5">
      <c r="A81" s="514" t="s">
        <v>85</v>
      </c>
      <c r="B81" s="515"/>
      <c r="C81" s="515"/>
      <c r="D81" s="125"/>
      <c r="E81" s="126">
        <v>553</v>
      </c>
      <c r="F81" s="144">
        <f t="shared" si="5"/>
        <v>553</v>
      </c>
      <c r="G81" s="145"/>
      <c r="H81" s="366">
        <v>978</v>
      </c>
      <c r="I81" s="128"/>
      <c r="J81" s="124">
        <f t="shared" si="6"/>
        <v>978</v>
      </c>
      <c r="K81" s="144">
        <f t="shared" si="7"/>
        <v>425</v>
      </c>
      <c r="L81" s="150">
        <f t="shared" si="8"/>
        <v>1.7685352622061483</v>
      </c>
    </row>
    <row r="82" spans="1:12" s="101" customFormat="1" ht="13.5">
      <c r="A82" s="514" t="s">
        <v>86</v>
      </c>
      <c r="B82" s="515"/>
      <c r="C82" s="515"/>
      <c r="D82" s="125"/>
      <c r="E82" s="126">
        <v>51</v>
      </c>
      <c r="F82" s="144">
        <f t="shared" si="5"/>
        <v>51</v>
      </c>
      <c r="G82" s="145"/>
      <c r="H82" s="127">
        <v>100</v>
      </c>
      <c r="I82" s="128"/>
      <c r="J82" s="124">
        <f t="shared" si="6"/>
        <v>100</v>
      </c>
      <c r="K82" s="144">
        <f t="shared" si="7"/>
        <v>49</v>
      </c>
      <c r="L82" s="150">
        <f t="shared" si="8"/>
        <v>1.9607843137254901</v>
      </c>
    </row>
    <row r="83" spans="1:12" s="101" customFormat="1" ht="13.5">
      <c r="A83" s="514" t="s">
        <v>173</v>
      </c>
      <c r="B83" s="515"/>
      <c r="C83" s="515"/>
      <c r="D83" s="125"/>
      <c r="E83" s="126"/>
      <c r="F83" s="144">
        <f t="shared" si="5"/>
        <v>0</v>
      </c>
      <c r="G83" s="145"/>
      <c r="H83" s="127"/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5"/>
      <c r="D84" s="125"/>
      <c r="E84" s="126">
        <v>494</v>
      </c>
      <c r="F84" s="144">
        <f t="shared" si="5"/>
        <v>494</v>
      </c>
      <c r="G84" s="145"/>
      <c r="H84" s="127">
        <v>1060</v>
      </c>
      <c r="I84" s="128"/>
      <c r="J84" s="124">
        <f t="shared" si="6"/>
        <v>1060</v>
      </c>
      <c r="K84" s="144">
        <f t="shared" si="7"/>
        <v>566</v>
      </c>
      <c r="L84" s="150">
        <f t="shared" si="8"/>
        <v>2.145748987854251</v>
      </c>
    </row>
    <row r="85" spans="1:12" s="101" customFormat="1" ht="13.5">
      <c r="A85" s="514" t="s">
        <v>174</v>
      </c>
      <c r="B85" s="515"/>
      <c r="C85" s="515"/>
      <c r="D85" s="125"/>
      <c r="E85" s="126">
        <v>479</v>
      </c>
      <c r="F85" s="144">
        <f t="shared" si="5"/>
        <v>479</v>
      </c>
      <c r="G85" s="145"/>
      <c r="H85" s="127">
        <v>1000</v>
      </c>
      <c r="I85" s="128"/>
      <c r="J85" s="124">
        <f t="shared" si="6"/>
        <v>1000</v>
      </c>
      <c r="K85" s="144">
        <f t="shared" si="7"/>
        <v>521</v>
      </c>
      <c r="L85" s="150">
        <f t="shared" si="8"/>
        <v>2.0876826722338206</v>
      </c>
    </row>
    <row r="86" spans="1:14" s="101" customFormat="1" ht="13.5">
      <c r="A86" s="514" t="s">
        <v>175</v>
      </c>
      <c r="B86" s="515"/>
      <c r="C86" s="515"/>
      <c r="D86" s="125"/>
      <c r="E86" s="126">
        <v>15</v>
      </c>
      <c r="F86" s="144">
        <f t="shared" si="5"/>
        <v>15</v>
      </c>
      <c r="G86" s="145"/>
      <c r="H86" s="127">
        <v>60</v>
      </c>
      <c r="I86" s="128"/>
      <c r="J86" s="124">
        <f t="shared" si="6"/>
        <v>60</v>
      </c>
      <c r="K86" s="144">
        <f t="shared" si="7"/>
        <v>45</v>
      </c>
      <c r="L86" s="150">
        <f t="shared" si="8"/>
        <v>4</v>
      </c>
      <c r="N86" s="129"/>
    </row>
    <row r="87" spans="1:12" s="101" customFormat="1" ht="13.5">
      <c r="A87" s="526" t="s">
        <v>88</v>
      </c>
      <c r="B87" s="527"/>
      <c r="C87" s="527"/>
      <c r="D87" s="125"/>
      <c r="E87" s="126"/>
      <c r="F87" s="144">
        <f t="shared" si="5"/>
        <v>0</v>
      </c>
      <c r="G87" s="145"/>
      <c r="H87" s="127"/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5"/>
      <c r="D88" s="125"/>
      <c r="E88" s="126"/>
      <c r="F88" s="144">
        <f t="shared" si="5"/>
        <v>0</v>
      </c>
      <c r="G88" s="145"/>
      <c r="H88" s="127"/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7"/>
      <c r="D89" s="125"/>
      <c r="E89" s="126"/>
      <c r="F89" s="144">
        <f t="shared" si="5"/>
        <v>0</v>
      </c>
      <c r="G89" s="145"/>
      <c r="H89" s="127"/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15"/>
      <c r="D90" s="245"/>
      <c r="E90" s="140"/>
      <c r="F90" s="144">
        <f t="shared" si="5"/>
        <v>0</v>
      </c>
      <c r="G90" s="145"/>
      <c r="H90" s="127"/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21369</v>
      </c>
      <c r="E91" s="178">
        <v>21344</v>
      </c>
      <c r="F91" s="179"/>
      <c r="G91" s="179"/>
      <c r="H91" s="180">
        <v>29912</v>
      </c>
      <c r="I91" s="180"/>
      <c r="J91" s="181">
        <f>H91</f>
        <v>29912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v>0</v>
      </c>
      <c r="E92" s="184">
        <v>10</v>
      </c>
      <c r="F92" s="185"/>
      <c r="G92" s="185"/>
      <c r="H92" s="184">
        <v>-7040</v>
      </c>
      <c r="I92" s="184"/>
      <c r="J92" s="186">
        <f>H92</f>
        <v>-7040</v>
      </c>
      <c r="K92" s="170"/>
      <c r="L92" s="187"/>
      <c r="M92" s="141"/>
      <c r="N92" s="141"/>
      <c r="O92" s="143"/>
    </row>
    <row r="93" spans="1:15" s="34" customFormat="1" ht="13.5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5" s="34" customFormat="1" ht="13.5">
      <c r="A94" s="35"/>
      <c r="B94" s="36"/>
      <c r="C94" s="36"/>
      <c r="D94" s="37"/>
      <c r="E94" s="38"/>
      <c r="F94" s="36"/>
      <c r="G94" s="36"/>
      <c r="H94" s="39"/>
      <c r="I94" s="40"/>
      <c r="J94" s="41"/>
      <c r="K94" s="35"/>
      <c r="L94" s="36"/>
      <c r="M94" s="36"/>
      <c r="N94" s="36"/>
      <c r="O94" s="39"/>
    </row>
    <row r="95" spans="1:15" s="34" customFormat="1" ht="14.25" thickBot="1">
      <c r="A95" s="35"/>
      <c r="B95" s="36"/>
      <c r="C95" s="36"/>
      <c r="D95" s="37"/>
      <c r="E95" s="38"/>
      <c r="F95" s="36"/>
      <c r="G95" s="36"/>
      <c r="H95" s="39"/>
      <c r="I95" s="40"/>
      <c r="J95" s="41"/>
      <c r="K95" s="35"/>
      <c r="L95" s="36"/>
      <c r="M95" s="36"/>
      <c r="N95" s="36"/>
      <c r="O95" s="39"/>
    </row>
    <row r="96" spans="1:14" ht="13.5">
      <c r="A96" s="561" t="s">
        <v>178</v>
      </c>
      <c r="B96" s="562"/>
      <c r="C96" s="565" t="s">
        <v>104</v>
      </c>
      <c r="D96" s="42"/>
      <c r="E96" s="561" t="s">
        <v>179</v>
      </c>
      <c r="F96" s="567"/>
      <c r="G96" s="567"/>
      <c r="H96" s="562"/>
      <c r="I96" s="565" t="s">
        <v>104</v>
      </c>
      <c r="J96" s="43"/>
      <c r="K96" s="43"/>
      <c r="L96" s="43"/>
      <c r="M96" s="43"/>
      <c r="N96" s="43"/>
    </row>
    <row r="97" spans="1:14" ht="14.25" thickBot="1">
      <c r="A97" s="563"/>
      <c r="B97" s="564"/>
      <c r="C97" s="566"/>
      <c r="D97" s="42"/>
      <c r="E97" s="568"/>
      <c r="F97" s="569"/>
      <c r="G97" s="569"/>
      <c r="H97" s="570"/>
      <c r="I97" s="571"/>
      <c r="J97" s="43"/>
      <c r="K97" s="43"/>
      <c r="L97" s="43"/>
      <c r="M97" s="43"/>
      <c r="N97" s="43"/>
    </row>
    <row r="98" spans="1:14" ht="14.25" thickBot="1">
      <c r="A98" s="212" t="s">
        <v>341</v>
      </c>
      <c r="B98" s="213"/>
      <c r="C98" s="109">
        <v>150</v>
      </c>
      <c r="D98" s="92"/>
      <c r="E98" s="214" t="s">
        <v>347</v>
      </c>
      <c r="F98" s="215"/>
      <c r="G98" s="215"/>
      <c r="H98" s="216"/>
      <c r="I98" s="110">
        <v>150</v>
      </c>
      <c r="J98" s="43"/>
      <c r="K98" s="43"/>
      <c r="L98" s="43"/>
      <c r="M98" s="43"/>
      <c r="N98" s="38" t="s">
        <v>105</v>
      </c>
    </row>
    <row r="99" spans="1:14" ht="13.5">
      <c r="A99" s="212" t="s">
        <v>342</v>
      </c>
      <c r="B99" s="213"/>
      <c r="C99" s="109">
        <v>150</v>
      </c>
      <c r="D99" s="92"/>
      <c r="E99" s="214" t="s">
        <v>348</v>
      </c>
      <c r="F99" s="215"/>
      <c r="G99" s="215"/>
      <c r="H99" s="216"/>
      <c r="I99" s="111">
        <v>150</v>
      </c>
      <c r="J99" s="43"/>
      <c r="K99" s="44" t="s">
        <v>106</v>
      </c>
      <c r="L99" s="44"/>
      <c r="M99" s="45">
        <v>2011</v>
      </c>
      <c r="N99" s="46">
        <v>2012</v>
      </c>
    </row>
    <row r="100" spans="1:14" ht="13.5">
      <c r="A100" s="376" t="s">
        <v>343</v>
      </c>
      <c r="B100" s="377"/>
      <c r="C100" s="369">
        <v>210</v>
      </c>
      <c r="D100" s="92"/>
      <c r="E100" s="214" t="s">
        <v>349</v>
      </c>
      <c r="F100" s="215"/>
      <c r="G100" s="215"/>
      <c r="H100" s="216"/>
      <c r="I100" s="111">
        <v>250</v>
      </c>
      <c r="J100" s="43"/>
      <c r="K100" s="47" t="s">
        <v>107</v>
      </c>
      <c r="L100" s="47"/>
      <c r="M100" s="48">
        <v>0</v>
      </c>
      <c r="N100" s="49">
        <v>0</v>
      </c>
    </row>
    <row r="101" spans="1:14" ht="13.5">
      <c r="A101" s="212" t="s">
        <v>344</v>
      </c>
      <c r="B101" s="213"/>
      <c r="C101" s="109">
        <v>300</v>
      </c>
      <c r="D101" s="92"/>
      <c r="E101" s="214" t="s">
        <v>350</v>
      </c>
      <c r="F101" s="215"/>
      <c r="G101" s="215"/>
      <c r="H101" s="216"/>
      <c r="I101" s="111">
        <v>300</v>
      </c>
      <c r="J101" s="43"/>
      <c r="K101" s="47" t="s">
        <v>108</v>
      </c>
      <c r="L101" s="50"/>
      <c r="M101" s="51">
        <v>0</v>
      </c>
      <c r="N101" s="52">
        <v>0</v>
      </c>
    </row>
    <row r="102" spans="1:14" ht="14.25" thickBot="1">
      <c r="A102" s="212" t="s">
        <v>345</v>
      </c>
      <c r="B102" s="213"/>
      <c r="C102" s="109">
        <v>370</v>
      </c>
      <c r="D102" s="92"/>
      <c r="E102" s="214" t="s">
        <v>311</v>
      </c>
      <c r="F102" s="215"/>
      <c r="G102" s="215"/>
      <c r="H102" s="216"/>
      <c r="I102" s="208">
        <v>20</v>
      </c>
      <c r="J102" s="43"/>
      <c r="K102" s="53" t="s">
        <v>109</v>
      </c>
      <c r="L102" s="54"/>
      <c r="M102" s="55">
        <v>0</v>
      </c>
      <c r="N102" s="56">
        <v>0</v>
      </c>
    </row>
    <row r="103" spans="1:14" ht="13.5">
      <c r="A103" s="212" t="s">
        <v>346</v>
      </c>
      <c r="B103" s="213"/>
      <c r="C103" s="109">
        <v>123</v>
      </c>
      <c r="D103" s="92"/>
      <c r="E103" s="214" t="s">
        <v>351</v>
      </c>
      <c r="F103" s="215"/>
      <c r="G103" s="215"/>
      <c r="H103" s="216"/>
      <c r="I103" s="208">
        <v>50</v>
      </c>
      <c r="J103" s="43"/>
      <c r="K103" s="43"/>
      <c r="L103" s="43"/>
      <c r="M103" s="43"/>
      <c r="N103" s="43"/>
    </row>
    <row r="104" spans="1:14" ht="13.5">
      <c r="A104" s="212"/>
      <c r="B104" s="213"/>
      <c r="C104" s="93"/>
      <c r="D104" s="92"/>
      <c r="E104" s="214"/>
      <c r="F104" s="215"/>
      <c r="G104" s="215"/>
      <c r="H104" s="216"/>
      <c r="I104" s="111"/>
      <c r="J104" s="43"/>
      <c r="K104" s="43"/>
      <c r="L104" s="43"/>
      <c r="M104" s="43"/>
      <c r="N104" s="43"/>
    </row>
    <row r="105" spans="1:14" ht="13.5">
      <c r="A105" s="212"/>
      <c r="B105" s="213"/>
      <c r="C105" s="93"/>
      <c r="D105" s="92"/>
      <c r="E105" s="214"/>
      <c r="F105" s="215"/>
      <c r="G105" s="215"/>
      <c r="H105" s="216"/>
      <c r="I105" s="105"/>
      <c r="J105" s="43"/>
      <c r="K105" s="43"/>
      <c r="L105" s="43"/>
      <c r="M105" s="43"/>
      <c r="N105" s="43"/>
    </row>
    <row r="106" spans="1:14" ht="14.25" thickBot="1">
      <c r="A106" s="212"/>
      <c r="B106" s="213"/>
      <c r="C106" s="93"/>
      <c r="D106" s="92"/>
      <c r="E106" s="214"/>
      <c r="F106" s="215"/>
      <c r="G106" s="215"/>
      <c r="H106" s="216"/>
      <c r="I106" s="208"/>
      <c r="J106" s="43"/>
      <c r="K106" s="43"/>
      <c r="L106" s="43"/>
      <c r="M106" s="43"/>
      <c r="N106" s="43"/>
    </row>
    <row r="107" spans="1:14" ht="14.25" thickBot="1">
      <c r="A107" s="585" t="s">
        <v>97</v>
      </c>
      <c r="B107" s="586"/>
      <c r="C107" s="58">
        <f>SUM(C98:C106)</f>
        <v>1303</v>
      </c>
      <c r="D107" s="59"/>
      <c r="E107" s="587" t="s">
        <v>97</v>
      </c>
      <c r="F107" s="588"/>
      <c r="G107" s="588"/>
      <c r="H107" s="589"/>
      <c r="I107" s="60">
        <f>SUM(I98:I106)</f>
        <v>920</v>
      </c>
      <c r="J107" s="43"/>
      <c r="K107" s="43"/>
      <c r="L107" s="43"/>
      <c r="M107" s="43"/>
      <c r="N107" s="61"/>
    </row>
    <row r="108" spans="1:5" s="34" customFormat="1" ht="13.5">
      <c r="A108" s="59"/>
      <c r="B108" s="62"/>
      <c r="C108" s="62"/>
      <c r="D108" s="62"/>
      <c r="E108" s="62"/>
    </row>
    <row r="109" spans="1:12" s="34" customFormat="1" ht="13.5">
      <c r="A109" s="63"/>
      <c r="B109" s="36"/>
      <c r="C109" s="36"/>
      <c r="D109" s="36"/>
      <c r="E109" s="39"/>
      <c r="F109" s="41"/>
      <c r="G109" s="41"/>
      <c r="H109" s="35"/>
      <c r="I109" s="36"/>
      <c r="J109" s="36"/>
      <c r="K109" s="36"/>
      <c r="L109" s="39"/>
    </row>
    <row r="110" spans="1:12" s="34" customFormat="1" ht="14.25" thickBot="1">
      <c r="A110" s="63" t="s">
        <v>181</v>
      </c>
      <c r="B110" s="36"/>
      <c r="C110" s="36"/>
      <c r="D110" s="36"/>
      <c r="E110" s="39"/>
      <c r="F110" s="41"/>
      <c r="G110" s="41"/>
      <c r="H110" s="35"/>
      <c r="I110" s="36"/>
      <c r="J110" s="36" t="s">
        <v>110</v>
      </c>
      <c r="K110" s="36"/>
      <c r="L110" s="39"/>
    </row>
    <row r="111" spans="1:11" s="34" customFormat="1" ht="13.5">
      <c r="A111" s="449" t="s">
        <v>111</v>
      </c>
      <c r="B111" s="452" t="s">
        <v>248</v>
      </c>
      <c r="C111" s="459" t="s">
        <v>182</v>
      </c>
      <c r="D111" s="460"/>
      <c r="E111" s="460"/>
      <c r="F111" s="460"/>
      <c r="G111" s="460"/>
      <c r="H111" s="460"/>
      <c r="I111" s="460"/>
      <c r="J111" s="461"/>
      <c r="K111" s="455" t="s">
        <v>183</v>
      </c>
    </row>
    <row r="112" spans="1:11" s="34" customFormat="1" ht="13.5">
      <c r="A112" s="450"/>
      <c r="B112" s="453"/>
      <c r="C112" s="458" t="s">
        <v>112</v>
      </c>
      <c r="D112" s="462" t="s">
        <v>113</v>
      </c>
      <c r="E112" s="462"/>
      <c r="F112" s="462"/>
      <c r="G112" s="462"/>
      <c r="H112" s="462"/>
      <c r="I112" s="462"/>
      <c r="J112" s="463"/>
      <c r="K112" s="456"/>
    </row>
    <row r="113" spans="1:12" s="34" customFormat="1" ht="14.25" thickBot="1">
      <c r="A113" s="451"/>
      <c r="B113" s="454"/>
      <c r="C113" s="458"/>
      <c r="D113" s="164">
        <v>1</v>
      </c>
      <c r="E113" s="164">
        <v>2</v>
      </c>
      <c r="F113" s="164">
        <v>3</v>
      </c>
      <c r="G113" s="164">
        <v>4</v>
      </c>
      <c r="H113" s="164">
        <v>5</v>
      </c>
      <c r="I113" s="164">
        <v>6</v>
      </c>
      <c r="J113" s="165">
        <v>7</v>
      </c>
      <c r="K113" s="457"/>
      <c r="L113" s="71"/>
    </row>
    <row r="114" spans="1:11" s="34" customFormat="1" ht="14.25" thickBot="1">
      <c r="A114" s="64">
        <v>122041</v>
      </c>
      <c r="B114" s="65">
        <v>9896</v>
      </c>
      <c r="C114" s="166">
        <f>SUM(D114:J114)</f>
        <v>978.1</v>
      </c>
      <c r="D114" s="167">
        <v>116.4</v>
      </c>
      <c r="E114" s="167">
        <v>340</v>
      </c>
      <c r="F114" s="167">
        <v>2</v>
      </c>
      <c r="G114" s="167">
        <v>0</v>
      </c>
      <c r="H114" s="167">
        <v>519.7</v>
      </c>
      <c r="I114" s="168">
        <v>0</v>
      </c>
      <c r="J114" s="225">
        <v>0</v>
      </c>
      <c r="K114" s="163">
        <v>111167.9</v>
      </c>
    </row>
    <row r="115" spans="1:5" s="34" customFormat="1" ht="13.5">
      <c r="A115" s="59"/>
      <c r="B115" s="62"/>
      <c r="C115" s="62"/>
      <c r="D115" s="62"/>
      <c r="E115" s="62"/>
    </row>
    <row r="116" spans="1:8" s="34" customFormat="1" ht="14.25" thickBot="1">
      <c r="A116" s="63" t="s">
        <v>184</v>
      </c>
      <c r="C116" s="36"/>
      <c r="D116" s="36"/>
      <c r="E116" s="36"/>
      <c r="F116" s="36" t="s">
        <v>110</v>
      </c>
      <c r="G116" s="41"/>
      <c r="H116" s="35"/>
    </row>
    <row r="117" spans="1:6" s="34" customFormat="1" ht="15" customHeight="1" thickBot="1">
      <c r="A117" s="467" t="s">
        <v>114</v>
      </c>
      <c r="B117" s="469" t="s">
        <v>188</v>
      </c>
      <c r="C117" s="188" t="s">
        <v>185</v>
      </c>
      <c r="D117" s="189"/>
      <c r="E117" s="189"/>
      <c r="F117" s="190"/>
    </row>
    <row r="118" spans="1:6" s="34" customFormat="1" ht="27.75" thickBot="1">
      <c r="A118" s="468"/>
      <c r="B118" s="469"/>
      <c r="C118" s="67" t="s">
        <v>186</v>
      </c>
      <c r="D118" s="66" t="s">
        <v>115</v>
      </c>
      <c r="E118" s="67" t="s">
        <v>116</v>
      </c>
      <c r="F118" s="191" t="s">
        <v>187</v>
      </c>
    </row>
    <row r="119" spans="1:6" s="34" customFormat="1" ht="13.5">
      <c r="A119" s="192" t="s">
        <v>117</v>
      </c>
      <c r="B119" s="218">
        <v>1113.9</v>
      </c>
      <c r="C119" s="68" t="s">
        <v>118</v>
      </c>
      <c r="D119" s="69" t="s">
        <v>118</v>
      </c>
      <c r="E119" s="69" t="s">
        <v>118</v>
      </c>
      <c r="F119" s="193" t="s">
        <v>118</v>
      </c>
    </row>
    <row r="120" spans="1:13" s="34" customFormat="1" ht="13.5">
      <c r="A120" s="194" t="s">
        <v>119</v>
      </c>
      <c r="B120" s="219">
        <v>55</v>
      </c>
      <c r="C120" s="197">
        <v>55</v>
      </c>
      <c r="D120" s="51">
        <v>0</v>
      </c>
      <c r="E120" s="51">
        <v>0</v>
      </c>
      <c r="F120" s="198">
        <f>C120+D120-E120</f>
        <v>55</v>
      </c>
      <c r="M120" s="71"/>
    </row>
    <row r="121" spans="1:13" s="34" customFormat="1" ht="13.5">
      <c r="A121" s="194" t="s">
        <v>120</v>
      </c>
      <c r="B121" s="219">
        <v>330</v>
      </c>
      <c r="C121" s="197">
        <f>294+36</f>
        <v>330</v>
      </c>
      <c r="D121" s="51">
        <v>30</v>
      </c>
      <c r="E121" s="51">
        <v>0</v>
      </c>
      <c r="F121" s="198">
        <f>C121+D121-E121</f>
        <v>360</v>
      </c>
      <c r="M121" s="71"/>
    </row>
    <row r="122" spans="1:13" s="34" customFormat="1" ht="13.5">
      <c r="A122" s="194" t="s">
        <v>121</v>
      </c>
      <c r="B122" s="219">
        <v>491</v>
      </c>
      <c r="C122" s="72">
        <v>491</v>
      </c>
      <c r="D122" s="73">
        <v>978</v>
      </c>
      <c r="E122" s="206">
        <v>1303</v>
      </c>
      <c r="F122" s="198">
        <f>C122+D122-E122</f>
        <v>166</v>
      </c>
      <c r="M122" s="71"/>
    </row>
    <row r="123" spans="1:13" s="34" customFormat="1" ht="13.5">
      <c r="A123" s="194" t="s">
        <v>122</v>
      </c>
      <c r="B123" s="219">
        <f>B119-B120-B121-B122</f>
        <v>237.9000000000001</v>
      </c>
      <c r="C123" s="74" t="s">
        <v>118</v>
      </c>
      <c r="D123" s="75" t="s">
        <v>118</v>
      </c>
      <c r="E123" s="76" t="s">
        <v>118</v>
      </c>
      <c r="F123" s="195" t="s">
        <v>118</v>
      </c>
      <c r="M123" s="71"/>
    </row>
    <row r="124" spans="1:13" s="34" customFormat="1" ht="14.25" thickBot="1">
      <c r="A124" s="196" t="s">
        <v>123</v>
      </c>
      <c r="B124" s="220">
        <v>56</v>
      </c>
      <c r="C124" s="199">
        <v>60</v>
      </c>
      <c r="D124" s="200">
        <v>155</v>
      </c>
      <c r="E124" s="207">
        <v>128</v>
      </c>
      <c r="F124" s="201">
        <f>C124+D124-E124</f>
        <v>87</v>
      </c>
      <c r="M124" s="71"/>
    </row>
    <row r="125" spans="1:15" s="34" customFormat="1" ht="13.5">
      <c r="A125" s="35"/>
      <c r="B125" s="36"/>
      <c r="C125" s="36"/>
      <c r="D125" s="37"/>
      <c r="E125" s="38"/>
      <c r="F125" s="36"/>
      <c r="G125" s="36"/>
      <c r="H125" s="39"/>
      <c r="I125" s="40"/>
      <c r="J125" s="41"/>
      <c r="K125" s="35"/>
      <c r="L125" s="36"/>
      <c r="M125" s="36"/>
      <c r="N125" s="36"/>
      <c r="O125" s="39"/>
    </row>
    <row r="126" spans="1:11" ht="13.5">
      <c r="A126" s="63"/>
      <c r="K126" s="36"/>
    </row>
    <row r="127" spans="1:11" ht="14.25" thickBot="1">
      <c r="A127" s="63" t="s">
        <v>189</v>
      </c>
      <c r="K127" s="36" t="s">
        <v>110</v>
      </c>
    </row>
    <row r="128" spans="1:11" ht="13.5">
      <c r="A128" s="464" t="s">
        <v>124</v>
      </c>
      <c r="B128" s="465"/>
      <c r="C128" s="466"/>
      <c r="D128" s="78"/>
      <c r="E128" s="464" t="s">
        <v>125</v>
      </c>
      <c r="F128" s="465"/>
      <c r="G128" s="466"/>
      <c r="I128" s="464" t="s">
        <v>126</v>
      </c>
      <c r="J128" s="465"/>
      <c r="K128" s="466"/>
    </row>
    <row r="129" spans="1:11" ht="14.25" thickBot="1">
      <c r="A129" s="79" t="s">
        <v>127</v>
      </c>
      <c r="B129" s="80" t="s">
        <v>128</v>
      </c>
      <c r="C129" s="81" t="s">
        <v>129</v>
      </c>
      <c r="D129" s="78"/>
      <c r="E129" s="82"/>
      <c r="F129" s="470" t="s">
        <v>130</v>
      </c>
      <c r="G129" s="471"/>
      <c r="I129" s="79"/>
      <c r="J129" s="80" t="s">
        <v>131</v>
      </c>
      <c r="K129" s="81" t="s">
        <v>129</v>
      </c>
    </row>
    <row r="130" spans="1:11" ht="13.5">
      <c r="A130" s="83">
        <v>2012</v>
      </c>
      <c r="B130" s="84">
        <v>41</v>
      </c>
      <c r="C130" s="85">
        <v>41</v>
      </c>
      <c r="D130" s="37"/>
      <c r="E130" s="83">
        <v>2012</v>
      </c>
      <c r="F130" s="472">
        <v>68</v>
      </c>
      <c r="G130" s="473"/>
      <c r="I130" s="83">
        <v>2012</v>
      </c>
      <c r="J130" s="84">
        <v>10155</v>
      </c>
      <c r="K130" s="85">
        <v>10155</v>
      </c>
    </row>
    <row r="131" spans="1:11" ht="14.25" thickBot="1">
      <c r="A131" s="86">
        <v>2013</v>
      </c>
      <c r="B131" s="87">
        <v>73</v>
      </c>
      <c r="C131" s="88" t="s">
        <v>92</v>
      </c>
      <c r="D131" s="37"/>
      <c r="E131" s="86">
        <v>2013</v>
      </c>
      <c r="F131" s="388">
        <v>109</v>
      </c>
      <c r="G131" s="389"/>
      <c r="I131" s="86">
        <v>2013</v>
      </c>
      <c r="J131" s="87">
        <f>J72</f>
        <v>13363</v>
      </c>
      <c r="K131" s="88" t="s">
        <v>92</v>
      </c>
    </row>
    <row r="132" ht="13.5">
      <c r="D132" s="78"/>
    </row>
    <row r="133" ht="13.5">
      <c r="D133" s="37"/>
    </row>
    <row r="134" ht="13.5">
      <c r="D134" s="37"/>
    </row>
  </sheetData>
  <sheetProtection selectLockedCells="1" selectUnlockedCells="1"/>
  <mergeCells count="113">
    <mergeCell ref="F131:G131"/>
    <mergeCell ref="A117:A118"/>
    <mergeCell ref="B117:B118"/>
    <mergeCell ref="A128:C128"/>
    <mergeCell ref="E128:G128"/>
    <mergeCell ref="I128:K128"/>
    <mergeCell ref="F130:G130"/>
    <mergeCell ref="F129:G129"/>
    <mergeCell ref="A111:A113"/>
    <mergeCell ref="B111:B113"/>
    <mergeCell ref="C111:J111"/>
    <mergeCell ref="K111:K113"/>
    <mergeCell ref="C112:C113"/>
    <mergeCell ref="D112:J112"/>
    <mergeCell ref="A107:B107"/>
    <mergeCell ref="E107:H107"/>
    <mergeCell ref="E96:H97"/>
    <mergeCell ref="I96:I97"/>
    <mergeCell ref="A85:C85"/>
    <mergeCell ref="A86:C86"/>
    <mergeCell ref="A87:C87"/>
    <mergeCell ref="A88:C88"/>
    <mergeCell ref="A96:B97"/>
    <mergeCell ref="C96:C97"/>
    <mergeCell ref="A89:C89"/>
    <mergeCell ref="A90:C90"/>
    <mergeCell ref="A91:C91"/>
    <mergeCell ref="A92:C92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7479166666666667" bottom="0.15763888888888888" header="0.5118055555555555" footer="0.15763888888888888"/>
  <pageSetup horizontalDpi="300" verticalDpi="300" orientation="portrait" paperSize="9" scale="42" r:id="rId1"/>
  <headerFooter alignWithMargins="0">
    <oddFooter>&amp;C&amp;"Arial CE,Běžné"&amp;P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T132"/>
  <sheetViews>
    <sheetView view="pageBreakPreview" zoomScale="70" zoomScaleSheetLayoutView="70" zoomScalePageLayoutView="0" workbookViewId="0" topLeftCell="A1">
      <selection activeCell="E107" sqref="E107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20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148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09"/>
      <c r="D7" s="121">
        <v>32729</v>
      </c>
      <c r="E7" s="239">
        <v>32381</v>
      </c>
      <c r="F7" s="154">
        <f>E7-D7</f>
        <v>-348</v>
      </c>
      <c r="G7" s="145">
        <f>E7/D7</f>
        <v>0.9893672278407528</v>
      </c>
      <c r="H7" s="122">
        <v>33285</v>
      </c>
      <c r="I7" s="123">
        <v>185</v>
      </c>
      <c r="J7" s="156">
        <f>H7+I7</f>
        <v>33470</v>
      </c>
      <c r="K7" s="144">
        <f>J7-E7</f>
        <v>1089</v>
      </c>
      <c r="L7" s="150">
        <f>J7/E7</f>
        <v>1.033630832895834</v>
      </c>
    </row>
    <row r="8" spans="1:12" s="101" customFormat="1" ht="13.5">
      <c r="A8" s="511" t="s">
        <v>25</v>
      </c>
      <c r="B8" s="512"/>
      <c r="C8" s="512"/>
      <c r="D8" s="125"/>
      <c r="E8" s="240"/>
      <c r="F8" s="154">
        <f aca="true" t="shared" si="0" ref="F8:F75">E8-D8</f>
        <v>0</v>
      </c>
      <c r="G8" s="145"/>
      <c r="H8" s="127"/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2"/>
      <c r="D9" s="125">
        <v>32636</v>
      </c>
      <c r="E9" s="240">
        <v>32300</v>
      </c>
      <c r="F9" s="154">
        <f t="shared" si="0"/>
        <v>-336</v>
      </c>
      <c r="G9" s="145">
        <f aca="true" t="shared" si="3" ref="G9:G74">E9/D9</f>
        <v>0.9897046206642971</v>
      </c>
      <c r="H9" s="127">
        <v>33205</v>
      </c>
      <c r="I9" s="128"/>
      <c r="J9" s="156">
        <f t="shared" si="1"/>
        <v>33205</v>
      </c>
      <c r="K9" s="144">
        <f t="shared" si="2"/>
        <v>905</v>
      </c>
      <c r="L9" s="150">
        <f aca="true" t="shared" si="4" ref="L9:L75">J9/E9</f>
        <v>1.0280185758513931</v>
      </c>
    </row>
    <row r="10" spans="1:12" s="101" customFormat="1" ht="13.5">
      <c r="A10" s="514" t="s">
        <v>27</v>
      </c>
      <c r="B10" s="515"/>
      <c r="C10" s="515"/>
      <c r="D10" s="125">
        <v>17152</v>
      </c>
      <c r="E10" s="240">
        <v>17642</v>
      </c>
      <c r="F10" s="154">
        <f t="shared" si="0"/>
        <v>490</v>
      </c>
      <c r="G10" s="145">
        <f t="shared" si="3"/>
        <v>1.0285680970149254</v>
      </c>
      <c r="H10" s="127">
        <v>18300</v>
      </c>
      <c r="I10" s="128"/>
      <c r="J10" s="156">
        <f t="shared" si="1"/>
        <v>18300</v>
      </c>
      <c r="K10" s="144">
        <f t="shared" si="2"/>
        <v>658</v>
      </c>
      <c r="L10" s="150">
        <f t="shared" si="4"/>
        <v>1.0372973585761252</v>
      </c>
    </row>
    <row r="11" spans="1:12" s="101" customFormat="1" ht="13.5">
      <c r="A11" s="514" t="s">
        <v>28</v>
      </c>
      <c r="B11" s="515"/>
      <c r="C11" s="515"/>
      <c r="D11" s="125">
        <v>13152</v>
      </c>
      <c r="E11" s="240">
        <v>12684</v>
      </c>
      <c r="F11" s="154">
        <f t="shared" si="0"/>
        <v>-468</v>
      </c>
      <c r="G11" s="145">
        <f t="shared" si="3"/>
        <v>0.9644160583941606</v>
      </c>
      <c r="H11" s="127">
        <v>13100</v>
      </c>
      <c r="I11" s="128"/>
      <c r="J11" s="156">
        <f t="shared" si="1"/>
        <v>13100</v>
      </c>
      <c r="K11" s="144">
        <f t="shared" si="2"/>
        <v>416</v>
      </c>
      <c r="L11" s="150">
        <f t="shared" si="4"/>
        <v>1.032797224850205</v>
      </c>
    </row>
    <row r="12" spans="1:12" s="101" customFormat="1" ht="13.5">
      <c r="A12" s="514" t="s">
        <v>29</v>
      </c>
      <c r="B12" s="515"/>
      <c r="C12" s="515"/>
      <c r="D12" s="125">
        <v>1</v>
      </c>
      <c r="E12" s="240">
        <v>3</v>
      </c>
      <c r="F12" s="154">
        <f t="shared" si="0"/>
        <v>2</v>
      </c>
      <c r="G12" s="145">
        <f t="shared" si="3"/>
        <v>3</v>
      </c>
      <c r="H12" s="127">
        <v>5</v>
      </c>
      <c r="I12" s="128"/>
      <c r="J12" s="156">
        <f t="shared" si="1"/>
        <v>5</v>
      </c>
      <c r="K12" s="144">
        <f t="shared" si="2"/>
        <v>2</v>
      </c>
      <c r="L12" s="150">
        <f t="shared" si="4"/>
        <v>1.6666666666666667</v>
      </c>
    </row>
    <row r="13" spans="1:12" s="101" customFormat="1" ht="13.5">
      <c r="A13" s="514" t="s">
        <v>30</v>
      </c>
      <c r="B13" s="515"/>
      <c r="C13" s="515"/>
      <c r="D13" s="125">
        <v>1621</v>
      </c>
      <c r="E13" s="240">
        <v>1262</v>
      </c>
      <c r="F13" s="154">
        <f t="shared" si="0"/>
        <v>-359</v>
      </c>
      <c r="G13" s="145">
        <f t="shared" si="3"/>
        <v>0.7785317705120296</v>
      </c>
      <c r="H13" s="127">
        <v>1250</v>
      </c>
      <c r="I13" s="128"/>
      <c r="J13" s="156">
        <f t="shared" si="1"/>
        <v>1250</v>
      </c>
      <c r="K13" s="144">
        <f t="shared" si="2"/>
        <v>-12</v>
      </c>
      <c r="L13" s="150">
        <f t="shared" si="4"/>
        <v>0.9904912836767037</v>
      </c>
    </row>
    <row r="14" spans="1:12" s="101" customFormat="1" ht="13.5">
      <c r="A14" s="514" t="s">
        <v>31</v>
      </c>
      <c r="B14" s="515"/>
      <c r="C14" s="515"/>
      <c r="D14" s="125">
        <v>610</v>
      </c>
      <c r="E14" s="240">
        <v>661</v>
      </c>
      <c r="F14" s="154">
        <f t="shared" si="0"/>
        <v>51</v>
      </c>
      <c r="G14" s="145">
        <f t="shared" si="3"/>
        <v>1.0836065573770493</v>
      </c>
      <c r="H14" s="127">
        <v>502</v>
      </c>
      <c r="I14" s="128">
        <v>185</v>
      </c>
      <c r="J14" s="156">
        <f t="shared" si="1"/>
        <v>687</v>
      </c>
      <c r="K14" s="144">
        <f t="shared" si="2"/>
        <v>26</v>
      </c>
      <c r="L14" s="150">
        <f t="shared" si="4"/>
        <v>1.0393343419062027</v>
      </c>
    </row>
    <row r="15" spans="1:14" s="101" customFormat="1" ht="13.5">
      <c r="A15" s="514" t="s">
        <v>32</v>
      </c>
      <c r="B15" s="515"/>
      <c r="C15" s="515"/>
      <c r="D15" s="125">
        <v>193</v>
      </c>
      <c r="E15" s="240">
        <v>48</v>
      </c>
      <c r="F15" s="154">
        <f t="shared" si="0"/>
        <v>-145</v>
      </c>
      <c r="G15" s="145">
        <f t="shared" si="3"/>
        <v>0.24870466321243523</v>
      </c>
      <c r="H15" s="127">
        <v>48</v>
      </c>
      <c r="I15" s="128"/>
      <c r="J15" s="156">
        <f t="shared" si="1"/>
        <v>48</v>
      </c>
      <c r="K15" s="144">
        <f t="shared" si="2"/>
        <v>0</v>
      </c>
      <c r="L15" s="150">
        <f t="shared" si="4"/>
        <v>1</v>
      </c>
      <c r="N15" s="129"/>
    </row>
    <row r="16" spans="1:12" s="101" customFormat="1" ht="13.5">
      <c r="A16" s="511" t="s">
        <v>33</v>
      </c>
      <c r="B16" s="512"/>
      <c r="C16" s="512"/>
      <c r="D16" s="125">
        <v>93</v>
      </c>
      <c r="E16" s="240">
        <v>81</v>
      </c>
      <c r="F16" s="154">
        <f t="shared" si="0"/>
        <v>-12</v>
      </c>
      <c r="G16" s="145">
        <f t="shared" si="3"/>
        <v>0.8709677419354839</v>
      </c>
      <c r="H16" s="127">
        <v>80</v>
      </c>
      <c r="I16" s="128"/>
      <c r="J16" s="156">
        <f t="shared" si="1"/>
        <v>80</v>
      </c>
      <c r="K16" s="144">
        <f t="shared" si="2"/>
        <v>-1</v>
      </c>
      <c r="L16" s="150">
        <f t="shared" si="4"/>
        <v>0.9876543209876543</v>
      </c>
    </row>
    <row r="17" spans="1:12" s="101" customFormat="1" ht="13.5">
      <c r="A17" s="511" t="s">
        <v>34</v>
      </c>
      <c r="B17" s="512"/>
      <c r="C17" s="512"/>
      <c r="D17" s="125"/>
      <c r="E17" s="240"/>
      <c r="F17" s="154">
        <f t="shared" si="0"/>
        <v>0</v>
      </c>
      <c r="G17" s="145"/>
      <c r="H17" s="127"/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8"/>
      <c r="D18" s="125">
        <v>266</v>
      </c>
      <c r="E18" s="240">
        <v>274</v>
      </c>
      <c r="F18" s="154">
        <f t="shared" si="0"/>
        <v>8</v>
      </c>
      <c r="G18" s="145">
        <f t="shared" si="3"/>
        <v>1.0300751879699248</v>
      </c>
      <c r="H18" s="127">
        <v>55</v>
      </c>
      <c r="I18" s="128"/>
      <c r="J18" s="156">
        <f t="shared" si="1"/>
        <v>55</v>
      </c>
      <c r="K18" s="144">
        <f t="shared" si="2"/>
        <v>-219</v>
      </c>
      <c r="L18" s="150">
        <f t="shared" si="4"/>
        <v>0.20072992700729927</v>
      </c>
    </row>
    <row r="19" spans="1:12" s="101" customFormat="1" ht="13.5">
      <c r="A19" s="511" t="s">
        <v>36</v>
      </c>
      <c r="B19" s="512"/>
      <c r="C19" s="512"/>
      <c r="D19" s="125"/>
      <c r="E19" s="240"/>
      <c r="F19" s="154">
        <f t="shared" si="0"/>
        <v>0</v>
      </c>
      <c r="G19" s="145"/>
      <c r="H19" s="127"/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2"/>
      <c r="D20" s="125"/>
      <c r="E20" s="241"/>
      <c r="F20" s="154">
        <f t="shared" si="0"/>
        <v>0</v>
      </c>
      <c r="G20" s="145"/>
      <c r="H20" s="122"/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1"/>
      <c r="D21" s="125">
        <v>234</v>
      </c>
      <c r="E21" s="240">
        <v>215</v>
      </c>
      <c r="F21" s="154">
        <f t="shared" si="0"/>
        <v>-19</v>
      </c>
      <c r="G21" s="145">
        <f t="shared" si="3"/>
        <v>0.9188034188034188</v>
      </c>
      <c r="H21" s="127">
        <v>15</v>
      </c>
      <c r="I21" s="128"/>
      <c r="J21" s="156">
        <f t="shared" si="1"/>
        <v>15</v>
      </c>
      <c r="K21" s="144">
        <f t="shared" si="2"/>
        <v>-200</v>
      </c>
      <c r="L21" s="150">
        <f t="shared" si="4"/>
        <v>0.06976744186046512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1"/>
      <c r="D22" s="125">
        <v>150</v>
      </c>
      <c r="E22" s="240">
        <v>215</v>
      </c>
      <c r="F22" s="154">
        <f t="shared" si="0"/>
        <v>65</v>
      </c>
      <c r="G22" s="145">
        <f t="shared" si="3"/>
        <v>1.4333333333333333</v>
      </c>
      <c r="H22" s="366">
        <v>15</v>
      </c>
      <c r="I22" s="128"/>
      <c r="J22" s="156">
        <f t="shared" si="1"/>
        <v>15</v>
      </c>
      <c r="K22" s="144">
        <f t="shared" si="2"/>
        <v>-200</v>
      </c>
      <c r="L22" s="150">
        <f t="shared" si="4"/>
        <v>0.06976744186046512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1"/>
      <c r="D23" s="125"/>
      <c r="E23" s="240"/>
      <c r="F23" s="154">
        <f t="shared" si="0"/>
        <v>0</v>
      </c>
      <c r="G23" s="145"/>
      <c r="H23" s="366"/>
      <c r="I23" s="128"/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1"/>
      <c r="D24" s="125">
        <v>84</v>
      </c>
      <c r="E24" s="240"/>
      <c r="F24" s="154">
        <f t="shared" si="0"/>
        <v>-84</v>
      </c>
      <c r="G24" s="145">
        <f t="shared" si="3"/>
        <v>0</v>
      </c>
      <c r="H24" s="366"/>
      <c r="I24" s="128"/>
      <c r="J24" s="156">
        <f t="shared" si="1"/>
        <v>0</v>
      </c>
      <c r="K24" s="144">
        <f t="shared" si="2"/>
        <v>0</v>
      </c>
      <c r="L24" s="150"/>
    </row>
    <row r="25" spans="1:12" s="101" customFormat="1" ht="13.5">
      <c r="A25" s="520" t="s">
        <v>163</v>
      </c>
      <c r="B25" s="521"/>
      <c r="C25" s="521"/>
      <c r="D25" s="125"/>
      <c r="E25" s="240"/>
      <c r="F25" s="154">
        <f>E25-D25</f>
        <v>0</v>
      </c>
      <c r="G25" s="145"/>
      <c r="H25" s="366"/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8"/>
      <c r="D26" s="125">
        <v>24</v>
      </c>
      <c r="E26" s="240">
        <v>41</v>
      </c>
      <c r="F26" s="154">
        <f>E26-D26</f>
        <v>17</v>
      </c>
      <c r="G26" s="145">
        <f>E26/D26</f>
        <v>1.7083333333333333</v>
      </c>
      <c r="H26" s="366">
        <v>35</v>
      </c>
      <c r="I26" s="128"/>
      <c r="J26" s="156">
        <f t="shared" si="1"/>
        <v>35</v>
      </c>
      <c r="K26" s="144">
        <f t="shared" si="2"/>
        <v>-6</v>
      </c>
      <c r="L26" s="150">
        <f t="shared" si="4"/>
        <v>0.8536585365853658</v>
      </c>
    </row>
    <row r="27" spans="1:12" s="101" customFormat="1" ht="13.5">
      <c r="A27" s="511" t="s">
        <v>40</v>
      </c>
      <c r="B27" s="512"/>
      <c r="C27" s="512"/>
      <c r="D27" s="125">
        <v>24</v>
      </c>
      <c r="E27" s="240">
        <v>41</v>
      </c>
      <c r="F27" s="154">
        <f>E27-D27</f>
        <v>17</v>
      </c>
      <c r="G27" s="145">
        <f>E27/D27</f>
        <v>1.7083333333333333</v>
      </c>
      <c r="H27" s="366">
        <v>30</v>
      </c>
      <c r="I27" s="128"/>
      <c r="J27" s="156">
        <f t="shared" si="1"/>
        <v>30</v>
      </c>
      <c r="K27" s="144">
        <f t="shared" si="2"/>
        <v>-11</v>
      </c>
      <c r="L27" s="150">
        <f t="shared" si="4"/>
        <v>0.7317073170731707</v>
      </c>
    </row>
    <row r="28" spans="1:12" s="101" customFormat="1" ht="13.5">
      <c r="A28" s="511" t="s">
        <v>41</v>
      </c>
      <c r="B28" s="512"/>
      <c r="C28" s="512"/>
      <c r="D28" s="125"/>
      <c r="E28" s="240"/>
      <c r="F28" s="154">
        <f t="shared" si="0"/>
        <v>0</v>
      </c>
      <c r="G28" s="145"/>
      <c r="H28" s="366"/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8"/>
      <c r="D29" s="125">
        <v>13760</v>
      </c>
      <c r="E29" s="241">
        <v>14653</v>
      </c>
      <c r="F29" s="154">
        <f>E29-D29</f>
        <v>893</v>
      </c>
      <c r="G29" s="145">
        <f>E29/D29</f>
        <v>1.0648982558139535</v>
      </c>
      <c r="H29" s="367">
        <v>11978</v>
      </c>
      <c r="I29" s="123"/>
      <c r="J29" s="156">
        <f t="shared" si="1"/>
        <v>11978</v>
      </c>
      <c r="K29" s="144">
        <f t="shared" si="2"/>
        <v>-2675</v>
      </c>
      <c r="L29" s="150">
        <f t="shared" si="4"/>
        <v>0.8174435269228144</v>
      </c>
    </row>
    <row r="30" spans="1:14" s="101" customFormat="1" ht="13.5">
      <c r="A30" s="514" t="s">
        <v>164</v>
      </c>
      <c r="B30" s="515"/>
      <c r="C30" s="515"/>
      <c r="D30" s="131">
        <v>5510</v>
      </c>
      <c r="E30" s="242">
        <v>5162</v>
      </c>
      <c r="F30" s="155">
        <f>E30-D30</f>
        <v>-348</v>
      </c>
      <c r="G30" s="147">
        <f>E30/D30</f>
        <v>0.9368421052631579</v>
      </c>
      <c r="H30" s="363">
        <v>3006</v>
      </c>
      <c r="I30" s="133"/>
      <c r="J30" s="157">
        <f t="shared" si="1"/>
        <v>3006</v>
      </c>
      <c r="K30" s="146">
        <f t="shared" si="2"/>
        <v>-2156</v>
      </c>
      <c r="L30" s="151">
        <f t="shared" si="4"/>
        <v>0.5823324292909725</v>
      </c>
      <c r="N30" s="129"/>
    </row>
    <row r="31" spans="1:12" s="101" customFormat="1" ht="13.5">
      <c r="A31" s="514" t="s">
        <v>43</v>
      </c>
      <c r="B31" s="515"/>
      <c r="C31" s="515"/>
      <c r="D31" s="125">
        <v>8250</v>
      </c>
      <c r="E31" s="240">
        <v>9491</v>
      </c>
      <c r="F31" s="154">
        <f>E31-D31</f>
        <v>1241</v>
      </c>
      <c r="G31" s="145">
        <f>E31/D31</f>
        <v>1.1504242424242423</v>
      </c>
      <c r="H31" s="127">
        <v>8972</v>
      </c>
      <c r="I31" s="128"/>
      <c r="J31" s="156">
        <f t="shared" si="1"/>
        <v>8972</v>
      </c>
      <c r="K31" s="144">
        <f t="shared" si="2"/>
        <v>-519</v>
      </c>
      <c r="L31" s="150">
        <f t="shared" si="4"/>
        <v>0.9453166157412285</v>
      </c>
    </row>
    <row r="32" spans="1:12" s="101" customFormat="1" ht="13.5">
      <c r="A32" s="511" t="s">
        <v>44</v>
      </c>
      <c r="B32" s="512"/>
      <c r="C32" s="512"/>
      <c r="D32" s="138"/>
      <c r="E32" s="241"/>
      <c r="F32" s="154">
        <f t="shared" si="0"/>
        <v>0</v>
      </c>
      <c r="G32" s="145"/>
      <c r="H32" s="122"/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514" t="s">
        <v>45</v>
      </c>
      <c r="B33" s="515"/>
      <c r="C33" s="515"/>
      <c r="D33" s="153"/>
      <c r="E33" s="243"/>
      <c r="F33" s="154">
        <f t="shared" si="0"/>
        <v>0</v>
      </c>
      <c r="G33" s="145"/>
      <c r="H33" s="158"/>
      <c r="I33" s="159"/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523" t="s">
        <v>46</v>
      </c>
      <c r="B34" s="524"/>
      <c r="C34" s="524"/>
      <c r="D34" s="171">
        <v>46779</v>
      </c>
      <c r="E34" s="244">
        <v>47349</v>
      </c>
      <c r="F34" s="173">
        <f t="shared" si="0"/>
        <v>570</v>
      </c>
      <c r="G34" s="174">
        <f t="shared" si="3"/>
        <v>1.0121849547874047</v>
      </c>
      <c r="H34" s="172">
        <v>45353</v>
      </c>
      <c r="I34" s="172">
        <v>185</v>
      </c>
      <c r="J34" s="175">
        <f t="shared" si="1"/>
        <v>45538</v>
      </c>
      <c r="K34" s="173">
        <f t="shared" si="2"/>
        <v>-1811</v>
      </c>
      <c r="L34" s="176">
        <f t="shared" si="4"/>
        <v>0.961752096137194</v>
      </c>
    </row>
    <row r="35" spans="1:12" s="101" customFormat="1" ht="13.5">
      <c r="A35" s="526" t="s">
        <v>47</v>
      </c>
      <c r="B35" s="527"/>
      <c r="C35" s="527"/>
      <c r="D35" s="135">
        <v>6590</v>
      </c>
      <c r="E35" s="136">
        <v>6645</v>
      </c>
      <c r="F35" s="148">
        <f t="shared" si="0"/>
        <v>55</v>
      </c>
      <c r="G35" s="149">
        <f t="shared" si="3"/>
        <v>1.0083459787556905</v>
      </c>
      <c r="H35" s="137">
        <v>6806</v>
      </c>
      <c r="I35" s="137">
        <v>91</v>
      </c>
      <c r="J35" s="134">
        <f t="shared" si="1"/>
        <v>6897</v>
      </c>
      <c r="K35" s="148">
        <f t="shared" si="2"/>
        <v>252</v>
      </c>
      <c r="L35" s="152">
        <f t="shared" si="4"/>
        <v>1.037923250564334</v>
      </c>
    </row>
    <row r="36" spans="1:12" s="101" customFormat="1" ht="13.5">
      <c r="A36" s="514" t="s">
        <v>48</v>
      </c>
      <c r="B36" s="515"/>
      <c r="C36" s="515"/>
      <c r="D36" s="125">
        <v>5023</v>
      </c>
      <c r="E36" s="126">
        <v>5182</v>
      </c>
      <c r="F36" s="144">
        <f t="shared" si="0"/>
        <v>159</v>
      </c>
      <c r="G36" s="145">
        <f t="shared" si="3"/>
        <v>1.0316543898068884</v>
      </c>
      <c r="H36" s="127">
        <v>5190</v>
      </c>
      <c r="I36" s="128">
        <v>90</v>
      </c>
      <c r="J36" s="124">
        <f t="shared" si="1"/>
        <v>5280</v>
      </c>
      <c r="K36" s="144">
        <f t="shared" si="2"/>
        <v>98</v>
      </c>
      <c r="L36" s="150">
        <f t="shared" si="4"/>
        <v>1.018911617136241</v>
      </c>
    </row>
    <row r="37" spans="1:12" s="101" customFormat="1" ht="13.5">
      <c r="A37" s="514" t="s">
        <v>49</v>
      </c>
      <c r="B37" s="515"/>
      <c r="C37" s="515"/>
      <c r="D37" s="125">
        <v>97</v>
      </c>
      <c r="E37" s="126">
        <v>102</v>
      </c>
      <c r="F37" s="144">
        <f t="shared" si="0"/>
        <v>5</v>
      </c>
      <c r="G37" s="145">
        <f t="shared" si="3"/>
        <v>1.0515463917525774</v>
      </c>
      <c r="H37" s="127">
        <v>110</v>
      </c>
      <c r="I37" s="128"/>
      <c r="J37" s="124">
        <f t="shared" si="1"/>
        <v>110</v>
      </c>
      <c r="K37" s="144">
        <f t="shared" si="2"/>
        <v>8</v>
      </c>
      <c r="L37" s="150">
        <f t="shared" si="4"/>
        <v>1.0784313725490196</v>
      </c>
    </row>
    <row r="38" spans="1:12" s="101" customFormat="1" ht="13.5">
      <c r="A38" s="514" t="s">
        <v>50</v>
      </c>
      <c r="B38" s="515"/>
      <c r="C38" s="515"/>
      <c r="D38" s="138">
        <v>160</v>
      </c>
      <c r="E38" s="130">
        <v>144</v>
      </c>
      <c r="F38" s="144">
        <f t="shared" si="0"/>
        <v>-16</v>
      </c>
      <c r="G38" s="145">
        <f t="shared" si="3"/>
        <v>0.9</v>
      </c>
      <c r="H38" s="122">
        <v>150</v>
      </c>
      <c r="I38" s="123"/>
      <c r="J38" s="124">
        <f t="shared" si="1"/>
        <v>150</v>
      </c>
      <c r="K38" s="144">
        <f t="shared" si="2"/>
        <v>6</v>
      </c>
      <c r="L38" s="150">
        <f t="shared" si="4"/>
        <v>1.0416666666666667</v>
      </c>
    </row>
    <row r="39" spans="1:12" s="101" customFormat="1" ht="13.5">
      <c r="A39" s="514" t="s">
        <v>51</v>
      </c>
      <c r="B39" s="515"/>
      <c r="C39" s="515"/>
      <c r="D39" s="125">
        <v>54</v>
      </c>
      <c r="E39" s="126">
        <v>60</v>
      </c>
      <c r="F39" s="144">
        <f t="shared" si="0"/>
        <v>6</v>
      </c>
      <c r="G39" s="145">
        <f t="shared" si="3"/>
        <v>1.1111111111111112</v>
      </c>
      <c r="H39" s="127">
        <v>60</v>
      </c>
      <c r="I39" s="128"/>
      <c r="J39" s="124">
        <f t="shared" si="1"/>
        <v>60</v>
      </c>
      <c r="K39" s="144">
        <f t="shared" si="2"/>
        <v>0</v>
      </c>
      <c r="L39" s="150">
        <f t="shared" si="4"/>
        <v>1</v>
      </c>
    </row>
    <row r="40" spans="1:12" s="101" customFormat="1" ht="13.5">
      <c r="A40" s="514" t="s">
        <v>52</v>
      </c>
      <c r="B40" s="515"/>
      <c r="C40" s="515"/>
      <c r="D40" s="125">
        <v>10</v>
      </c>
      <c r="E40" s="126">
        <v>12</v>
      </c>
      <c r="F40" s="144">
        <f t="shared" si="0"/>
        <v>2</v>
      </c>
      <c r="G40" s="145">
        <f t="shared" si="3"/>
        <v>1.2</v>
      </c>
      <c r="H40" s="127">
        <v>12</v>
      </c>
      <c r="I40" s="128"/>
      <c r="J40" s="124">
        <f t="shared" si="1"/>
        <v>12</v>
      </c>
      <c r="K40" s="144">
        <f t="shared" si="2"/>
        <v>0</v>
      </c>
      <c r="L40" s="150">
        <f t="shared" si="4"/>
        <v>1</v>
      </c>
    </row>
    <row r="41" spans="1:14" s="101" customFormat="1" ht="13.5">
      <c r="A41" s="514" t="s">
        <v>53</v>
      </c>
      <c r="B41" s="515"/>
      <c r="C41" s="515"/>
      <c r="D41" s="125">
        <v>110</v>
      </c>
      <c r="E41" s="126">
        <v>105</v>
      </c>
      <c r="F41" s="144">
        <f t="shared" si="0"/>
        <v>-5</v>
      </c>
      <c r="G41" s="145">
        <f t="shared" si="3"/>
        <v>0.9545454545454546</v>
      </c>
      <c r="H41" s="127">
        <v>110</v>
      </c>
      <c r="I41" s="128"/>
      <c r="J41" s="124">
        <f t="shared" si="1"/>
        <v>110</v>
      </c>
      <c r="K41" s="144">
        <f t="shared" si="2"/>
        <v>5</v>
      </c>
      <c r="L41" s="150">
        <f t="shared" si="4"/>
        <v>1.0476190476190477</v>
      </c>
      <c r="N41" s="129"/>
    </row>
    <row r="42" spans="1:12" s="101" customFormat="1" ht="13.5">
      <c r="A42" s="514" t="s">
        <v>54</v>
      </c>
      <c r="B42" s="515"/>
      <c r="C42" s="515"/>
      <c r="D42" s="125">
        <v>622</v>
      </c>
      <c r="E42" s="126">
        <v>587</v>
      </c>
      <c r="F42" s="144">
        <f t="shared" si="0"/>
        <v>-35</v>
      </c>
      <c r="G42" s="145">
        <f t="shared" si="3"/>
        <v>0.9437299035369775</v>
      </c>
      <c r="H42" s="127">
        <v>619</v>
      </c>
      <c r="I42" s="128">
        <v>1</v>
      </c>
      <c r="J42" s="124">
        <f t="shared" si="1"/>
        <v>620</v>
      </c>
      <c r="K42" s="144">
        <f t="shared" si="2"/>
        <v>33</v>
      </c>
      <c r="L42" s="150">
        <f t="shared" si="4"/>
        <v>1.0562180579216354</v>
      </c>
    </row>
    <row r="43" spans="1:14" s="101" customFormat="1" ht="13.5">
      <c r="A43" s="514" t="s">
        <v>166</v>
      </c>
      <c r="B43" s="515"/>
      <c r="C43" s="515"/>
      <c r="D43" s="125"/>
      <c r="E43" s="126"/>
      <c r="F43" s="144">
        <f t="shared" si="0"/>
        <v>0</v>
      </c>
      <c r="G43" s="145"/>
      <c r="H43" s="127"/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5"/>
      <c r="D44" s="125"/>
      <c r="E44" s="126"/>
      <c r="F44" s="144">
        <f t="shared" si="0"/>
        <v>0</v>
      </c>
      <c r="G44" s="145"/>
      <c r="H44" s="127">
        <v>90</v>
      </c>
      <c r="I44" s="128"/>
      <c r="J44" s="124">
        <f t="shared" si="1"/>
        <v>90</v>
      </c>
      <c r="K44" s="144">
        <f t="shared" si="2"/>
        <v>90</v>
      </c>
      <c r="L44" s="150"/>
    </row>
    <row r="45" spans="1:12" s="101" customFormat="1" ht="13.5">
      <c r="A45" s="514" t="s">
        <v>55</v>
      </c>
      <c r="B45" s="515"/>
      <c r="C45" s="515"/>
      <c r="D45" s="125">
        <v>514</v>
      </c>
      <c r="E45" s="126">
        <v>452</v>
      </c>
      <c r="F45" s="144">
        <f t="shared" si="0"/>
        <v>-62</v>
      </c>
      <c r="G45" s="145">
        <f t="shared" si="3"/>
        <v>0.8793774319066148</v>
      </c>
      <c r="H45" s="127">
        <v>465</v>
      </c>
      <c r="I45" s="128"/>
      <c r="J45" s="124">
        <f t="shared" si="1"/>
        <v>465</v>
      </c>
      <c r="K45" s="144">
        <f t="shared" si="2"/>
        <v>13</v>
      </c>
      <c r="L45" s="150">
        <f t="shared" si="4"/>
        <v>1.0287610619469028</v>
      </c>
    </row>
    <row r="46" spans="1:14" s="101" customFormat="1" ht="13.5">
      <c r="A46" s="526" t="s">
        <v>56</v>
      </c>
      <c r="B46" s="527"/>
      <c r="C46" s="527"/>
      <c r="D46" s="125">
        <v>2919</v>
      </c>
      <c r="E46" s="126">
        <v>3399</v>
      </c>
      <c r="F46" s="144">
        <f t="shared" si="0"/>
        <v>480</v>
      </c>
      <c r="G46" s="145">
        <f t="shared" si="3"/>
        <v>1.1644398766700925</v>
      </c>
      <c r="H46" s="127">
        <v>3501</v>
      </c>
      <c r="I46" s="127">
        <v>12</v>
      </c>
      <c r="J46" s="124">
        <f t="shared" si="1"/>
        <v>3513</v>
      </c>
      <c r="K46" s="144">
        <f t="shared" si="2"/>
        <v>114</v>
      </c>
      <c r="L46" s="150">
        <f t="shared" si="4"/>
        <v>1.033539276257723</v>
      </c>
      <c r="N46" s="129"/>
    </row>
    <row r="47" spans="1:12" s="101" customFormat="1" ht="13.5">
      <c r="A47" s="514" t="s">
        <v>57</v>
      </c>
      <c r="B47" s="515"/>
      <c r="C47" s="515"/>
      <c r="D47" s="125">
        <v>1085</v>
      </c>
      <c r="E47" s="126">
        <v>1342</v>
      </c>
      <c r="F47" s="144">
        <f t="shared" si="0"/>
        <v>257</v>
      </c>
      <c r="G47" s="145">
        <f t="shared" si="3"/>
        <v>1.2368663594470046</v>
      </c>
      <c r="H47" s="127">
        <v>1359</v>
      </c>
      <c r="I47" s="128">
        <v>9</v>
      </c>
      <c r="J47" s="124">
        <f t="shared" si="1"/>
        <v>1368</v>
      </c>
      <c r="K47" s="144">
        <f t="shared" si="2"/>
        <v>26</v>
      </c>
      <c r="L47" s="150">
        <f t="shared" si="4"/>
        <v>1.0193740685543964</v>
      </c>
    </row>
    <row r="48" spans="1:12" s="101" customFormat="1" ht="13.5">
      <c r="A48" s="514" t="s">
        <v>58</v>
      </c>
      <c r="B48" s="515"/>
      <c r="C48" s="515"/>
      <c r="D48" s="125">
        <v>1398</v>
      </c>
      <c r="E48" s="126">
        <v>1563</v>
      </c>
      <c r="F48" s="144">
        <f t="shared" si="0"/>
        <v>165</v>
      </c>
      <c r="G48" s="145">
        <f t="shared" si="3"/>
        <v>1.1180257510729614</v>
      </c>
      <c r="H48" s="127">
        <v>1594</v>
      </c>
      <c r="I48" s="128">
        <v>1</v>
      </c>
      <c r="J48" s="124">
        <f t="shared" si="1"/>
        <v>1595</v>
      </c>
      <c r="K48" s="144">
        <f t="shared" si="2"/>
        <v>32</v>
      </c>
      <c r="L48" s="150">
        <f t="shared" si="4"/>
        <v>1.020473448496481</v>
      </c>
    </row>
    <row r="49" spans="1:12" s="101" customFormat="1" ht="13.5">
      <c r="A49" s="514" t="s">
        <v>59</v>
      </c>
      <c r="B49" s="515"/>
      <c r="C49" s="515"/>
      <c r="D49" s="125">
        <v>436</v>
      </c>
      <c r="E49" s="126">
        <v>494</v>
      </c>
      <c r="F49" s="144">
        <f t="shared" si="0"/>
        <v>58</v>
      </c>
      <c r="G49" s="145">
        <f t="shared" si="3"/>
        <v>1.1330275229357798</v>
      </c>
      <c r="H49" s="127">
        <v>548</v>
      </c>
      <c r="I49" s="128">
        <v>2</v>
      </c>
      <c r="J49" s="124">
        <f t="shared" si="1"/>
        <v>550</v>
      </c>
      <c r="K49" s="144">
        <f t="shared" si="2"/>
        <v>56</v>
      </c>
      <c r="L49" s="150">
        <f t="shared" si="4"/>
        <v>1.1133603238866396</v>
      </c>
    </row>
    <row r="50" spans="1:12" s="101" customFormat="1" ht="13.5">
      <c r="A50" s="514" t="s">
        <v>168</v>
      </c>
      <c r="B50" s="515"/>
      <c r="C50" s="515"/>
      <c r="D50" s="125"/>
      <c r="E50" s="126"/>
      <c r="F50" s="144">
        <f t="shared" si="0"/>
        <v>0</v>
      </c>
      <c r="G50" s="145"/>
      <c r="H50" s="127"/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7"/>
      <c r="D51" s="125"/>
      <c r="E51" s="126"/>
      <c r="F51" s="144">
        <f t="shared" si="0"/>
        <v>0</v>
      </c>
      <c r="G51" s="145"/>
      <c r="H51" s="127"/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7"/>
      <c r="D52" s="125"/>
      <c r="E52" s="126"/>
      <c r="F52" s="144">
        <f t="shared" si="0"/>
        <v>0</v>
      </c>
      <c r="G52" s="145"/>
      <c r="H52" s="127"/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7"/>
      <c r="D53" s="125">
        <v>808</v>
      </c>
      <c r="E53" s="126">
        <v>1022</v>
      </c>
      <c r="F53" s="144">
        <f t="shared" si="0"/>
        <v>214</v>
      </c>
      <c r="G53" s="145">
        <f t="shared" si="3"/>
        <v>1.2648514851485149</v>
      </c>
      <c r="H53" s="127">
        <v>764</v>
      </c>
      <c r="I53" s="128">
        <v>1</v>
      </c>
      <c r="J53" s="124">
        <f t="shared" si="1"/>
        <v>765</v>
      </c>
      <c r="K53" s="144">
        <f t="shared" si="2"/>
        <v>-257</v>
      </c>
      <c r="L53" s="150">
        <f t="shared" si="4"/>
        <v>0.7485322896281801</v>
      </c>
    </row>
    <row r="54" spans="1:12" s="101" customFormat="1" ht="13.5">
      <c r="A54" s="529" t="s">
        <v>63</v>
      </c>
      <c r="B54" s="530"/>
      <c r="C54" s="530"/>
      <c r="D54" s="125">
        <v>555</v>
      </c>
      <c r="E54" s="126">
        <v>748</v>
      </c>
      <c r="F54" s="144">
        <f t="shared" si="0"/>
        <v>193</v>
      </c>
      <c r="G54" s="145">
        <f t="shared" si="3"/>
        <v>1.3477477477477477</v>
      </c>
      <c r="H54" s="127">
        <v>561</v>
      </c>
      <c r="I54" s="128"/>
      <c r="J54" s="124">
        <f t="shared" si="1"/>
        <v>561</v>
      </c>
      <c r="K54" s="144">
        <f t="shared" si="2"/>
        <v>-187</v>
      </c>
      <c r="L54" s="150">
        <f t="shared" si="4"/>
        <v>0.75</v>
      </c>
    </row>
    <row r="55" spans="1:12" s="101" customFormat="1" ht="13.5">
      <c r="A55" s="529" t="s">
        <v>169</v>
      </c>
      <c r="B55" s="530"/>
      <c r="C55" s="530"/>
      <c r="D55" s="125">
        <v>253</v>
      </c>
      <c r="E55" s="126">
        <v>274</v>
      </c>
      <c r="F55" s="144">
        <f t="shared" si="0"/>
        <v>21</v>
      </c>
      <c r="G55" s="145">
        <f t="shared" si="3"/>
        <v>1.08300395256917</v>
      </c>
      <c r="H55" s="127">
        <v>173</v>
      </c>
      <c r="I55" s="128">
        <v>1</v>
      </c>
      <c r="J55" s="124">
        <f t="shared" si="1"/>
        <v>174</v>
      </c>
      <c r="K55" s="144">
        <f t="shared" si="2"/>
        <v>-100</v>
      </c>
      <c r="L55" s="150">
        <f t="shared" si="4"/>
        <v>0.635036496350365</v>
      </c>
    </row>
    <row r="56" spans="1:12" s="101" customFormat="1" ht="13.5">
      <c r="A56" s="529" t="s">
        <v>133</v>
      </c>
      <c r="B56" s="530"/>
      <c r="C56" s="530"/>
      <c r="D56" s="125"/>
      <c r="E56" s="126"/>
      <c r="F56" s="144">
        <f t="shared" si="0"/>
        <v>0</v>
      </c>
      <c r="G56" s="145"/>
      <c r="H56" s="127">
        <v>30</v>
      </c>
      <c r="I56" s="128"/>
      <c r="J56" s="124">
        <f t="shared" si="1"/>
        <v>30</v>
      </c>
      <c r="K56" s="144">
        <f t="shared" si="2"/>
        <v>30</v>
      </c>
      <c r="L56" s="150"/>
    </row>
    <row r="57" spans="1:12" s="101" customFormat="1" ht="13.5">
      <c r="A57" s="526" t="s">
        <v>64</v>
      </c>
      <c r="B57" s="527"/>
      <c r="C57" s="527"/>
      <c r="D57" s="125">
        <v>126</v>
      </c>
      <c r="E57" s="126">
        <v>133</v>
      </c>
      <c r="F57" s="144">
        <f t="shared" si="0"/>
        <v>7</v>
      </c>
      <c r="G57" s="145">
        <f t="shared" si="3"/>
        <v>1.0555555555555556</v>
      </c>
      <c r="H57" s="127">
        <v>150</v>
      </c>
      <c r="I57" s="128"/>
      <c r="J57" s="124">
        <f t="shared" si="1"/>
        <v>150</v>
      </c>
      <c r="K57" s="144">
        <f t="shared" si="2"/>
        <v>17</v>
      </c>
      <c r="L57" s="150">
        <f t="shared" si="4"/>
        <v>1.1278195488721805</v>
      </c>
    </row>
    <row r="58" spans="1:12" s="101" customFormat="1" ht="13.5">
      <c r="A58" s="526" t="s">
        <v>65</v>
      </c>
      <c r="B58" s="527"/>
      <c r="C58" s="527"/>
      <c r="D58" s="125">
        <v>3</v>
      </c>
      <c r="E58" s="126">
        <v>4</v>
      </c>
      <c r="F58" s="144">
        <f t="shared" si="0"/>
        <v>1</v>
      </c>
      <c r="G58" s="145">
        <f t="shared" si="3"/>
        <v>1.3333333333333333</v>
      </c>
      <c r="H58" s="127">
        <v>5</v>
      </c>
      <c r="I58" s="128"/>
      <c r="J58" s="124">
        <f t="shared" si="1"/>
        <v>5</v>
      </c>
      <c r="K58" s="144">
        <f t="shared" si="2"/>
        <v>1</v>
      </c>
      <c r="L58" s="150">
        <f t="shared" si="4"/>
        <v>1.25</v>
      </c>
    </row>
    <row r="59" spans="1:14" s="101" customFormat="1" ht="13.5">
      <c r="A59" s="526" t="s">
        <v>66</v>
      </c>
      <c r="B59" s="527"/>
      <c r="C59" s="527"/>
      <c r="D59" s="125">
        <v>2157</v>
      </c>
      <c r="E59" s="126">
        <v>2335</v>
      </c>
      <c r="F59" s="144">
        <f t="shared" si="0"/>
        <v>178</v>
      </c>
      <c r="G59" s="145">
        <f t="shared" si="3"/>
        <v>1.0825220213259157</v>
      </c>
      <c r="H59" s="127">
        <v>2409</v>
      </c>
      <c r="I59" s="128">
        <v>2</v>
      </c>
      <c r="J59" s="124">
        <f t="shared" si="1"/>
        <v>2411</v>
      </c>
      <c r="K59" s="144">
        <f t="shared" si="2"/>
        <v>76</v>
      </c>
      <c r="L59" s="150">
        <f t="shared" si="4"/>
        <v>1.0325481798715204</v>
      </c>
      <c r="N59" s="129"/>
    </row>
    <row r="60" spans="1:12" s="101" customFormat="1" ht="13.5">
      <c r="A60" s="514" t="s">
        <v>67</v>
      </c>
      <c r="B60" s="515"/>
      <c r="C60" s="515"/>
      <c r="D60" s="125">
        <v>122</v>
      </c>
      <c r="E60" s="126">
        <v>117</v>
      </c>
      <c r="F60" s="144">
        <f t="shared" si="0"/>
        <v>-5</v>
      </c>
      <c r="G60" s="145">
        <f t="shared" si="3"/>
        <v>0.9590163934426229</v>
      </c>
      <c r="H60" s="127">
        <v>115</v>
      </c>
      <c r="I60" s="128"/>
      <c r="J60" s="124">
        <f t="shared" si="1"/>
        <v>115</v>
      </c>
      <c r="K60" s="144">
        <f t="shared" si="2"/>
        <v>-2</v>
      </c>
      <c r="L60" s="150">
        <f t="shared" si="4"/>
        <v>0.9829059829059829</v>
      </c>
    </row>
    <row r="61" spans="1:12" s="101" customFormat="1" ht="13.5">
      <c r="A61" s="514" t="s">
        <v>68</v>
      </c>
      <c r="B61" s="515"/>
      <c r="C61" s="515"/>
      <c r="D61" s="125">
        <v>46</v>
      </c>
      <c r="E61" s="126">
        <v>46</v>
      </c>
      <c r="F61" s="144">
        <f t="shared" si="0"/>
        <v>0</v>
      </c>
      <c r="G61" s="145">
        <f t="shared" si="3"/>
        <v>1</v>
      </c>
      <c r="H61" s="127">
        <v>46</v>
      </c>
      <c r="I61" s="128"/>
      <c r="J61" s="124">
        <f t="shared" si="1"/>
        <v>46</v>
      </c>
      <c r="K61" s="144">
        <f t="shared" si="2"/>
        <v>0</v>
      </c>
      <c r="L61" s="150">
        <f t="shared" si="4"/>
        <v>1</v>
      </c>
    </row>
    <row r="62" spans="1:12" s="101" customFormat="1" ht="13.5">
      <c r="A62" s="514" t="s">
        <v>69</v>
      </c>
      <c r="B62" s="515"/>
      <c r="C62" s="515"/>
      <c r="D62" s="125"/>
      <c r="E62" s="126"/>
      <c r="F62" s="144">
        <f t="shared" si="0"/>
        <v>0</v>
      </c>
      <c r="G62" s="145"/>
      <c r="H62" s="127"/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5"/>
      <c r="D63" s="125">
        <v>1231</v>
      </c>
      <c r="E63" s="126">
        <v>1327</v>
      </c>
      <c r="F63" s="144">
        <f t="shared" si="0"/>
        <v>96</v>
      </c>
      <c r="G63" s="145">
        <f t="shared" si="3"/>
        <v>1.0779853777416735</v>
      </c>
      <c r="H63" s="127">
        <v>1371</v>
      </c>
      <c r="I63" s="128">
        <v>1</v>
      </c>
      <c r="J63" s="124">
        <f t="shared" si="1"/>
        <v>1372</v>
      </c>
      <c r="K63" s="144">
        <f t="shared" si="2"/>
        <v>45</v>
      </c>
      <c r="L63" s="150">
        <f t="shared" si="4"/>
        <v>1.0339110776186888</v>
      </c>
    </row>
    <row r="64" spans="1:12" s="101" customFormat="1" ht="13.5">
      <c r="A64" s="514" t="s">
        <v>71</v>
      </c>
      <c r="B64" s="515"/>
      <c r="C64" s="515"/>
      <c r="D64" s="125"/>
      <c r="E64" s="126"/>
      <c r="F64" s="144">
        <f t="shared" si="0"/>
        <v>0</v>
      </c>
      <c r="G64" s="145"/>
      <c r="H64" s="127"/>
      <c r="I64" s="128"/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5"/>
      <c r="D65" s="125">
        <v>77</v>
      </c>
      <c r="E65" s="126">
        <v>93</v>
      </c>
      <c r="F65" s="144">
        <f t="shared" si="0"/>
        <v>16</v>
      </c>
      <c r="G65" s="145">
        <f t="shared" si="3"/>
        <v>1.2077922077922079</v>
      </c>
      <c r="H65" s="127">
        <v>93</v>
      </c>
      <c r="I65" s="128">
        <v>1</v>
      </c>
      <c r="J65" s="124">
        <f t="shared" si="1"/>
        <v>94</v>
      </c>
      <c r="K65" s="144">
        <f t="shared" si="2"/>
        <v>1</v>
      </c>
      <c r="L65" s="150">
        <f t="shared" si="4"/>
        <v>1.010752688172043</v>
      </c>
    </row>
    <row r="66" spans="1:12" s="101" customFormat="1" ht="13.5">
      <c r="A66" s="514" t="s">
        <v>72</v>
      </c>
      <c r="B66" s="515"/>
      <c r="C66" s="515"/>
      <c r="D66" s="125">
        <v>219</v>
      </c>
      <c r="E66" s="126">
        <v>238</v>
      </c>
      <c r="F66" s="144">
        <f t="shared" si="0"/>
        <v>19</v>
      </c>
      <c r="G66" s="145">
        <f t="shared" si="3"/>
        <v>1.08675799086758</v>
      </c>
      <c r="H66" s="127">
        <v>250</v>
      </c>
      <c r="I66" s="128"/>
      <c r="J66" s="124">
        <f t="shared" si="1"/>
        <v>250</v>
      </c>
      <c r="K66" s="144">
        <f t="shared" si="2"/>
        <v>12</v>
      </c>
      <c r="L66" s="150">
        <f t="shared" si="4"/>
        <v>1.050420168067227</v>
      </c>
    </row>
    <row r="67" spans="1:12" s="101" customFormat="1" ht="13.5">
      <c r="A67" s="514" t="s">
        <v>73</v>
      </c>
      <c r="B67" s="515"/>
      <c r="C67" s="515"/>
      <c r="D67" s="125">
        <v>462</v>
      </c>
      <c r="E67" s="126">
        <v>514</v>
      </c>
      <c r="F67" s="144">
        <f t="shared" si="0"/>
        <v>52</v>
      </c>
      <c r="G67" s="145">
        <f>E67/D67</f>
        <v>1.1125541125541125</v>
      </c>
      <c r="H67" s="127">
        <v>534</v>
      </c>
      <c r="I67" s="128"/>
      <c r="J67" s="124">
        <f t="shared" si="1"/>
        <v>534</v>
      </c>
      <c r="K67" s="144">
        <f t="shared" si="2"/>
        <v>20</v>
      </c>
      <c r="L67" s="150">
        <f t="shared" si="4"/>
        <v>1.038910505836576</v>
      </c>
    </row>
    <row r="68" spans="1:12" s="101" customFormat="1" ht="13.5">
      <c r="A68" s="514" t="s">
        <v>171</v>
      </c>
      <c r="B68" s="515"/>
      <c r="C68" s="515"/>
      <c r="D68" s="125"/>
      <c r="E68" s="126"/>
      <c r="F68" s="144">
        <f t="shared" si="0"/>
        <v>0</v>
      </c>
      <c r="G68" s="145"/>
      <c r="H68" s="127"/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7"/>
      <c r="D69" s="125">
        <v>32083</v>
      </c>
      <c r="E69" s="126">
        <v>31844</v>
      </c>
      <c r="F69" s="144">
        <f t="shared" si="0"/>
        <v>-239</v>
      </c>
      <c r="G69" s="145">
        <f t="shared" si="3"/>
        <v>0.9925505719539943</v>
      </c>
      <c r="H69" s="127">
        <v>32344</v>
      </c>
      <c r="I69" s="128">
        <v>57</v>
      </c>
      <c r="J69" s="124">
        <f t="shared" si="1"/>
        <v>32401</v>
      </c>
      <c r="K69" s="144">
        <f t="shared" si="2"/>
        <v>557</v>
      </c>
      <c r="L69" s="150">
        <f t="shared" si="4"/>
        <v>1.0174915211656828</v>
      </c>
      <c r="N69" s="129"/>
    </row>
    <row r="70" spans="1:12" s="101" customFormat="1" ht="13.5">
      <c r="A70" s="514" t="s">
        <v>75</v>
      </c>
      <c r="B70" s="515"/>
      <c r="C70" s="515"/>
      <c r="D70" s="125">
        <v>23382</v>
      </c>
      <c r="E70" s="126">
        <v>23362</v>
      </c>
      <c r="F70" s="144">
        <f t="shared" si="0"/>
        <v>-20</v>
      </c>
      <c r="G70" s="145">
        <f t="shared" si="3"/>
        <v>0.9991446411769738</v>
      </c>
      <c r="H70" s="127">
        <v>23724</v>
      </c>
      <c r="I70" s="128">
        <v>41</v>
      </c>
      <c r="J70" s="124">
        <f t="shared" si="1"/>
        <v>23765</v>
      </c>
      <c r="K70" s="144">
        <f t="shared" si="2"/>
        <v>403</v>
      </c>
      <c r="L70" s="150">
        <f t="shared" si="4"/>
        <v>1.0172502354250492</v>
      </c>
    </row>
    <row r="71" spans="1:12" s="101" customFormat="1" ht="13.5">
      <c r="A71" s="514" t="s">
        <v>76</v>
      </c>
      <c r="B71" s="515"/>
      <c r="C71" s="515"/>
      <c r="D71" s="125">
        <v>23274</v>
      </c>
      <c r="E71" s="126">
        <v>23255</v>
      </c>
      <c r="F71" s="144">
        <f t="shared" si="0"/>
        <v>-19</v>
      </c>
      <c r="G71" s="145">
        <f t="shared" si="3"/>
        <v>0.9991836383947753</v>
      </c>
      <c r="H71" s="127">
        <v>23615</v>
      </c>
      <c r="I71" s="128">
        <v>41</v>
      </c>
      <c r="J71" s="124">
        <f t="shared" si="1"/>
        <v>23656</v>
      </c>
      <c r="K71" s="144">
        <f t="shared" si="2"/>
        <v>401</v>
      </c>
      <c r="L71" s="150">
        <f t="shared" si="4"/>
        <v>1.0172436035261234</v>
      </c>
    </row>
    <row r="72" spans="1:12" s="101" customFormat="1" ht="13.5">
      <c r="A72" s="514" t="s">
        <v>172</v>
      </c>
      <c r="B72" s="515"/>
      <c r="C72" s="515"/>
      <c r="D72" s="125">
        <v>23190</v>
      </c>
      <c r="E72" s="126">
        <v>23190</v>
      </c>
      <c r="F72" s="144">
        <f t="shared" si="0"/>
        <v>0</v>
      </c>
      <c r="G72" s="145">
        <f t="shared" si="3"/>
        <v>1</v>
      </c>
      <c r="H72" s="127">
        <v>23549</v>
      </c>
      <c r="I72" s="128">
        <v>41</v>
      </c>
      <c r="J72" s="124">
        <f t="shared" si="1"/>
        <v>23590</v>
      </c>
      <c r="K72" s="144">
        <f t="shared" si="2"/>
        <v>400</v>
      </c>
      <c r="L72" s="150">
        <f t="shared" si="4"/>
        <v>1.0172488141440277</v>
      </c>
    </row>
    <row r="73" spans="1:14" s="101" customFormat="1" ht="13.5">
      <c r="A73" s="514" t="s">
        <v>77</v>
      </c>
      <c r="B73" s="515"/>
      <c r="C73" s="515"/>
      <c r="D73" s="125">
        <v>108</v>
      </c>
      <c r="E73" s="126">
        <v>107</v>
      </c>
      <c r="F73" s="144">
        <f t="shared" si="0"/>
        <v>-1</v>
      </c>
      <c r="G73" s="145">
        <f t="shared" si="3"/>
        <v>0.9907407407407407</v>
      </c>
      <c r="H73" s="127">
        <v>109</v>
      </c>
      <c r="I73" s="128"/>
      <c r="J73" s="124">
        <f t="shared" si="1"/>
        <v>109</v>
      </c>
      <c r="K73" s="144">
        <f t="shared" si="2"/>
        <v>2</v>
      </c>
      <c r="L73" s="150">
        <f t="shared" si="4"/>
        <v>1.0186915887850467</v>
      </c>
      <c r="N73" s="129"/>
    </row>
    <row r="74" spans="1:12" s="101" customFormat="1" ht="13.5">
      <c r="A74" s="514" t="s">
        <v>78</v>
      </c>
      <c r="B74" s="515"/>
      <c r="C74" s="515"/>
      <c r="D74" s="125">
        <v>8701</v>
      </c>
      <c r="E74" s="126">
        <v>8482</v>
      </c>
      <c r="F74" s="144">
        <f t="shared" si="0"/>
        <v>-219</v>
      </c>
      <c r="G74" s="145">
        <f t="shared" si="3"/>
        <v>0.974830479255258</v>
      </c>
      <c r="H74" s="127">
        <v>8620</v>
      </c>
      <c r="I74" s="128">
        <v>16</v>
      </c>
      <c r="J74" s="124">
        <f t="shared" si="1"/>
        <v>8636</v>
      </c>
      <c r="K74" s="144">
        <f t="shared" si="2"/>
        <v>154</v>
      </c>
      <c r="L74" s="150">
        <f t="shared" si="4"/>
        <v>1.0181560952605517</v>
      </c>
    </row>
    <row r="75" spans="1:15" s="101" customFormat="1" ht="13.5">
      <c r="A75" s="526" t="s">
        <v>79</v>
      </c>
      <c r="B75" s="527"/>
      <c r="C75" s="527"/>
      <c r="D75" s="125"/>
      <c r="E75" s="126">
        <v>57</v>
      </c>
      <c r="F75" s="144">
        <f t="shared" si="0"/>
        <v>57</v>
      </c>
      <c r="G75" s="145"/>
      <c r="H75" s="127">
        <v>57</v>
      </c>
      <c r="I75" s="128"/>
      <c r="J75" s="124">
        <f t="shared" si="1"/>
        <v>57</v>
      </c>
      <c r="K75" s="144">
        <f t="shared" si="2"/>
        <v>0</v>
      </c>
      <c r="L75" s="150">
        <f t="shared" si="4"/>
        <v>1</v>
      </c>
      <c r="N75" s="129"/>
      <c r="O75" s="139"/>
    </row>
    <row r="76" spans="1:12" s="101" customFormat="1" ht="13.5">
      <c r="A76" s="514" t="s">
        <v>80</v>
      </c>
      <c r="B76" s="515"/>
      <c r="C76" s="515"/>
      <c r="D76" s="125"/>
      <c r="E76" s="126"/>
      <c r="F76" s="144">
        <f aca="true" t="shared" si="5" ref="F76:F90">E76-D76</f>
        <v>0</v>
      </c>
      <c r="G76" s="145"/>
      <c r="H76" s="127"/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7"/>
      <c r="D77" s="125">
        <v>92</v>
      </c>
      <c r="E77" s="126">
        <v>75</v>
      </c>
      <c r="F77" s="144">
        <f t="shared" si="5"/>
        <v>-17</v>
      </c>
      <c r="G77" s="145">
        <f aca="true" t="shared" si="8" ref="G77:G85">E77/D77</f>
        <v>0.8152173913043478</v>
      </c>
      <c r="H77" s="127">
        <v>79</v>
      </c>
      <c r="I77" s="128"/>
      <c r="J77" s="124">
        <f t="shared" si="6"/>
        <v>79</v>
      </c>
      <c r="K77" s="144">
        <f t="shared" si="7"/>
        <v>4</v>
      </c>
      <c r="L77" s="150">
        <f>J77/E77</f>
        <v>1.0533333333333332</v>
      </c>
    </row>
    <row r="78" spans="1:12" s="101" customFormat="1" ht="13.5">
      <c r="A78" s="514" t="s">
        <v>82</v>
      </c>
      <c r="B78" s="515"/>
      <c r="C78" s="515"/>
      <c r="D78" s="138">
        <v>1</v>
      </c>
      <c r="E78" s="130"/>
      <c r="F78" s="144">
        <f t="shared" si="5"/>
        <v>-1</v>
      </c>
      <c r="G78" s="145">
        <f t="shared" si="8"/>
        <v>0</v>
      </c>
      <c r="H78" s="122"/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5"/>
      <c r="D79" s="125"/>
      <c r="E79" s="126"/>
      <c r="F79" s="144">
        <f t="shared" si="5"/>
        <v>0</v>
      </c>
      <c r="G79" s="145"/>
      <c r="H79" s="127"/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7"/>
      <c r="D80" s="125">
        <v>2001</v>
      </c>
      <c r="E80" s="126">
        <v>1835</v>
      </c>
      <c r="F80" s="144">
        <f t="shared" si="5"/>
        <v>-166</v>
      </c>
      <c r="G80" s="145">
        <f t="shared" si="8"/>
        <v>0.9170414792603698</v>
      </c>
      <c r="H80" s="127">
        <v>1767</v>
      </c>
      <c r="I80" s="128">
        <v>2</v>
      </c>
      <c r="J80" s="124">
        <f t="shared" si="6"/>
        <v>1769</v>
      </c>
      <c r="K80" s="144">
        <f t="shared" si="7"/>
        <v>-66</v>
      </c>
      <c r="L80" s="150">
        <f>J80/E80</f>
        <v>0.964032697547684</v>
      </c>
    </row>
    <row r="81" spans="1:12" s="101" customFormat="1" ht="13.5">
      <c r="A81" s="514" t="s">
        <v>85</v>
      </c>
      <c r="B81" s="515"/>
      <c r="C81" s="515"/>
      <c r="D81" s="125">
        <v>865</v>
      </c>
      <c r="E81" s="126">
        <v>867</v>
      </c>
      <c r="F81" s="144">
        <f t="shared" si="5"/>
        <v>2</v>
      </c>
      <c r="G81" s="145">
        <f t="shared" si="8"/>
        <v>1.0023121387283238</v>
      </c>
      <c r="H81" s="366">
        <v>907</v>
      </c>
      <c r="I81" s="372">
        <v>2</v>
      </c>
      <c r="J81" s="124">
        <f t="shared" si="6"/>
        <v>909</v>
      </c>
      <c r="K81" s="144">
        <f t="shared" si="7"/>
        <v>42</v>
      </c>
      <c r="L81" s="150">
        <f>J81/E81</f>
        <v>1.0484429065743945</v>
      </c>
    </row>
    <row r="82" spans="1:12" s="101" customFormat="1" ht="13.5">
      <c r="A82" s="514" t="s">
        <v>86</v>
      </c>
      <c r="B82" s="515"/>
      <c r="C82" s="515"/>
      <c r="D82" s="125"/>
      <c r="E82" s="126"/>
      <c r="F82" s="144">
        <f t="shared" si="5"/>
        <v>0</v>
      </c>
      <c r="G82" s="145"/>
      <c r="H82" s="127"/>
      <c r="I82" s="128"/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514" t="s">
        <v>173</v>
      </c>
      <c r="B83" s="515"/>
      <c r="C83" s="515"/>
      <c r="D83" s="125">
        <v>3</v>
      </c>
      <c r="E83" s="126"/>
      <c r="F83" s="144">
        <f t="shared" si="5"/>
        <v>-3</v>
      </c>
      <c r="G83" s="145">
        <f t="shared" si="8"/>
        <v>0</v>
      </c>
      <c r="H83" s="127"/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5"/>
      <c r="D84" s="125">
        <v>1133</v>
      </c>
      <c r="E84" s="126">
        <v>968</v>
      </c>
      <c r="F84" s="144">
        <f t="shared" si="5"/>
        <v>-165</v>
      </c>
      <c r="G84" s="145">
        <f t="shared" si="8"/>
        <v>0.8543689320388349</v>
      </c>
      <c r="H84" s="127">
        <v>860</v>
      </c>
      <c r="I84" s="128"/>
      <c r="J84" s="124">
        <f t="shared" si="6"/>
        <v>860</v>
      </c>
      <c r="K84" s="144">
        <f t="shared" si="7"/>
        <v>-108</v>
      </c>
      <c r="L84" s="150">
        <f>J84/E84</f>
        <v>0.8884297520661157</v>
      </c>
    </row>
    <row r="85" spans="1:12" s="101" customFormat="1" ht="13.5">
      <c r="A85" s="514" t="s">
        <v>174</v>
      </c>
      <c r="B85" s="515"/>
      <c r="C85" s="515"/>
      <c r="D85" s="125">
        <v>1133</v>
      </c>
      <c r="E85" s="126">
        <v>961</v>
      </c>
      <c r="F85" s="144">
        <f t="shared" si="5"/>
        <v>-172</v>
      </c>
      <c r="G85" s="145">
        <f t="shared" si="8"/>
        <v>0.8481906443071492</v>
      </c>
      <c r="H85" s="127"/>
      <c r="I85" s="128"/>
      <c r="J85" s="124">
        <f t="shared" si="6"/>
        <v>0</v>
      </c>
      <c r="K85" s="144">
        <f t="shared" si="7"/>
        <v>-961</v>
      </c>
      <c r="L85" s="150">
        <f>J85/E85</f>
        <v>0</v>
      </c>
    </row>
    <row r="86" spans="1:14" s="101" customFormat="1" ht="13.5">
      <c r="A86" s="514" t="s">
        <v>175</v>
      </c>
      <c r="B86" s="515"/>
      <c r="C86" s="515"/>
      <c r="D86" s="125"/>
      <c r="E86" s="126">
        <v>7</v>
      </c>
      <c r="F86" s="144">
        <f t="shared" si="5"/>
        <v>7</v>
      </c>
      <c r="G86" s="145"/>
      <c r="H86" s="127"/>
      <c r="I86" s="128"/>
      <c r="J86" s="124">
        <f t="shared" si="6"/>
        <v>0</v>
      </c>
      <c r="K86" s="144">
        <f t="shared" si="7"/>
        <v>-7</v>
      </c>
      <c r="L86" s="150">
        <f>J86/E86</f>
        <v>0</v>
      </c>
      <c r="N86" s="129"/>
    </row>
    <row r="87" spans="1:12" s="101" customFormat="1" ht="13.5">
      <c r="A87" s="526" t="s">
        <v>88</v>
      </c>
      <c r="B87" s="527"/>
      <c r="C87" s="527"/>
      <c r="D87" s="125"/>
      <c r="E87" s="126"/>
      <c r="F87" s="144">
        <f t="shared" si="5"/>
        <v>0</v>
      </c>
      <c r="G87" s="145"/>
      <c r="H87" s="127"/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5"/>
      <c r="D88" s="125"/>
      <c r="E88" s="126"/>
      <c r="F88" s="144">
        <f t="shared" si="5"/>
        <v>0</v>
      </c>
      <c r="G88" s="145"/>
      <c r="H88" s="127"/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7"/>
      <c r="D89" s="125"/>
      <c r="E89" s="126"/>
      <c r="F89" s="144">
        <f t="shared" si="5"/>
        <v>0</v>
      </c>
      <c r="G89" s="145"/>
      <c r="H89" s="127"/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15"/>
      <c r="D90" s="245"/>
      <c r="E90" s="140"/>
      <c r="F90" s="144">
        <f t="shared" si="5"/>
        <v>0</v>
      </c>
      <c r="G90" s="145"/>
      <c r="H90" s="127"/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46779</v>
      </c>
      <c r="E91" s="178">
        <v>47349</v>
      </c>
      <c r="F91" s="179"/>
      <c r="G91" s="179"/>
      <c r="H91" s="180">
        <v>47882</v>
      </c>
      <c r="I91" s="180">
        <v>165</v>
      </c>
      <c r="J91" s="181">
        <v>48047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v>0</v>
      </c>
      <c r="E92" s="184">
        <v>0</v>
      </c>
      <c r="F92" s="185"/>
      <c r="G92" s="185"/>
      <c r="H92" s="184">
        <v>-2529</v>
      </c>
      <c r="I92" s="184">
        <v>20</v>
      </c>
      <c r="J92" s="186">
        <v>-2509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3.5">
      <c r="A94" s="561" t="s">
        <v>178</v>
      </c>
      <c r="B94" s="562"/>
      <c r="C94" s="565" t="s">
        <v>104</v>
      </c>
      <c r="D94" s="42"/>
      <c r="E94" s="561" t="s">
        <v>179</v>
      </c>
      <c r="F94" s="567"/>
      <c r="G94" s="567"/>
      <c r="H94" s="562"/>
      <c r="I94" s="565" t="s">
        <v>104</v>
      </c>
      <c r="J94" s="43"/>
      <c r="K94" s="43"/>
      <c r="L94" s="43"/>
      <c r="M94" s="43"/>
      <c r="N94" s="43"/>
    </row>
    <row r="95" spans="1:14" ht="14.25" thickBot="1">
      <c r="A95" s="563"/>
      <c r="B95" s="564"/>
      <c r="C95" s="566"/>
      <c r="D95" s="42"/>
      <c r="E95" s="594"/>
      <c r="F95" s="595"/>
      <c r="G95" s="595"/>
      <c r="H95" s="596"/>
      <c r="I95" s="566"/>
      <c r="J95" s="43"/>
      <c r="K95" s="43"/>
      <c r="L95" s="43"/>
      <c r="M95" s="43"/>
      <c r="N95" s="43"/>
    </row>
    <row r="96" spans="1:14" ht="14.25" thickBot="1">
      <c r="A96" s="212" t="s">
        <v>329</v>
      </c>
      <c r="B96" s="213"/>
      <c r="C96" s="109">
        <v>328</v>
      </c>
      <c r="D96" s="92"/>
      <c r="E96" s="597" t="s">
        <v>333</v>
      </c>
      <c r="F96" s="598"/>
      <c r="G96" s="598"/>
      <c r="H96" s="599"/>
      <c r="I96" s="104">
        <v>511</v>
      </c>
      <c r="J96" s="43"/>
      <c r="K96" s="43"/>
      <c r="L96" s="43"/>
      <c r="M96" s="43"/>
      <c r="N96" s="38" t="s">
        <v>105</v>
      </c>
    </row>
    <row r="97" spans="1:14" ht="13.5">
      <c r="A97" s="212" t="s">
        <v>330</v>
      </c>
      <c r="B97" s="213"/>
      <c r="C97" s="109">
        <v>365</v>
      </c>
      <c r="D97" s="92"/>
      <c r="E97" s="597" t="s">
        <v>334</v>
      </c>
      <c r="F97" s="598"/>
      <c r="G97" s="598"/>
      <c r="H97" s="599"/>
      <c r="I97" s="105">
        <v>48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212" t="s">
        <v>331</v>
      </c>
      <c r="B98" s="213"/>
      <c r="C98" s="109">
        <v>180</v>
      </c>
      <c r="D98" s="92"/>
      <c r="E98" s="597" t="s">
        <v>335</v>
      </c>
      <c r="F98" s="598"/>
      <c r="G98" s="598"/>
      <c r="H98" s="599"/>
      <c r="I98" s="105">
        <v>50</v>
      </c>
      <c r="J98" s="43"/>
      <c r="K98" s="47" t="s">
        <v>107</v>
      </c>
      <c r="L98" s="47"/>
      <c r="M98" s="48"/>
      <c r="N98" s="49"/>
    </row>
    <row r="99" spans="1:14" ht="13.5">
      <c r="A99" s="212" t="s">
        <v>332</v>
      </c>
      <c r="B99" s="213"/>
      <c r="C99" s="109">
        <v>197</v>
      </c>
      <c r="D99" s="92"/>
      <c r="E99" s="597" t="s">
        <v>336</v>
      </c>
      <c r="F99" s="598"/>
      <c r="G99" s="598"/>
      <c r="H99" s="599"/>
      <c r="I99" s="105">
        <v>20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212" t="s">
        <v>136</v>
      </c>
      <c r="B100" s="213"/>
      <c r="C100" s="369">
        <v>276</v>
      </c>
      <c r="D100" s="92"/>
      <c r="E100" s="597" t="s">
        <v>337</v>
      </c>
      <c r="F100" s="598"/>
      <c r="G100" s="598"/>
      <c r="H100" s="599"/>
      <c r="I100" s="105">
        <v>36</v>
      </c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212"/>
      <c r="B101" s="213"/>
      <c r="C101" s="109"/>
      <c r="D101" s="92"/>
      <c r="E101" s="597" t="s">
        <v>338</v>
      </c>
      <c r="F101" s="598"/>
      <c r="G101" s="598"/>
      <c r="H101" s="599"/>
      <c r="I101" s="105">
        <v>40</v>
      </c>
      <c r="J101" s="43"/>
      <c r="K101" s="43"/>
      <c r="L101" s="43"/>
      <c r="M101" s="43"/>
      <c r="N101" s="43"/>
    </row>
    <row r="102" spans="1:14" ht="13.5">
      <c r="A102" s="212"/>
      <c r="B102" s="213"/>
      <c r="C102" s="93"/>
      <c r="D102" s="92"/>
      <c r="E102" s="597" t="s">
        <v>339</v>
      </c>
      <c r="F102" s="598"/>
      <c r="G102" s="598"/>
      <c r="H102" s="599"/>
      <c r="I102" s="105">
        <v>30</v>
      </c>
      <c r="J102" s="43"/>
      <c r="K102" s="43"/>
      <c r="L102" s="43"/>
      <c r="M102" s="43"/>
      <c r="N102" s="43"/>
    </row>
    <row r="103" spans="1:14" ht="13.5">
      <c r="A103" s="212"/>
      <c r="B103" s="213"/>
      <c r="C103" s="93"/>
      <c r="D103" s="92"/>
      <c r="E103" s="597" t="s">
        <v>340</v>
      </c>
      <c r="F103" s="598"/>
      <c r="G103" s="598"/>
      <c r="H103" s="599"/>
      <c r="I103" s="105">
        <v>30</v>
      </c>
      <c r="J103" s="43"/>
      <c r="K103" s="43"/>
      <c r="L103" s="43"/>
      <c r="M103" s="43"/>
      <c r="N103" s="43"/>
    </row>
    <row r="104" spans="1:14" ht="14.25" thickBot="1">
      <c r="A104" s="212"/>
      <c r="B104" s="213"/>
      <c r="C104" s="93"/>
      <c r="D104" s="92"/>
      <c r="E104" s="597"/>
      <c r="F104" s="598"/>
      <c r="G104" s="598"/>
      <c r="H104" s="599"/>
      <c r="I104" s="255"/>
      <c r="J104" s="43"/>
      <c r="K104" s="43"/>
      <c r="L104" s="43"/>
      <c r="M104" s="43"/>
      <c r="N104" s="43"/>
    </row>
    <row r="105" spans="1:14" ht="14.25" thickBot="1">
      <c r="A105" s="585" t="s">
        <v>97</v>
      </c>
      <c r="B105" s="586"/>
      <c r="C105" s="373">
        <f>SUM(C96:C104)</f>
        <v>1346</v>
      </c>
      <c r="D105" s="59"/>
      <c r="E105" s="591" t="s">
        <v>97</v>
      </c>
      <c r="F105" s="592"/>
      <c r="G105" s="592"/>
      <c r="H105" s="593"/>
      <c r="I105" s="58">
        <f>SUM(I96:I104)</f>
        <v>765</v>
      </c>
      <c r="J105" s="43"/>
      <c r="K105" s="43"/>
      <c r="L105" s="43"/>
      <c r="M105" s="43"/>
      <c r="N105" s="61"/>
    </row>
    <row r="106" spans="1:5" s="34" customFormat="1" ht="13.5">
      <c r="A106" s="59"/>
      <c r="B106" s="62"/>
      <c r="C106" s="62"/>
      <c r="D106" s="62"/>
      <c r="E106" s="62"/>
    </row>
    <row r="107" spans="1:12" s="34" customFormat="1" ht="13.5">
      <c r="A107" s="63"/>
      <c r="B107" s="36"/>
      <c r="C107" s="36"/>
      <c r="D107" s="36"/>
      <c r="E107" s="39"/>
      <c r="F107" s="41"/>
      <c r="G107" s="41"/>
      <c r="H107" s="35"/>
      <c r="I107" s="36"/>
      <c r="J107" s="36"/>
      <c r="K107" s="36"/>
      <c r="L107" s="39"/>
    </row>
    <row r="108" spans="1:12" s="34" customFormat="1" ht="14.25" thickBot="1">
      <c r="A108" s="63" t="s">
        <v>181</v>
      </c>
      <c r="B108" s="36"/>
      <c r="C108" s="36"/>
      <c r="D108" s="36"/>
      <c r="E108" s="39"/>
      <c r="F108" s="41"/>
      <c r="G108" s="41"/>
      <c r="H108" s="35"/>
      <c r="I108" s="36"/>
      <c r="J108" s="36" t="s">
        <v>110</v>
      </c>
      <c r="K108" s="36"/>
      <c r="L108" s="39"/>
    </row>
    <row r="109" spans="1:11" s="34" customFormat="1" ht="13.5">
      <c r="A109" s="449" t="s">
        <v>111</v>
      </c>
      <c r="B109" s="452" t="s">
        <v>248</v>
      </c>
      <c r="C109" s="459" t="s">
        <v>182</v>
      </c>
      <c r="D109" s="460"/>
      <c r="E109" s="460"/>
      <c r="F109" s="460"/>
      <c r="G109" s="460"/>
      <c r="H109" s="460"/>
      <c r="I109" s="460"/>
      <c r="J109" s="461"/>
      <c r="K109" s="455" t="s">
        <v>183</v>
      </c>
    </row>
    <row r="110" spans="1:11" s="34" customFormat="1" ht="13.5">
      <c r="A110" s="450"/>
      <c r="B110" s="453"/>
      <c r="C110" s="458" t="s">
        <v>112</v>
      </c>
      <c r="D110" s="462" t="s">
        <v>113</v>
      </c>
      <c r="E110" s="462"/>
      <c r="F110" s="462"/>
      <c r="G110" s="462"/>
      <c r="H110" s="462"/>
      <c r="I110" s="462"/>
      <c r="J110" s="463"/>
      <c r="K110" s="456"/>
    </row>
    <row r="111" spans="1:12" s="34" customFormat="1" ht="14.25" thickBot="1">
      <c r="A111" s="451"/>
      <c r="B111" s="454"/>
      <c r="C111" s="458"/>
      <c r="D111" s="164">
        <v>1</v>
      </c>
      <c r="E111" s="164">
        <v>2</v>
      </c>
      <c r="F111" s="164">
        <v>3</v>
      </c>
      <c r="G111" s="164">
        <v>4</v>
      </c>
      <c r="H111" s="164">
        <v>5</v>
      </c>
      <c r="I111" s="164">
        <v>6</v>
      </c>
      <c r="J111" s="165">
        <v>7</v>
      </c>
      <c r="K111" s="457"/>
      <c r="L111" s="71"/>
    </row>
    <row r="112" spans="1:11" s="34" customFormat="1" ht="14.25" thickBot="1">
      <c r="A112" s="64">
        <v>35608</v>
      </c>
      <c r="B112" s="65">
        <v>13772</v>
      </c>
      <c r="C112" s="364">
        <f>SUM(D112:J112)</f>
        <v>909</v>
      </c>
      <c r="D112" s="167">
        <v>27</v>
      </c>
      <c r="E112" s="167">
        <v>395</v>
      </c>
      <c r="F112" s="167">
        <v>211</v>
      </c>
      <c r="G112" s="167">
        <v>0</v>
      </c>
      <c r="H112" s="167"/>
      <c r="I112" s="168">
        <v>0</v>
      </c>
      <c r="J112" s="225">
        <v>276</v>
      </c>
      <c r="K112" s="163">
        <v>20927</v>
      </c>
    </row>
    <row r="113" spans="1:5" s="34" customFormat="1" ht="13.5">
      <c r="A113" s="59"/>
      <c r="B113" s="62"/>
      <c r="C113" s="62"/>
      <c r="D113" s="62"/>
      <c r="E113" s="62"/>
    </row>
    <row r="114" spans="1:8" s="34" customFormat="1" ht="14.25" thickBot="1">
      <c r="A114" s="63" t="s">
        <v>184</v>
      </c>
      <c r="C114" s="36"/>
      <c r="D114" s="36"/>
      <c r="E114" s="36"/>
      <c r="F114" s="36" t="s">
        <v>110</v>
      </c>
      <c r="G114" s="41"/>
      <c r="H114" s="35"/>
    </row>
    <row r="115" spans="1:6" s="34" customFormat="1" ht="15" customHeight="1" thickBot="1">
      <c r="A115" s="467" t="s">
        <v>114</v>
      </c>
      <c r="B115" s="469" t="s">
        <v>188</v>
      </c>
      <c r="C115" s="188" t="s">
        <v>185</v>
      </c>
      <c r="D115" s="189"/>
      <c r="E115" s="189"/>
      <c r="F115" s="190"/>
    </row>
    <row r="116" spans="1:6" s="34" customFormat="1" ht="27.75" thickBot="1">
      <c r="A116" s="468"/>
      <c r="B116" s="469"/>
      <c r="C116" s="67" t="s">
        <v>186</v>
      </c>
      <c r="D116" s="66" t="s">
        <v>115</v>
      </c>
      <c r="E116" s="67" t="s">
        <v>116</v>
      </c>
      <c r="F116" s="191" t="s">
        <v>187</v>
      </c>
    </row>
    <row r="117" spans="1:6" s="34" customFormat="1" ht="13.5">
      <c r="A117" s="192" t="s">
        <v>117</v>
      </c>
      <c r="B117" s="218">
        <v>4115</v>
      </c>
      <c r="C117" s="68" t="s">
        <v>118</v>
      </c>
      <c r="D117" s="69" t="s">
        <v>118</v>
      </c>
      <c r="E117" s="69" t="s">
        <v>118</v>
      </c>
      <c r="F117" s="193" t="s">
        <v>118</v>
      </c>
    </row>
    <row r="118" spans="1:13" s="34" customFormat="1" ht="13.5">
      <c r="A118" s="194" t="s">
        <v>119</v>
      </c>
      <c r="B118" s="219">
        <v>27</v>
      </c>
      <c r="C118" s="197">
        <v>27</v>
      </c>
      <c r="D118" s="51">
        <v>0</v>
      </c>
      <c r="E118" s="51">
        <v>0</v>
      </c>
      <c r="F118" s="198">
        <f>C118+D118-E118</f>
        <v>27</v>
      </c>
      <c r="M118" s="71"/>
    </row>
    <row r="119" spans="1:13" s="34" customFormat="1" ht="13.5">
      <c r="A119" s="194" t="s">
        <v>120</v>
      </c>
      <c r="B119" s="219">
        <v>33</v>
      </c>
      <c r="C119" s="197">
        <v>33</v>
      </c>
      <c r="D119" s="106">
        <v>15</v>
      </c>
      <c r="E119" s="106">
        <v>15</v>
      </c>
      <c r="F119" s="198">
        <f>C119+D119-E119</f>
        <v>33</v>
      </c>
      <c r="M119" s="71"/>
    </row>
    <row r="120" spans="1:13" s="34" customFormat="1" ht="13.5">
      <c r="A120" s="194" t="s">
        <v>121</v>
      </c>
      <c r="B120" s="219">
        <v>437</v>
      </c>
      <c r="C120" s="72">
        <v>437</v>
      </c>
      <c r="D120" s="206">
        <v>909</v>
      </c>
      <c r="E120" s="206">
        <v>1346</v>
      </c>
      <c r="F120" s="198">
        <f>C120+D120-E120</f>
        <v>0</v>
      </c>
      <c r="M120" s="71"/>
    </row>
    <row r="121" spans="1:13" s="34" customFormat="1" ht="13.5">
      <c r="A121" s="194" t="s">
        <v>122</v>
      </c>
      <c r="B121" s="219">
        <f>B117-B118-B119-B120</f>
        <v>3618</v>
      </c>
      <c r="C121" s="74" t="s">
        <v>118</v>
      </c>
      <c r="D121" s="365" t="s">
        <v>118</v>
      </c>
      <c r="E121" s="274" t="s">
        <v>118</v>
      </c>
      <c r="F121" s="195" t="s">
        <v>118</v>
      </c>
      <c r="M121" s="71"/>
    </row>
    <row r="122" spans="1:13" s="34" customFormat="1" ht="14.25" thickBot="1">
      <c r="A122" s="196" t="s">
        <v>123</v>
      </c>
      <c r="B122" s="220">
        <v>46</v>
      </c>
      <c r="C122" s="199">
        <v>100</v>
      </c>
      <c r="D122" s="200">
        <v>240</v>
      </c>
      <c r="E122" s="207">
        <v>250</v>
      </c>
      <c r="F122" s="201">
        <f>C122+D122-E122</f>
        <v>90</v>
      </c>
      <c r="M122" s="71"/>
    </row>
    <row r="123" spans="1:15" s="34" customFormat="1" ht="13.5">
      <c r="A123" s="35"/>
      <c r="B123" s="36"/>
      <c r="C123" s="36"/>
      <c r="D123" s="37"/>
      <c r="E123" s="38"/>
      <c r="F123" s="36"/>
      <c r="G123" s="36"/>
      <c r="H123" s="39"/>
      <c r="I123" s="40"/>
      <c r="J123" s="41"/>
      <c r="K123" s="35"/>
      <c r="L123" s="36"/>
      <c r="M123" s="36"/>
      <c r="N123" s="36"/>
      <c r="O123" s="39"/>
    </row>
    <row r="124" spans="1:11" ht="13.5">
      <c r="A124" s="63"/>
      <c r="K124" s="36"/>
    </row>
    <row r="125" spans="1:11" ht="14.25" thickBot="1">
      <c r="A125" s="63" t="s">
        <v>189</v>
      </c>
      <c r="K125" s="36" t="s">
        <v>110</v>
      </c>
    </row>
    <row r="126" spans="1:11" ht="13.5">
      <c r="A126" s="464" t="s">
        <v>124</v>
      </c>
      <c r="B126" s="465"/>
      <c r="C126" s="466"/>
      <c r="D126" s="78"/>
      <c r="E126" s="464" t="s">
        <v>125</v>
      </c>
      <c r="F126" s="465"/>
      <c r="G126" s="466"/>
      <c r="I126" s="464" t="s">
        <v>126</v>
      </c>
      <c r="J126" s="465"/>
      <c r="K126" s="466"/>
    </row>
    <row r="127" spans="1:11" ht="14.25" thickBot="1">
      <c r="A127" s="79" t="s">
        <v>127</v>
      </c>
      <c r="B127" s="80" t="s">
        <v>128</v>
      </c>
      <c r="C127" s="81" t="s">
        <v>129</v>
      </c>
      <c r="D127" s="78"/>
      <c r="E127" s="82"/>
      <c r="F127" s="470" t="s">
        <v>130</v>
      </c>
      <c r="G127" s="471"/>
      <c r="I127" s="79"/>
      <c r="J127" s="80" t="s">
        <v>131</v>
      </c>
      <c r="K127" s="81" t="s">
        <v>129</v>
      </c>
    </row>
    <row r="128" spans="1:11" ht="13.5">
      <c r="A128" s="83">
        <v>2012</v>
      </c>
      <c r="B128" s="84">
        <v>97</v>
      </c>
      <c r="C128" s="85">
        <v>99</v>
      </c>
      <c r="D128" s="37"/>
      <c r="E128" s="83">
        <v>2012</v>
      </c>
      <c r="F128" s="472">
        <v>203</v>
      </c>
      <c r="G128" s="473"/>
      <c r="I128" s="83">
        <v>2012</v>
      </c>
      <c r="J128" s="84">
        <v>23190</v>
      </c>
      <c r="K128" s="85">
        <v>23190</v>
      </c>
    </row>
    <row r="129" spans="1:11" ht="14.25" thickBot="1">
      <c r="A129" s="86">
        <v>2013</v>
      </c>
      <c r="B129" s="87">
        <v>100</v>
      </c>
      <c r="C129" s="88" t="s">
        <v>92</v>
      </c>
      <c r="D129" s="37"/>
      <c r="E129" s="86">
        <v>2013</v>
      </c>
      <c r="F129" s="388">
        <v>203</v>
      </c>
      <c r="G129" s="389"/>
      <c r="I129" s="86">
        <v>2013</v>
      </c>
      <c r="J129" s="87">
        <v>23590</v>
      </c>
      <c r="K129" s="88" t="s">
        <v>92</v>
      </c>
    </row>
    <row r="130" ht="13.5">
      <c r="D130" s="78"/>
    </row>
    <row r="131" ht="13.5">
      <c r="D131" s="37"/>
    </row>
    <row r="132" ht="13.5">
      <c r="D132" s="37"/>
    </row>
  </sheetData>
  <sheetProtection selectLockedCells="1" selectUnlockedCells="1"/>
  <mergeCells count="122">
    <mergeCell ref="F129:G129"/>
    <mergeCell ref="E96:H96"/>
    <mergeCell ref="E101:H101"/>
    <mergeCell ref="E97:H97"/>
    <mergeCell ref="E98:H98"/>
    <mergeCell ref="E99:H99"/>
    <mergeCell ref="E100:H100"/>
    <mergeCell ref="E103:H103"/>
    <mergeCell ref="E102:H102"/>
    <mergeCell ref="E104:H104"/>
    <mergeCell ref="A115:A116"/>
    <mergeCell ref="B115:B116"/>
    <mergeCell ref="A126:C126"/>
    <mergeCell ref="E126:G126"/>
    <mergeCell ref="I126:K126"/>
    <mergeCell ref="F128:G128"/>
    <mergeCell ref="F127:G127"/>
    <mergeCell ref="A109:A111"/>
    <mergeCell ref="B109:B111"/>
    <mergeCell ref="C109:J109"/>
    <mergeCell ref="K109:K111"/>
    <mergeCell ref="C110:C111"/>
    <mergeCell ref="D110:J110"/>
    <mergeCell ref="A105:B105"/>
    <mergeCell ref="E105:H105"/>
    <mergeCell ref="E94:H95"/>
    <mergeCell ref="I94:I95"/>
    <mergeCell ref="A85:C85"/>
    <mergeCell ref="A86:C86"/>
    <mergeCell ref="A87:C87"/>
    <mergeCell ref="A88:C88"/>
    <mergeCell ref="A94:B95"/>
    <mergeCell ref="C94:C95"/>
    <mergeCell ref="A89:C89"/>
    <mergeCell ref="A90:C90"/>
    <mergeCell ref="A91:C91"/>
    <mergeCell ref="A92:C92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3" r:id="rId1"/>
  <headerFooter alignWithMargins="0">
    <oddFooter>&amp;C&amp;"Arial CE,Běžné"&amp;P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T133"/>
  <sheetViews>
    <sheetView view="pageBreakPreview" zoomScale="70" zoomScaleSheetLayoutView="70" zoomScalePageLayoutView="0" workbookViewId="0" topLeftCell="A1">
      <selection activeCell="C105" sqref="C105"/>
    </sheetView>
  </sheetViews>
  <sheetFormatPr defaultColWidth="9.140625" defaultRowHeight="12.75"/>
  <cols>
    <col min="1" max="1" width="27.8515625" style="1" customWidth="1"/>
    <col min="2" max="2" width="25.2812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14.851562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149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09"/>
      <c r="D7" s="121">
        <v>15246</v>
      </c>
      <c r="E7" s="239">
        <v>16633</v>
      </c>
      <c r="F7" s="154">
        <f>E7-D7</f>
        <v>1387</v>
      </c>
      <c r="G7" s="145">
        <f>E7/D7</f>
        <v>1.090974681883773</v>
      </c>
      <c r="H7" s="122">
        <v>16356</v>
      </c>
      <c r="I7" s="123">
        <v>0</v>
      </c>
      <c r="J7" s="156">
        <v>16356</v>
      </c>
      <c r="K7" s="144">
        <f>J7-E7</f>
        <v>-277</v>
      </c>
      <c r="L7" s="150">
        <f>J7/E7</f>
        <v>0.9833463596464859</v>
      </c>
    </row>
    <row r="8" spans="1:12" s="101" customFormat="1" ht="13.5">
      <c r="A8" s="511" t="s">
        <v>25</v>
      </c>
      <c r="B8" s="512"/>
      <c r="C8" s="512"/>
      <c r="D8" s="125">
        <v>0</v>
      </c>
      <c r="E8" s="240">
        <v>0</v>
      </c>
      <c r="F8" s="154">
        <f aca="true" t="shared" si="0" ref="F8:F75">E8-D8</f>
        <v>0</v>
      </c>
      <c r="G8" s="145"/>
      <c r="H8" s="127">
        <v>0</v>
      </c>
      <c r="I8" s="128">
        <v>0</v>
      </c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2"/>
      <c r="D9" s="125">
        <v>15246</v>
      </c>
      <c r="E9" s="240">
        <v>16633</v>
      </c>
      <c r="F9" s="154">
        <f t="shared" si="0"/>
        <v>1387</v>
      </c>
      <c r="G9" s="145">
        <f aca="true" t="shared" si="3" ref="G9:G75">E9/D9</f>
        <v>1.090974681883773</v>
      </c>
      <c r="H9" s="127">
        <v>16356</v>
      </c>
      <c r="I9" s="128">
        <v>0</v>
      </c>
      <c r="J9" s="156">
        <v>16357</v>
      </c>
      <c r="K9" s="144">
        <f t="shared" si="2"/>
        <v>-276</v>
      </c>
      <c r="L9" s="150">
        <f aca="true" t="shared" si="4" ref="L9:L75">J9/E9</f>
        <v>0.9834064810918054</v>
      </c>
    </row>
    <row r="10" spans="1:12" s="101" customFormat="1" ht="13.5">
      <c r="A10" s="514" t="s">
        <v>27</v>
      </c>
      <c r="B10" s="515"/>
      <c r="C10" s="515"/>
      <c r="D10" s="125">
        <v>6498</v>
      </c>
      <c r="E10" s="240">
        <v>6606</v>
      </c>
      <c r="F10" s="154">
        <f t="shared" si="0"/>
        <v>108</v>
      </c>
      <c r="G10" s="145">
        <f t="shared" si="3"/>
        <v>1.0166204986149585</v>
      </c>
      <c r="H10" s="127">
        <v>6550</v>
      </c>
      <c r="I10" s="128">
        <v>0</v>
      </c>
      <c r="J10" s="156">
        <f t="shared" si="1"/>
        <v>6550</v>
      </c>
      <c r="K10" s="144">
        <f t="shared" si="2"/>
        <v>-56</v>
      </c>
      <c r="L10" s="150">
        <f t="shared" si="4"/>
        <v>0.9915228580078717</v>
      </c>
    </row>
    <row r="11" spans="1:12" s="101" customFormat="1" ht="13.5">
      <c r="A11" s="514" t="s">
        <v>28</v>
      </c>
      <c r="B11" s="515"/>
      <c r="C11" s="515"/>
      <c r="D11" s="125">
        <v>6153</v>
      </c>
      <c r="E11" s="240">
        <v>6693</v>
      </c>
      <c r="F11" s="154">
        <f t="shared" si="0"/>
        <v>540</v>
      </c>
      <c r="G11" s="145">
        <f t="shared" si="3"/>
        <v>1.0877620672842516</v>
      </c>
      <c r="H11" s="127">
        <v>6650</v>
      </c>
      <c r="I11" s="128">
        <v>0</v>
      </c>
      <c r="J11" s="156">
        <f t="shared" si="1"/>
        <v>6650</v>
      </c>
      <c r="K11" s="144">
        <f t="shared" si="2"/>
        <v>-43</v>
      </c>
      <c r="L11" s="150">
        <f t="shared" si="4"/>
        <v>0.9935753772598237</v>
      </c>
    </row>
    <row r="12" spans="1:12" s="101" customFormat="1" ht="13.5">
      <c r="A12" s="514" t="s">
        <v>29</v>
      </c>
      <c r="B12" s="515"/>
      <c r="C12" s="515"/>
      <c r="D12" s="125">
        <v>36</v>
      </c>
      <c r="E12" s="240">
        <v>38</v>
      </c>
      <c r="F12" s="154">
        <f t="shared" si="0"/>
        <v>2</v>
      </c>
      <c r="G12" s="145">
        <f t="shared" si="3"/>
        <v>1.0555555555555556</v>
      </c>
      <c r="H12" s="127">
        <v>35</v>
      </c>
      <c r="I12" s="128">
        <v>0</v>
      </c>
      <c r="J12" s="156">
        <v>34</v>
      </c>
      <c r="K12" s="144">
        <f t="shared" si="2"/>
        <v>-4</v>
      </c>
      <c r="L12" s="150">
        <f t="shared" si="4"/>
        <v>0.8947368421052632</v>
      </c>
    </row>
    <row r="13" spans="1:12" s="101" customFormat="1" ht="13.5">
      <c r="A13" s="514" t="s">
        <v>30</v>
      </c>
      <c r="B13" s="515"/>
      <c r="C13" s="515"/>
      <c r="D13" s="125">
        <v>2361</v>
      </c>
      <c r="E13" s="240">
        <v>3085</v>
      </c>
      <c r="F13" s="154">
        <f t="shared" si="0"/>
        <v>724</v>
      </c>
      <c r="G13" s="145">
        <f t="shared" si="3"/>
        <v>1.3066497246929267</v>
      </c>
      <c r="H13" s="127">
        <v>2900</v>
      </c>
      <c r="I13" s="128">
        <v>0</v>
      </c>
      <c r="J13" s="156">
        <f t="shared" si="1"/>
        <v>2900</v>
      </c>
      <c r="K13" s="144">
        <f t="shared" si="2"/>
        <v>-185</v>
      </c>
      <c r="L13" s="150">
        <f t="shared" si="4"/>
        <v>0.940032414910859</v>
      </c>
    </row>
    <row r="14" spans="1:12" s="101" customFormat="1" ht="13.5">
      <c r="A14" s="514" t="s">
        <v>31</v>
      </c>
      <c r="B14" s="515"/>
      <c r="C14" s="515"/>
      <c r="D14" s="125">
        <v>196</v>
      </c>
      <c r="E14" s="240">
        <v>211</v>
      </c>
      <c r="F14" s="154">
        <f t="shared" si="0"/>
        <v>15</v>
      </c>
      <c r="G14" s="145">
        <f t="shared" si="3"/>
        <v>1.0765306122448979</v>
      </c>
      <c r="H14" s="127">
        <v>220</v>
      </c>
      <c r="I14" s="128">
        <v>0</v>
      </c>
      <c r="J14" s="156">
        <f t="shared" si="1"/>
        <v>220</v>
      </c>
      <c r="K14" s="144">
        <f t="shared" si="2"/>
        <v>9</v>
      </c>
      <c r="L14" s="150">
        <f t="shared" si="4"/>
        <v>1.042654028436019</v>
      </c>
    </row>
    <row r="15" spans="1:14" s="101" customFormat="1" ht="13.5">
      <c r="A15" s="514" t="s">
        <v>32</v>
      </c>
      <c r="B15" s="515"/>
      <c r="C15" s="515"/>
      <c r="D15" s="125">
        <v>2</v>
      </c>
      <c r="E15" s="240">
        <v>0</v>
      </c>
      <c r="F15" s="154">
        <f t="shared" si="0"/>
        <v>-2</v>
      </c>
      <c r="G15" s="145">
        <f t="shared" si="3"/>
        <v>0</v>
      </c>
      <c r="H15" s="127">
        <v>1</v>
      </c>
      <c r="I15" s="128">
        <v>0</v>
      </c>
      <c r="J15" s="156">
        <f t="shared" si="1"/>
        <v>1</v>
      </c>
      <c r="K15" s="144">
        <f t="shared" si="2"/>
        <v>1</v>
      </c>
      <c r="L15" s="150"/>
      <c r="N15" s="129"/>
    </row>
    <row r="16" spans="1:12" s="101" customFormat="1" ht="13.5">
      <c r="A16" s="511" t="s">
        <v>33</v>
      </c>
      <c r="B16" s="512"/>
      <c r="C16" s="512"/>
      <c r="D16" s="125">
        <v>0</v>
      </c>
      <c r="E16" s="240">
        <v>0</v>
      </c>
      <c r="F16" s="154">
        <f t="shared" si="0"/>
        <v>0</v>
      </c>
      <c r="G16" s="145"/>
      <c r="H16" s="127">
        <v>0</v>
      </c>
      <c r="I16" s="128">
        <v>0</v>
      </c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511" t="s">
        <v>34</v>
      </c>
      <c r="B17" s="512"/>
      <c r="C17" s="512"/>
      <c r="D17" s="125">
        <v>0</v>
      </c>
      <c r="E17" s="240">
        <v>0</v>
      </c>
      <c r="F17" s="154">
        <f t="shared" si="0"/>
        <v>0</v>
      </c>
      <c r="G17" s="145"/>
      <c r="H17" s="127">
        <v>0</v>
      </c>
      <c r="I17" s="128">
        <v>0</v>
      </c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8"/>
      <c r="D18" s="125">
        <v>279</v>
      </c>
      <c r="E18" s="240">
        <v>77</v>
      </c>
      <c r="F18" s="154">
        <f t="shared" si="0"/>
        <v>-202</v>
      </c>
      <c r="G18" s="145">
        <f t="shared" si="3"/>
        <v>0.27598566308243727</v>
      </c>
      <c r="H18" s="127">
        <v>320</v>
      </c>
      <c r="I18" s="128">
        <v>0</v>
      </c>
      <c r="J18" s="156">
        <f t="shared" si="1"/>
        <v>320</v>
      </c>
      <c r="K18" s="144">
        <f t="shared" si="2"/>
        <v>243</v>
      </c>
      <c r="L18" s="150">
        <f t="shared" si="4"/>
        <v>4.1558441558441555</v>
      </c>
    </row>
    <row r="19" spans="1:12" s="101" customFormat="1" ht="13.5">
      <c r="A19" s="511" t="s">
        <v>36</v>
      </c>
      <c r="B19" s="512"/>
      <c r="C19" s="512"/>
      <c r="D19" s="125">
        <v>0</v>
      </c>
      <c r="E19" s="240">
        <v>0</v>
      </c>
      <c r="F19" s="154">
        <f t="shared" si="0"/>
        <v>0</v>
      </c>
      <c r="G19" s="145"/>
      <c r="H19" s="127">
        <v>0</v>
      </c>
      <c r="I19" s="128">
        <v>0</v>
      </c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2"/>
      <c r="D20" s="125">
        <v>0</v>
      </c>
      <c r="E20" s="241">
        <v>0</v>
      </c>
      <c r="F20" s="154">
        <f t="shared" si="0"/>
        <v>0</v>
      </c>
      <c r="G20" s="145"/>
      <c r="H20" s="122"/>
      <c r="I20" s="123">
        <v>0</v>
      </c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1"/>
      <c r="D21" s="125">
        <v>236</v>
      </c>
      <c r="E21" s="240">
        <v>17</v>
      </c>
      <c r="F21" s="154">
        <f t="shared" si="0"/>
        <v>-219</v>
      </c>
      <c r="G21" s="145">
        <f t="shared" si="3"/>
        <v>0.07203389830508475</v>
      </c>
      <c r="H21" s="127">
        <v>280</v>
      </c>
      <c r="I21" s="128">
        <v>0</v>
      </c>
      <c r="J21" s="156">
        <f t="shared" si="1"/>
        <v>280</v>
      </c>
      <c r="K21" s="144">
        <f t="shared" si="2"/>
        <v>263</v>
      </c>
      <c r="L21" s="150">
        <f t="shared" si="4"/>
        <v>16.470588235294116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1"/>
      <c r="D22" s="125">
        <v>186</v>
      </c>
      <c r="E22" s="240">
        <v>11</v>
      </c>
      <c r="F22" s="154">
        <f t="shared" si="0"/>
        <v>-175</v>
      </c>
      <c r="G22" s="145">
        <f t="shared" si="3"/>
        <v>0.05913978494623656</v>
      </c>
      <c r="H22" s="366">
        <v>0</v>
      </c>
      <c r="I22" s="128">
        <v>0</v>
      </c>
      <c r="J22" s="156">
        <f t="shared" si="1"/>
        <v>0</v>
      </c>
      <c r="K22" s="144">
        <f t="shared" si="2"/>
        <v>-11</v>
      </c>
      <c r="L22" s="150">
        <f t="shared" si="4"/>
        <v>0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1"/>
      <c r="D23" s="125">
        <v>50</v>
      </c>
      <c r="E23" s="240">
        <v>0</v>
      </c>
      <c r="F23" s="154">
        <f t="shared" si="0"/>
        <v>-50</v>
      </c>
      <c r="G23" s="145">
        <f t="shared" si="3"/>
        <v>0</v>
      </c>
      <c r="H23" s="366">
        <v>280</v>
      </c>
      <c r="I23" s="128">
        <v>0</v>
      </c>
      <c r="J23" s="156">
        <f t="shared" si="1"/>
        <v>280</v>
      </c>
      <c r="K23" s="144">
        <f t="shared" si="2"/>
        <v>280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1"/>
      <c r="D24" s="125">
        <v>0</v>
      </c>
      <c r="E24" s="240">
        <v>6</v>
      </c>
      <c r="F24" s="154">
        <f t="shared" si="0"/>
        <v>6</v>
      </c>
      <c r="G24" s="145"/>
      <c r="H24" s="366">
        <v>0</v>
      </c>
      <c r="I24" s="128">
        <v>0</v>
      </c>
      <c r="J24" s="156">
        <f t="shared" si="1"/>
        <v>0</v>
      </c>
      <c r="K24" s="144">
        <f t="shared" si="2"/>
        <v>-6</v>
      </c>
      <c r="L24" s="150">
        <f t="shared" si="4"/>
        <v>0</v>
      </c>
    </row>
    <row r="25" spans="1:12" s="101" customFormat="1" ht="13.5">
      <c r="A25" s="520" t="s">
        <v>163</v>
      </c>
      <c r="B25" s="521"/>
      <c r="C25" s="521"/>
      <c r="D25" s="125">
        <v>0</v>
      </c>
      <c r="E25" s="240">
        <v>0</v>
      </c>
      <c r="F25" s="154">
        <f t="shared" si="0"/>
        <v>0</v>
      </c>
      <c r="G25" s="145"/>
      <c r="H25" s="366">
        <v>0</v>
      </c>
      <c r="I25" s="128">
        <v>0</v>
      </c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8"/>
      <c r="D26" s="125">
        <v>9</v>
      </c>
      <c r="E26" s="240">
        <v>12</v>
      </c>
      <c r="F26" s="154">
        <f t="shared" si="0"/>
        <v>3</v>
      </c>
      <c r="G26" s="145">
        <f t="shared" si="3"/>
        <v>1.3333333333333333</v>
      </c>
      <c r="H26" s="366">
        <v>12</v>
      </c>
      <c r="I26" s="128">
        <v>0</v>
      </c>
      <c r="J26" s="156">
        <f t="shared" si="1"/>
        <v>12</v>
      </c>
      <c r="K26" s="144">
        <f t="shared" si="2"/>
        <v>0</v>
      </c>
      <c r="L26" s="150">
        <f t="shared" si="4"/>
        <v>1</v>
      </c>
    </row>
    <row r="27" spans="1:12" s="101" customFormat="1" ht="13.5">
      <c r="A27" s="511" t="s">
        <v>40</v>
      </c>
      <c r="B27" s="512"/>
      <c r="C27" s="512"/>
      <c r="D27" s="125">
        <v>9</v>
      </c>
      <c r="E27" s="240">
        <v>12</v>
      </c>
      <c r="F27" s="154">
        <f t="shared" si="0"/>
        <v>3</v>
      </c>
      <c r="G27" s="145">
        <f t="shared" si="3"/>
        <v>1.3333333333333333</v>
      </c>
      <c r="H27" s="366">
        <v>12</v>
      </c>
      <c r="I27" s="128">
        <v>0</v>
      </c>
      <c r="J27" s="156">
        <f t="shared" si="1"/>
        <v>12</v>
      </c>
      <c r="K27" s="144">
        <f t="shared" si="2"/>
        <v>0</v>
      </c>
      <c r="L27" s="150">
        <f t="shared" si="4"/>
        <v>1</v>
      </c>
    </row>
    <row r="28" spans="1:12" s="101" customFormat="1" ht="13.5">
      <c r="A28" s="511" t="s">
        <v>41</v>
      </c>
      <c r="B28" s="512"/>
      <c r="C28" s="512"/>
      <c r="D28" s="125">
        <v>0</v>
      </c>
      <c r="E28" s="240">
        <v>0</v>
      </c>
      <c r="F28" s="154">
        <f t="shared" si="0"/>
        <v>0</v>
      </c>
      <c r="G28" s="145"/>
      <c r="H28" s="366">
        <v>0</v>
      </c>
      <c r="I28" s="128">
        <v>0</v>
      </c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8"/>
      <c r="D29" s="125">
        <v>6072</v>
      </c>
      <c r="E29" s="241">
        <v>6156</v>
      </c>
      <c r="F29" s="154">
        <f t="shared" si="0"/>
        <v>84</v>
      </c>
      <c r="G29" s="145">
        <f t="shared" si="3"/>
        <v>1.0138339920948616</v>
      </c>
      <c r="H29" s="367">
        <v>5537</v>
      </c>
      <c r="I29" s="123">
        <v>0</v>
      </c>
      <c r="J29" s="156">
        <f t="shared" si="1"/>
        <v>5537</v>
      </c>
      <c r="K29" s="144">
        <f t="shared" si="2"/>
        <v>-619</v>
      </c>
      <c r="L29" s="150">
        <f t="shared" si="4"/>
        <v>0.8994476933073424</v>
      </c>
    </row>
    <row r="30" spans="1:14" s="101" customFormat="1" ht="13.5">
      <c r="A30" s="514" t="s">
        <v>164</v>
      </c>
      <c r="B30" s="515"/>
      <c r="C30" s="515"/>
      <c r="D30" s="131">
        <v>1222</v>
      </c>
      <c r="E30" s="242">
        <v>1286</v>
      </c>
      <c r="F30" s="155">
        <f t="shared" si="0"/>
        <v>64</v>
      </c>
      <c r="G30" s="147">
        <f t="shared" si="3"/>
        <v>1.0523731587561376</v>
      </c>
      <c r="H30" s="363">
        <v>1036</v>
      </c>
      <c r="I30" s="133">
        <v>0</v>
      </c>
      <c r="J30" s="157">
        <f t="shared" si="1"/>
        <v>1036</v>
      </c>
      <c r="K30" s="146">
        <f t="shared" si="2"/>
        <v>-250</v>
      </c>
      <c r="L30" s="151">
        <f t="shared" si="4"/>
        <v>0.8055987558320373</v>
      </c>
      <c r="N30" s="129"/>
    </row>
    <row r="31" spans="1:12" s="101" customFormat="1" ht="13.5">
      <c r="A31" s="514" t="s">
        <v>43</v>
      </c>
      <c r="B31" s="515"/>
      <c r="C31" s="515"/>
      <c r="D31" s="125">
        <v>4850</v>
      </c>
      <c r="E31" s="240">
        <v>4838</v>
      </c>
      <c r="F31" s="154">
        <f t="shared" si="0"/>
        <v>-12</v>
      </c>
      <c r="G31" s="145">
        <f t="shared" si="3"/>
        <v>0.9975257731958763</v>
      </c>
      <c r="H31" s="127">
        <v>4437</v>
      </c>
      <c r="I31" s="128">
        <v>0</v>
      </c>
      <c r="J31" s="156">
        <f t="shared" si="1"/>
        <v>4437</v>
      </c>
      <c r="K31" s="144">
        <f t="shared" si="2"/>
        <v>-401</v>
      </c>
      <c r="L31" s="150">
        <f t="shared" si="4"/>
        <v>0.9171145101281521</v>
      </c>
    </row>
    <row r="32" spans="1:12" s="101" customFormat="1" ht="13.5">
      <c r="A32" s="511" t="s">
        <v>44</v>
      </c>
      <c r="B32" s="512"/>
      <c r="C32" s="512"/>
      <c r="D32" s="138">
        <v>0</v>
      </c>
      <c r="E32" s="241">
        <v>32</v>
      </c>
      <c r="F32" s="154">
        <f t="shared" si="0"/>
        <v>32</v>
      </c>
      <c r="G32" s="145"/>
      <c r="H32" s="122">
        <v>64</v>
      </c>
      <c r="I32" s="123">
        <v>0</v>
      </c>
      <c r="J32" s="156">
        <f t="shared" si="1"/>
        <v>64</v>
      </c>
      <c r="K32" s="144">
        <f t="shared" si="2"/>
        <v>32</v>
      </c>
      <c r="L32" s="150">
        <f t="shared" si="4"/>
        <v>2</v>
      </c>
    </row>
    <row r="33" spans="1:14" s="101" customFormat="1" ht="14.25" thickBot="1">
      <c r="A33" s="514" t="s">
        <v>45</v>
      </c>
      <c r="B33" s="515"/>
      <c r="C33" s="515"/>
      <c r="D33" s="153">
        <v>0</v>
      </c>
      <c r="E33" s="243">
        <v>0</v>
      </c>
      <c r="F33" s="154">
        <f t="shared" si="0"/>
        <v>0</v>
      </c>
      <c r="G33" s="145"/>
      <c r="H33" s="158">
        <v>0</v>
      </c>
      <c r="I33" s="159">
        <v>0</v>
      </c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523" t="s">
        <v>46</v>
      </c>
      <c r="B34" s="524"/>
      <c r="C34" s="524"/>
      <c r="D34" s="171">
        <v>21606</v>
      </c>
      <c r="E34" s="244">
        <v>22878</v>
      </c>
      <c r="F34" s="173">
        <f t="shared" si="0"/>
        <v>1272</v>
      </c>
      <c r="G34" s="174">
        <f t="shared" si="3"/>
        <v>1.0588725354068314</v>
      </c>
      <c r="H34" s="172">
        <v>22225</v>
      </c>
      <c r="I34" s="172"/>
      <c r="J34" s="175">
        <v>22225</v>
      </c>
      <c r="K34" s="173">
        <f t="shared" si="2"/>
        <v>-653</v>
      </c>
      <c r="L34" s="176">
        <f t="shared" si="4"/>
        <v>0.9714572952181135</v>
      </c>
    </row>
    <row r="35" spans="1:12" s="101" customFormat="1" ht="13.5">
      <c r="A35" s="526" t="s">
        <v>47</v>
      </c>
      <c r="B35" s="527"/>
      <c r="C35" s="527"/>
      <c r="D35" s="135">
        <v>3460</v>
      </c>
      <c r="E35" s="136">
        <v>3422</v>
      </c>
      <c r="F35" s="148">
        <f t="shared" si="0"/>
        <v>-38</v>
      </c>
      <c r="G35" s="149">
        <f t="shared" si="3"/>
        <v>0.9890173410404625</v>
      </c>
      <c r="H35" s="137">
        <v>3330</v>
      </c>
      <c r="I35" s="137">
        <v>0</v>
      </c>
      <c r="J35" s="134">
        <f t="shared" si="1"/>
        <v>3330</v>
      </c>
      <c r="K35" s="148">
        <f t="shared" si="2"/>
        <v>-92</v>
      </c>
      <c r="L35" s="152">
        <f t="shared" si="4"/>
        <v>0.973115137346581</v>
      </c>
    </row>
    <row r="36" spans="1:12" s="101" customFormat="1" ht="13.5">
      <c r="A36" s="514" t="s">
        <v>48</v>
      </c>
      <c r="B36" s="515"/>
      <c r="C36" s="515"/>
      <c r="D36" s="125">
        <v>1904</v>
      </c>
      <c r="E36" s="126">
        <v>1969</v>
      </c>
      <c r="F36" s="144">
        <f t="shared" si="0"/>
        <v>65</v>
      </c>
      <c r="G36" s="145">
        <f t="shared" si="3"/>
        <v>1.034138655462185</v>
      </c>
      <c r="H36" s="127">
        <v>2000</v>
      </c>
      <c r="I36" s="128">
        <v>0</v>
      </c>
      <c r="J36" s="124">
        <f t="shared" si="1"/>
        <v>2000</v>
      </c>
      <c r="K36" s="144">
        <f t="shared" si="2"/>
        <v>31</v>
      </c>
      <c r="L36" s="150">
        <f t="shared" si="4"/>
        <v>1.015744032503809</v>
      </c>
    </row>
    <row r="37" spans="1:12" s="101" customFormat="1" ht="13.5">
      <c r="A37" s="514" t="s">
        <v>49</v>
      </c>
      <c r="B37" s="515"/>
      <c r="C37" s="515"/>
      <c r="D37" s="125">
        <v>132</v>
      </c>
      <c r="E37" s="126">
        <v>164</v>
      </c>
      <c r="F37" s="144">
        <f t="shared" si="0"/>
        <v>32</v>
      </c>
      <c r="G37" s="145">
        <f t="shared" si="3"/>
        <v>1.2424242424242424</v>
      </c>
      <c r="H37" s="127">
        <v>170</v>
      </c>
      <c r="I37" s="128">
        <v>0</v>
      </c>
      <c r="J37" s="124">
        <f t="shared" si="1"/>
        <v>170</v>
      </c>
      <c r="K37" s="144">
        <f t="shared" si="2"/>
        <v>6</v>
      </c>
      <c r="L37" s="150">
        <f t="shared" si="4"/>
        <v>1.0365853658536586</v>
      </c>
    </row>
    <row r="38" spans="1:12" s="101" customFormat="1" ht="13.5">
      <c r="A38" s="514" t="s">
        <v>50</v>
      </c>
      <c r="B38" s="515"/>
      <c r="C38" s="515"/>
      <c r="D38" s="138">
        <v>48</v>
      </c>
      <c r="E38" s="130">
        <v>106</v>
      </c>
      <c r="F38" s="144">
        <f t="shared" si="0"/>
        <v>58</v>
      </c>
      <c r="G38" s="145">
        <f t="shared" si="3"/>
        <v>2.2083333333333335</v>
      </c>
      <c r="H38" s="122">
        <v>100</v>
      </c>
      <c r="I38" s="123">
        <v>0</v>
      </c>
      <c r="J38" s="124">
        <f t="shared" si="1"/>
        <v>100</v>
      </c>
      <c r="K38" s="144">
        <f t="shared" si="2"/>
        <v>-6</v>
      </c>
      <c r="L38" s="150">
        <f t="shared" si="4"/>
        <v>0.9433962264150944</v>
      </c>
    </row>
    <row r="39" spans="1:12" s="101" customFormat="1" ht="13.5">
      <c r="A39" s="514" t="s">
        <v>51</v>
      </c>
      <c r="B39" s="515"/>
      <c r="C39" s="515"/>
      <c r="D39" s="125">
        <v>26</v>
      </c>
      <c r="E39" s="126">
        <v>22</v>
      </c>
      <c r="F39" s="144">
        <f t="shared" si="0"/>
        <v>-4</v>
      </c>
      <c r="G39" s="145">
        <f t="shared" si="3"/>
        <v>0.8461538461538461</v>
      </c>
      <c r="H39" s="127">
        <v>20</v>
      </c>
      <c r="I39" s="128">
        <v>0</v>
      </c>
      <c r="J39" s="124">
        <f t="shared" si="1"/>
        <v>20</v>
      </c>
      <c r="K39" s="144">
        <f t="shared" si="2"/>
        <v>-2</v>
      </c>
      <c r="L39" s="150">
        <f t="shared" si="4"/>
        <v>0.9090909090909091</v>
      </c>
    </row>
    <row r="40" spans="1:12" s="101" customFormat="1" ht="13.5">
      <c r="A40" s="514" t="s">
        <v>52</v>
      </c>
      <c r="B40" s="515"/>
      <c r="C40" s="515"/>
      <c r="D40" s="125">
        <v>16</v>
      </c>
      <c r="E40" s="126">
        <v>7</v>
      </c>
      <c r="F40" s="144">
        <f t="shared" si="0"/>
        <v>-9</v>
      </c>
      <c r="G40" s="145">
        <f t="shared" si="3"/>
        <v>0.4375</v>
      </c>
      <c r="H40" s="127">
        <v>10</v>
      </c>
      <c r="I40" s="128">
        <v>0</v>
      </c>
      <c r="J40" s="124">
        <f t="shared" si="1"/>
        <v>10</v>
      </c>
      <c r="K40" s="144">
        <f t="shared" si="2"/>
        <v>3</v>
      </c>
      <c r="L40" s="150">
        <f t="shared" si="4"/>
        <v>1.4285714285714286</v>
      </c>
    </row>
    <row r="41" spans="1:14" s="101" customFormat="1" ht="13.5">
      <c r="A41" s="514" t="s">
        <v>53</v>
      </c>
      <c r="B41" s="515"/>
      <c r="C41" s="515"/>
      <c r="D41" s="125">
        <v>83</v>
      </c>
      <c r="E41" s="126">
        <v>78</v>
      </c>
      <c r="F41" s="144">
        <f t="shared" si="0"/>
        <v>-5</v>
      </c>
      <c r="G41" s="145">
        <f t="shared" si="3"/>
        <v>0.9397590361445783</v>
      </c>
      <c r="H41" s="127">
        <v>80</v>
      </c>
      <c r="I41" s="128">
        <v>0</v>
      </c>
      <c r="J41" s="124">
        <f t="shared" si="1"/>
        <v>80</v>
      </c>
      <c r="K41" s="144">
        <f t="shared" si="2"/>
        <v>2</v>
      </c>
      <c r="L41" s="150">
        <f t="shared" si="4"/>
        <v>1.0256410256410255</v>
      </c>
      <c r="N41" s="129"/>
    </row>
    <row r="42" spans="1:12" s="101" customFormat="1" ht="13.5">
      <c r="A42" s="514" t="s">
        <v>54</v>
      </c>
      <c r="B42" s="515"/>
      <c r="C42" s="515"/>
      <c r="D42" s="125">
        <v>310</v>
      </c>
      <c r="E42" s="126">
        <v>380</v>
      </c>
      <c r="F42" s="144">
        <f t="shared" si="0"/>
        <v>70</v>
      </c>
      <c r="G42" s="145">
        <f t="shared" si="3"/>
        <v>1.2258064516129032</v>
      </c>
      <c r="H42" s="127">
        <v>350</v>
      </c>
      <c r="I42" s="128">
        <v>0</v>
      </c>
      <c r="J42" s="124">
        <f t="shared" si="1"/>
        <v>350</v>
      </c>
      <c r="K42" s="144">
        <f t="shared" si="2"/>
        <v>-30</v>
      </c>
      <c r="L42" s="150">
        <f t="shared" si="4"/>
        <v>0.9210526315789473</v>
      </c>
    </row>
    <row r="43" spans="1:14" s="101" customFormat="1" ht="13.5">
      <c r="A43" s="514" t="s">
        <v>233</v>
      </c>
      <c r="B43" s="515"/>
      <c r="C43" s="515"/>
      <c r="D43" s="125">
        <v>323</v>
      </c>
      <c r="E43" s="126">
        <v>327</v>
      </c>
      <c r="F43" s="144">
        <f t="shared" si="0"/>
        <v>4</v>
      </c>
      <c r="G43" s="145">
        <f t="shared" si="3"/>
        <v>1.0123839009287925</v>
      </c>
      <c r="H43" s="127">
        <v>350</v>
      </c>
      <c r="I43" s="128">
        <v>0</v>
      </c>
      <c r="J43" s="124">
        <f t="shared" si="1"/>
        <v>350</v>
      </c>
      <c r="K43" s="144">
        <f t="shared" si="2"/>
        <v>23</v>
      </c>
      <c r="L43" s="150">
        <f t="shared" si="4"/>
        <v>1.070336391437309</v>
      </c>
      <c r="N43" s="129"/>
    </row>
    <row r="44" spans="1:12" s="101" customFormat="1" ht="13.5">
      <c r="A44" s="514" t="s">
        <v>167</v>
      </c>
      <c r="B44" s="515"/>
      <c r="C44" s="515"/>
      <c r="D44" s="125">
        <v>237</v>
      </c>
      <c r="E44" s="126">
        <v>0</v>
      </c>
      <c r="F44" s="144">
        <f t="shared" si="0"/>
        <v>-237</v>
      </c>
      <c r="G44" s="145">
        <f t="shared" si="3"/>
        <v>0</v>
      </c>
      <c r="H44" s="127">
        <v>0</v>
      </c>
      <c r="I44" s="128">
        <v>0</v>
      </c>
      <c r="J44" s="124">
        <f t="shared" si="1"/>
        <v>0</v>
      </c>
      <c r="K44" s="144">
        <f t="shared" si="2"/>
        <v>0</v>
      </c>
      <c r="L44" s="150"/>
    </row>
    <row r="45" spans="1:12" s="101" customFormat="1" ht="13.5">
      <c r="A45" s="514" t="s">
        <v>55</v>
      </c>
      <c r="B45" s="515"/>
      <c r="C45" s="515"/>
      <c r="D45" s="125">
        <v>381</v>
      </c>
      <c r="E45" s="126">
        <v>369</v>
      </c>
      <c r="F45" s="144">
        <f t="shared" si="0"/>
        <v>-12</v>
      </c>
      <c r="G45" s="145">
        <f t="shared" si="3"/>
        <v>0.968503937007874</v>
      </c>
      <c r="H45" s="127">
        <v>250</v>
      </c>
      <c r="I45" s="128">
        <v>0</v>
      </c>
      <c r="J45" s="124">
        <f t="shared" si="1"/>
        <v>250</v>
      </c>
      <c r="K45" s="144">
        <f t="shared" si="2"/>
        <v>-119</v>
      </c>
      <c r="L45" s="150">
        <f t="shared" si="4"/>
        <v>0.6775067750677507</v>
      </c>
    </row>
    <row r="46" spans="1:14" s="101" customFormat="1" ht="13.5">
      <c r="A46" s="526" t="s">
        <v>56</v>
      </c>
      <c r="B46" s="527"/>
      <c r="C46" s="527"/>
      <c r="D46" s="125">
        <v>608</v>
      </c>
      <c r="E46" s="126">
        <v>621</v>
      </c>
      <c r="F46" s="144">
        <f t="shared" si="0"/>
        <v>13</v>
      </c>
      <c r="G46" s="145">
        <f t="shared" si="3"/>
        <v>1.0213815789473684</v>
      </c>
      <c r="H46" s="127">
        <v>650</v>
      </c>
      <c r="I46" s="127">
        <v>0</v>
      </c>
      <c r="J46" s="124">
        <f t="shared" si="1"/>
        <v>650</v>
      </c>
      <c r="K46" s="144">
        <f t="shared" si="2"/>
        <v>29</v>
      </c>
      <c r="L46" s="150">
        <f t="shared" si="4"/>
        <v>1.0466988727858293</v>
      </c>
      <c r="N46" s="129"/>
    </row>
    <row r="47" spans="1:12" s="101" customFormat="1" ht="13.5">
      <c r="A47" s="514" t="s">
        <v>57</v>
      </c>
      <c r="B47" s="515"/>
      <c r="C47" s="515"/>
      <c r="D47" s="125">
        <v>508</v>
      </c>
      <c r="E47" s="126">
        <v>527</v>
      </c>
      <c r="F47" s="144">
        <f t="shared" si="0"/>
        <v>19</v>
      </c>
      <c r="G47" s="145">
        <f t="shared" si="3"/>
        <v>1.0374015748031495</v>
      </c>
      <c r="H47" s="127">
        <v>550</v>
      </c>
      <c r="I47" s="128">
        <v>0</v>
      </c>
      <c r="J47" s="124">
        <f t="shared" si="1"/>
        <v>550</v>
      </c>
      <c r="K47" s="144">
        <f t="shared" si="2"/>
        <v>23</v>
      </c>
      <c r="L47" s="150">
        <f t="shared" si="4"/>
        <v>1.0436432637571158</v>
      </c>
    </row>
    <row r="48" spans="1:12" s="101" customFormat="1" ht="13.5">
      <c r="A48" s="514" t="s">
        <v>58</v>
      </c>
      <c r="B48" s="515"/>
      <c r="C48" s="515"/>
      <c r="D48" s="125">
        <v>0</v>
      </c>
      <c r="E48" s="126">
        <v>0</v>
      </c>
      <c r="F48" s="144">
        <f t="shared" si="0"/>
        <v>0</v>
      </c>
      <c r="G48" s="145"/>
      <c r="H48" s="127">
        <v>0</v>
      </c>
      <c r="I48" s="128">
        <v>0</v>
      </c>
      <c r="J48" s="124">
        <f t="shared" si="1"/>
        <v>0</v>
      </c>
      <c r="K48" s="144">
        <f t="shared" si="2"/>
        <v>0</v>
      </c>
      <c r="L48" s="150"/>
    </row>
    <row r="49" spans="1:12" s="101" customFormat="1" ht="13.5">
      <c r="A49" s="514" t="s">
        <v>59</v>
      </c>
      <c r="B49" s="515"/>
      <c r="C49" s="515"/>
      <c r="D49" s="125">
        <v>100</v>
      </c>
      <c r="E49" s="126">
        <v>94</v>
      </c>
      <c r="F49" s="144">
        <f t="shared" si="0"/>
        <v>-6</v>
      </c>
      <c r="G49" s="145">
        <f t="shared" si="3"/>
        <v>0.94</v>
      </c>
      <c r="H49" s="127">
        <v>100</v>
      </c>
      <c r="I49" s="128">
        <v>0</v>
      </c>
      <c r="J49" s="124">
        <f t="shared" si="1"/>
        <v>100</v>
      </c>
      <c r="K49" s="144">
        <f t="shared" si="2"/>
        <v>6</v>
      </c>
      <c r="L49" s="150">
        <f t="shared" si="4"/>
        <v>1.0638297872340425</v>
      </c>
    </row>
    <row r="50" spans="1:12" s="101" customFormat="1" ht="13.5">
      <c r="A50" s="514" t="s">
        <v>168</v>
      </c>
      <c r="B50" s="515"/>
      <c r="C50" s="515"/>
      <c r="D50" s="125">
        <v>0</v>
      </c>
      <c r="E50" s="126">
        <v>0</v>
      </c>
      <c r="F50" s="144">
        <f t="shared" si="0"/>
        <v>0</v>
      </c>
      <c r="G50" s="145"/>
      <c r="H50" s="127">
        <v>0</v>
      </c>
      <c r="I50" s="128">
        <v>0</v>
      </c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7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>
        <v>0</v>
      </c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7"/>
      <c r="D52" s="125">
        <v>0</v>
      </c>
      <c r="E52" s="126">
        <v>0</v>
      </c>
      <c r="F52" s="144">
        <f t="shared" si="0"/>
        <v>0</v>
      </c>
      <c r="G52" s="145"/>
      <c r="H52" s="127">
        <v>0</v>
      </c>
      <c r="I52" s="128">
        <v>0</v>
      </c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7"/>
      <c r="D53" s="125">
        <v>1087</v>
      </c>
      <c r="E53" s="126">
        <v>726</v>
      </c>
      <c r="F53" s="144">
        <f t="shared" si="0"/>
        <v>-361</v>
      </c>
      <c r="G53" s="145">
        <f t="shared" si="3"/>
        <v>0.6678932842686293</v>
      </c>
      <c r="H53" s="127">
        <v>332</v>
      </c>
      <c r="I53" s="128">
        <v>0</v>
      </c>
      <c r="J53" s="124">
        <v>332</v>
      </c>
      <c r="K53" s="144">
        <f t="shared" si="2"/>
        <v>-394</v>
      </c>
      <c r="L53" s="150">
        <f t="shared" si="4"/>
        <v>0.4573002754820937</v>
      </c>
    </row>
    <row r="54" spans="1:12" s="101" customFormat="1" ht="13.5">
      <c r="A54" s="529" t="s">
        <v>63</v>
      </c>
      <c r="B54" s="530"/>
      <c r="C54" s="530"/>
      <c r="D54" s="125">
        <v>728</v>
      </c>
      <c r="E54" s="126">
        <v>472</v>
      </c>
      <c r="F54" s="144">
        <f t="shared" si="0"/>
        <v>-256</v>
      </c>
      <c r="G54" s="145">
        <f t="shared" si="3"/>
        <v>0.6483516483516484</v>
      </c>
      <c r="H54" s="127">
        <v>200</v>
      </c>
      <c r="I54" s="128">
        <v>0</v>
      </c>
      <c r="J54" s="124">
        <f t="shared" si="1"/>
        <v>200</v>
      </c>
      <c r="K54" s="144">
        <f t="shared" si="2"/>
        <v>-272</v>
      </c>
      <c r="L54" s="150">
        <f t="shared" si="4"/>
        <v>0.423728813559322</v>
      </c>
    </row>
    <row r="55" spans="1:12" s="101" customFormat="1" ht="13.5">
      <c r="A55" s="529" t="s">
        <v>169</v>
      </c>
      <c r="B55" s="530"/>
      <c r="C55" s="530"/>
      <c r="D55" s="125">
        <v>201</v>
      </c>
      <c r="E55" s="126">
        <v>252</v>
      </c>
      <c r="F55" s="144">
        <f t="shared" si="0"/>
        <v>51</v>
      </c>
      <c r="G55" s="145">
        <f t="shared" si="3"/>
        <v>1.2537313432835822</v>
      </c>
      <c r="H55" s="127">
        <v>120</v>
      </c>
      <c r="I55" s="128">
        <v>0</v>
      </c>
      <c r="J55" s="124">
        <f t="shared" si="1"/>
        <v>120</v>
      </c>
      <c r="K55" s="144">
        <f t="shared" si="2"/>
        <v>-132</v>
      </c>
      <c r="L55" s="150">
        <f t="shared" si="4"/>
        <v>0.47619047619047616</v>
      </c>
    </row>
    <row r="56" spans="1:12" s="101" customFormat="1" ht="13.5">
      <c r="A56" s="529" t="s">
        <v>133</v>
      </c>
      <c r="B56" s="530"/>
      <c r="C56" s="530"/>
      <c r="D56" s="125">
        <v>158</v>
      </c>
      <c r="E56" s="126">
        <v>2</v>
      </c>
      <c r="F56" s="144">
        <f t="shared" si="0"/>
        <v>-156</v>
      </c>
      <c r="G56" s="145">
        <f t="shared" si="3"/>
        <v>0.012658227848101266</v>
      </c>
      <c r="H56" s="127">
        <v>12</v>
      </c>
      <c r="I56" s="128">
        <v>0</v>
      </c>
      <c r="J56" s="124">
        <v>12</v>
      </c>
      <c r="K56" s="144">
        <f t="shared" si="2"/>
        <v>10</v>
      </c>
      <c r="L56" s="150">
        <f t="shared" si="4"/>
        <v>6</v>
      </c>
    </row>
    <row r="57" spans="1:12" s="101" customFormat="1" ht="13.5">
      <c r="A57" s="526" t="s">
        <v>64</v>
      </c>
      <c r="B57" s="527"/>
      <c r="C57" s="527"/>
      <c r="D57" s="125">
        <v>167</v>
      </c>
      <c r="E57" s="126">
        <v>172</v>
      </c>
      <c r="F57" s="144">
        <f t="shared" si="0"/>
        <v>5</v>
      </c>
      <c r="G57" s="145">
        <f t="shared" si="3"/>
        <v>1.029940119760479</v>
      </c>
      <c r="H57" s="127">
        <v>150</v>
      </c>
      <c r="I57" s="128">
        <v>0</v>
      </c>
      <c r="J57" s="124">
        <f t="shared" si="1"/>
        <v>150</v>
      </c>
      <c r="K57" s="144">
        <f t="shared" si="2"/>
        <v>-22</v>
      </c>
      <c r="L57" s="150">
        <f t="shared" si="4"/>
        <v>0.872093023255814</v>
      </c>
    </row>
    <row r="58" spans="1:12" s="101" customFormat="1" ht="13.5">
      <c r="A58" s="526" t="s">
        <v>65</v>
      </c>
      <c r="B58" s="527"/>
      <c r="C58" s="527"/>
      <c r="D58" s="125">
        <v>150</v>
      </c>
      <c r="E58" s="126">
        <v>136</v>
      </c>
      <c r="F58" s="144">
        <f t="shared" si="0"/>
        <v>-14</v>
      </c>
      <c r="G58" s="145">
        <f t="shared" si="3"/>
        <v>0.9066666666666666</v>
      </c>
      <c r="H58" s="127">
        <v>80</v>
      </c>
      <c r="I58" s="128">
        <v>0</v>
      </c>
      <c r="J58" s="124">
        <f t="shared" si="1"/>
        <v>80</v>
      </c>
      <c r="K58" s="144">
        <f t="shared" si="2"/>
        <v>-56</v>
      </c>
      <c r="L58" s="150">
        <f t="shared" si="4"/>
        <v>0.5882352941176471</v>
      </c>
    </row>
    <row r="59" spans="1:14" s="101" customFormat="1" ht="13.5">
      <c r="A59" s="526" t="s">
        <v>66</v>
      </c>
      <c r="B59" s="527"/>
      <c r="C59" s="527"/>
      <c r="D59" s="125">
        <v>1285</v>
      </c>
      <c r="E59" s="126">
        <v>1220</v>
      </c>
      <c r="F59" s="144">
        <f t="shared" si="0"/>
        <v>-65</v>
      </c>
      <c r="G59" s="145">
        <f t="shared" si="3"/>
        <v>0.9494163424124513</v>
      </c>
      <c r="H59" s="127">
        <v>1157</v>
      </c>
      <c r="I59" s="128">
        <v>0</v>
      </c>
      <c r="J59" s="124">
        <f t="shared" si="1"/>
        <v>1157</v>
      </c>
      <c r="K59" s="144">
        <f t="shared" si="2"/>
        <v>-63</v>
      </c>
      <c r="L59" s="150">
        <f t="shared" si="4"/>
        <v>0.9483606557377049</v>
      </c>
      <c r="N59" s="129"/>
    </row>
    <row r="60" spans="1:12" s="101" customFormat="1" ht="13.5">
      <c r="A60" s="514" t="s">
        <v>67</v>
      </c>
      <c r="B60" s="515"/>
      <c r="C60" s="515"/>
      <c r="D60" s="125">
        <v>108</v>
      </c>
      <c r="E60" s="126">
        <v>62</v>
      </c>
      <c r="F60" s="144">
        <f t="shared" si="0"/>
        <v>-46</v>
      </c>
      <c r="G60" s="145">
        <f t="shared" si="3"/>
        <v>0.5740740740740741</v>
      </c>
      <c r="H60" s="127">
        <v>70</v>
      </c>
      <c r="I60" s="128">
        <v>0</v>
      </c>
      <c r="J60" s="124">
        <f t="shared" si="1"/>
        <v>70</v>
      </c>
      <c r="K60" s="144">
        <f t="shared" si="2"/>
        <v>8</v>
      </c>
      <c r="L60" s="150">
        <f t="shared" si="4"/>
        <v>1.1290322580645162</v>
      </c>
    </row>
    <row r="61" spans="1:12" s="101" customFormat="1" ht="13.5">
      <c r="A61" s="514" t="s">
        <v>68</v>
      </c>
      <c r="B61" s="515"/>
      <c r="C61" s="515"/>
      <c r="D61" s="125">
        <v>0</v>
      </c>
      <c r="E61" s="126">
        <v>7</v>
      </c>
      <c r="F61" s="144">
        <f t="shared" si="0"/>
        <v>7</v>
      </c>
      <c r="G61" s="145"/>
      <c r="H61" s="127">
        <v>7</v>
      </c>
      <c r="I61" s="128">
        <v>0</v>
      </c>
      <c r="J61" s="124">
        <f t="shared" si="1"/>
        <v>7</v>
      </c>
      <c r="K61" s="144">
        <f t="shared" si="2"/>
        <v>0</v>
      </c>
      <c r="L61" s="150">
        <f t="shared" si="4"/>
        <v>1</v>
      </c>
    </row>
    <row r="62" spans="1:12" s="101" customFormat="1" ht="13.5">
      <c r="A62" s="514" t="s">
        <v>69</v>
      </c>
      <c r="B62" s="515"/>
      <c r="C62" s="515"/>
      <c r="D62" s="125">
        <v>0</v>
      </c>
      <c r="E62" s="126">
        <v>0</v>
      </c>
      <c r="F62" s="144">
        <f t="shared" si="0"/>
        <v>0</v>
      </c>
      <c r="G62" s="145"/>
      <c r="H62" s="127">
        <v>0</v>
      </c>
      <c r="I62" s="128">
        <v>0</v>
      </c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5"/>
      <c r="D63" s="125">
        <v>128</v>
      </c>
      <c r="E63" s="126">
        <v>127</v>
      </c>
      <c r="F63" s="144">
        <f t="shared" si="0"/>
        <v>-1</v>
      </c>
      <c r="G63" s="145">
        <f t="shared" si="3"/>
        <v>0.9921875</v>
      </c>
      <c r="H63" s="127">
        <v>130</v>
      </c>
      <c r="I63" s="128">
        <v>0</v>
      </c>
      <c r="J63" s="124">
        <f t="shared" si="1"/>
        <v>130</v>
      </c>
      <c r="K63" s="144">
        <f t="shared" si="2"/>
        <v>3</v>
      </c>
      <c r="L63" s="150">
        <f t="shared" si="4"/>
        <v>1.0236220472440944</v>
      </c>
    </row>
    <row r="64" spans="1:12" s="101" customFormat="1" ht="13.5">
      <c r="A64" s="514" t="s">
        <v>71</v>
      </c>
      <c r="B64" s="515"/>
      <c r="C64" s="515"/>
      <c r="D64" s="125">
        <v>0</v>
      </c>
      <c r="E64" s="126">
        <v>0</v>
      </c>
      <c r="F64" s="144">
        <f t="shared" si="0"/>
        <v>0</v>
      </c>
      <c r="G64" s="145" t="e">
        <f t="shared" si="3"/>
        <v>#DIV/0!</v>
      </c>
      <c r="H64" s="127">
        <v>0</v>
      </c>
      <c r="I64" s="128">
        <v>0</v>
      </c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5"/>
      <c r="D65" s="125">
        <v>97</v>
      </c>
      <c r="E65" s="126">
        <v>98</v>
      </c>
      <c r="F65" s="144">
        <f t="shared" si="0"/>
        <v>1</v>
      </c>
      <c r="G65" s="145">
        <f t="shared" si="3"/>
        <v>1.0103092783505154</v>
      </c>
      <c r="H65" s="127">
        <v>100</v>
      </c>
      <c r="I65" s="128">
        <v>0</v>
      </c>
      <c r="J65" s="124">
        <f t="shared" si="1"/>
        <v>100</v>
      </c>
      <c r="K65" s="144">
        <f t="shared" si="2"/>
        <v>2</v>
      </c>
      <c r="L65" s="150">
        <f t="shared" si="4"/>
        <v>1.0204081632653061</v>
      </c>
    </row>
    <row r="66" spans="1:12" s="101" customFormat="1" ht="13.5">
      <c r="A66" s="514" t="s">
        <v>72</v>
      </c>
      <c r="B66" s="515"/>
      <c r="C66" s="515"/>
      <c r="D66" s="125">
        <v>147</v>
      </c>
      <c r="E66" s="126">
        <v>34</v>
      </c>
      <c r="F66" s="144">
        <f t="shared" si="0"/>
        <v>-113</v>
      </c>
      <c r="G66" s="145">
        <f t="shared" si="3"/>
        <v>0.23129251700680273</v>
      </c>
      <c r="H66" s="127">
        <v>50</v>
      </c>
      <c r="I66" s="128">
        <v>0</v>
      </c>
      <c r="J66" s="124">
        <f t="shared" si="1"/>
        <v>50</v>
      </c>
      <c r="K66" s="144">
        <f t="shared" si="2"/>
        <v>16</v>
      </c>
      <c r="L66" s="150">
        <f t="shared" si="4"/>
        <v>1.4705882352941178</v>
      </c>
    </row>
    <row r="67" spans="1:12" s="101" customFormat="1" ht="13.5">
      <c r="A67" s="514" t="s">
        <v>73</v>
      </c>
      <c r="B67" s="515"/>
      <c r="C67" s="515"/>
      <c r="D67" s="125">
        <v>805</v>
      </c>
      <c r="E67" s="126">
        <v>892</v>
      </c>
      <c r="F67" s="144">
        <f t="shared" si="0"/>
        <v>87</v>
      </c>
      <c r="G67" s="145">
        <f>E67/D67</f>
        <v>1.1080745341614906</v>
      </c>
      <c r="H67" s="127">
        <v>800</v>
      </c>
      <c r="I67" s="128">
        <v>0</v>
      </c>
      <c r="J67" s="124">
        <f t="shared" si="1"/>
        <v>800</v>
      </c>
      <c r="K67" s="144">
        <f t="shared" si="2"/>
        <v>-92</v>
      </c>
      <c r="L67" s="150">
        <f t="shared" si="4"/>
        <v>0.8968609865470852</v>
      </c>
    </row>
    <row r="68" spans="1:12" s="101" customFormat="1" ht="13.5">
      <c r="A68" s="514" t="s">
        <v>171</v>
      </c>
      <c r="B68" s="515"/>
      <c r="C68" s="515"/>
      <c r="D68" s="125">
        <v>0</v>
      </c>
      <c r="E68" s="126">
        <v>0</v>
      </c>
      <c r="F68" s="144">
        <f t="shared" si="0"/>
        <v>0</v>
      </c>
      <c r="G68" s="145"/>
      <c r="H68" s="127">
        <v>0</v>
      </c>
      <c r="I68" s="128">
        <v>0</v>
      </c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7"/>
      <c r="D69" s="125">
        <v>13965</v>
      </c>
      <c r="E69" s="126">
        <v>15196</v>
      </c>
      <c r="F69" s="144">
        <f t="shared" si="0"/>
        <v>1231</v>
      </c>
      <c r="G69" s="145">
        <f t="shared" si="3"/>
        <v>1.0881489437880416</v>
      </c>
      <c r="H69" s="127">
        <v>15610</v>
      </c>
      <c r="I69" s="128">
        <v>0</v>
      </c>
      <c r="J69" s="124">
        <f t="shared" si="1"/>
        <v>15610</v>
      </c>
      <c r="K69" s="144">
        <f t="shared" si="2"/>
        <v>414</v>
      </c>
      <c r="L69" s="150">
        <f t="shared" si="4"/>
        <v>1.0272440115819952</v>
      </c>
      <c r="N69" s="129"/>
    </row>
    <row r="70" spans="1:12" s="101" customFormat="1" ht="13.5">
      <c r="A70" s="514" t="s">
        <v>75</v>
      </c>
      <c r="B70" s="515"/>
      <c r="C70" s="515"/>
      <c r="D70" s="125">
        <v>10314</v>
      </c>
      <c r="E70" s="126">
        <v>11056</v>
      </c>
      <c r="F70" s="144">
        <f t="shared" si="0"/>
        <v>742</v>
      </c>
      <c r="G70" s="145">
        <f t="shared" si="3"/>
        <v>1.0719410509986427</v>
      </c>
      <c r="H70" s="127">
        <v>11520</v>
      </c>
      <c r="I70" s="128">
        <v>0</v>
      </c>
      <c r="J70" s="124">
        <f t="shared" si="1"/>
        <v>11520</v>
      </c>
      <c r="K70" s="144">
        <f t="shared" si="2"/>
        <v>464</v>
      </c>
      <c r="L70" s="150">
        <f t="shared" si="4"/>
        <v>1.0419681620839363</v>
      </c>
    </row>
    <row r="71" spans="1:12" s="101" customFormat="1" ht="13.5">
      <c r="A71" s="514" t="s">
        <v>76</v>
      </c>
      <c r="B71" s="515"/>
      <c r="C71" s="515"/>
      <c r="D71" s="125">
        <v>10236</v>
      </c>
      <c r="E71" s="126">
        <v>10924</v>
      </c>
      <c r="F71" s="144">
        <f t="shared" si="0"/>
        <v>688</v>
      </c>
      <c r="G71" s="145">
        <f t="shared" si="3"/>
        <v>1.0672137553731926</v>
      </c>
      <c r="H71" s="127">
        <v>11390</v>
      </c>
      <c r="I71" s="128">
        <v>0</v>
      </c>
      <c r="J71" s="124">
        <f t="shared" si="1"/>
        <v>11390</v>
      </c>
      <c r="K71" s="144">
        <f t="shared" si="2"/>
        <v>466</v>
      </c>
      <c r="L71" s="150">
        <f t="shared" si="4"/>
        <v>1.042658366898572</v>
      </c>
    </row>
    <row r="72" spans="1:12" s="101" customFormat="1" ht="13.5">
      <c r="A72" s="514" t="s">
        <v>172</v>
      </c>
      <c r="B72" s="515"/>
      <c r="C72" s="515"/>
      <c r="D72" s="125">
        <v>10236</v>
      </c>
      <c r="E72" s="126">
        <v>10760</v>
      </c>
      <c r="F72" s="144">
        <f t="shared" si="0"/>
        <v>524</v>
      </c>
      <c r="G72" s="145">
        <f t="shared" si="3"/>
        <v>1.0511918718249316</v>
      </c>
      <c r="H72" s="127">
        <v>11250</v>
      </c>
      <c r="I72" s="128">
        <v>0</v>
      </c>
      <c r="J72" s="124">
        <f t="shared" si="1"/>
        <v>11250</v>
      </c>
      <c r="K72" s="144">
        <f t="shared" si="2"/>
        <v>490</v>
      </c>
      <c r="L72" s="150">
        <f t="shared" si="4"/>
        <v>1.045539033457249</v>
      </c>
    </row>
    <row r="73" spans="1:14" s="101" customFormat="1" ht="13.5">
      <c r="A73" s="514" t="s">
        <v>77</v>
      </c>
      <c r="B73" s="515"/>
      <c r="C73" s="515"/>
      <c r="D73" s="125">
        <v>78</v>
      </c>
      <c r="E73" s="126">
        <v>132</v>
      </c>
      <c r="F73" s="144">
        <f t="shared" si="0"/>
        <v>54</v>
      </c>
      <c r="G73" s="145">
        <f t="shared" si="3"/>
        <v>1.6923076923076923</v>
      </c>
      <c r="H73" s="127">
        <v>130</v>
      </c>
      <c r="I73" s="128">
        <v>0</v>
      </c>
      <c r="J73" s="124">
        <f t="shared" si="1"/>
        <v>130</v>
      </c>
      <c r="K73" s="144">
        <f t="shared" si="2"/>
        <v>-2</v>
      </c>
      <c r="L73" s="150">
        <f t="shared" si="4"/>
        <v>0.9848484848484849</v>
      </c>
      <c r="N73" s="129"/>
    </row>
    <row r="74" spans="1:12" s="101" customFormat="1" ht="13.5">
      <c r="A74" s="514" t="s">
        <v>78</v>
      </c>
      <c r="B74" s="515"/>
      <c r="C74" s="515"/>
      <c r="D74" s="125">
        <v>3651</v>
      </c>
      <c r="E74" s="126">
        <v>4140</v>
      </c>
      <c r="F74" s="144">
        <f t="shared" si="0"/>
        <v>489</v>
      </c>
      <c r="G74" s="145">
        <f t="shared" si="3"/>
        <v>1.133935907970419</v>
      </c>
      <c r="H74" s="127">
        <v>4090</v>
      </c>
      <c r="I74" s="128">
        <v>0</v>
      </c>
      <c r="J74" s="124">
        <v>4090</v>
      </c>
      <c r="K74" s="144">
        <f t="shared" si="2"/>
        <v>-50</v>
      </c>
      <c r="L74" s="150">
        <f t="shared" si="4"/>
        <v>0.9879227053140096</v>
      </c>
    </row>
    <row r="75" spans="1:15" s="101" customFormat="1" ht="13.5">
      <c r="A75" s="526" t="s">
        <v>79</v>
      </c>
      <c r="B75" s="527"/>
      <c r="C75" s="527"/>
      <c r="D75" s="125">
        <v>4</v>
      </c>
      <c r="E75" s="126">
        <v>8</v>
      </c>
      <c r="F75" s="144">
        <f t="shared" si="0"/>
        <v>4</v>
      </c>
      <c r="G75" s="145">
        <f t="shared" si="3"/>
        <v>2</v>
      </c>
      <c r="H75" s="127">
        <v>10</v>
      </c>
      <c r="I75" s="128">
        <v>0</v>
      </c>
      <c r="J75" s="124">
        <f t="shared" si="1"/>
        <v>10</v>
      </c>
      <c r="K75" s="144">
        <f t="shared" si="2"/>
        <v>2</v>
      </c>
      <c r="L75" s="150">
        <f t="shared" si="4"/>
        <v>1.25</v>
      </c>
      <c r="N75" s="129"/>
      <c r="O75" s="139"/>
    </row>
    <row r="76" spans="1:12" s="101" customFormat="1" ht="13.5">
      <c r="A76" s="514" t="s">
        <v>80</v>
      </c>
      <c r="B76" s="515"/>
      <c r="C76" s="515"/>
      <c r="D76" s="125">
        <v>0</v>
      </c>
      <c r="E76" s="126">
        <v>0</v>
      </c>
      <c r="F76" s="144">
        <f aca="true" t="shared" si="5" ref="F76:F90">E76-D76</f>
        <v>0</v>
      </c>
      <c r="G76" s="145"/>
      <c r="H76" s="127">
        <v>0</v>
      </c>
      <c r="I76" s="128">
        <v>0</v>
      </c>
      <c r="J76" s="124">
        <f aca="true" t="shared" si="6" ref="J76:J92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7"/>
      <c r="D77" s="125">
        <v>156</v>
      </c>
      <c r="E77" s="126">
        <v>119</v>
      </c>
      <c r="F77" s="144">
        <f t="shared" si="5"/>
        <v>-37</v>
      </c>
      <c r="G77" s="145">
        <f aca="true" t="shared" si="8" ref="G77:G88">E77/D77</f>
        <v>0.7628205128205128</v>
      </c>
      <c r="H77" s="127">
        <v>120</v>
      </c>
      <c r="I77" s="128">
        <v>0</v>
      </c>
      <c r="J77" s="124">
        <f t="shared" si="6"/>
        <v>120</v>
      </c>
      <c r="K77" s="144">
        <f t="shared" si="7"/>
        <v>1</v>
      </c>
      <c r="L77" s="150">
        <f aca="true" t="shared" si="9" ref="L77:L85">J77/E77</f>
        <v>1.0084033613445378</v>
      </c>
    </row>
    <row r="78" spans="1:12" s="101" customFormat="1" ht="13.5">
      <c r="A78" s="514" t="s">
        <v>82</v>
      </c>
      <c r="B78" s="515"/>
      <c r="C78" s="515"/>
      <c r="D78" s="138">
        <v>0</v>
      </c>
      <c r="E78" s="130">
        <v>0</v>
      </c>
      <c r="F78" s="144">
        <f t="shared" si="5"/>
        <v>0</v>
      </c>
      <c r="G78" s="145"/>
      <c r="H78" s="122">
        <v>0</v>
      </c>
      <c r="I78" s="123">
        <v>0</v>
      </c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5"/>
      <c r="D79" s="125">
        <v>0</v>
      </c>
      <c r="E79" s="126">
        <v>0</v>
      </c>
      <c r="F79" s="144">
        <f t="shared" si="5"/>
        <v>0</v>
      </c>
      <c r="G79" s="145"/>
      <c r="H79" s="127">
        <v>0</v>
      </c>
      <c r="I79" s="128">
        <v>0</v>
      </c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7"/>
      <c r="D80" s="125">
        <v>667</v>
      </c>
      <c r="E80" s="126">
        <v>1249</v>
      </c>
      <c r="F80" s="144">
        <f t="shared" si="5"/>
        <v>582</v>
      </c>
      <c r="G80" s="145">
        <f t="shared" si="8"/>
        <v>1.8725637181409296</v>
      </c>
      <c r="H80" s="127">
        <v>786</v>
      </c>
      <c r="I80" s="128">
        <v>0</v>
      </c>
      <c r="J80" s="124">
        <f t="shared" si="6"/>
        <v>786</v>
      </c>
      <c r="K80" s="144">
        <f t="shared" si="7"/>
        <v>-463</v>
      </c>
      <c r="L80" s="150">
        <f t="shared" si="9"/>
        <v>0.6293034427542034</v>
      </c>
    </row>
    <row r="81" spans="1:12" s="101" customFormat="1" ht="13.5">
      <c r="A81" s="514" t="s">
        <v>85</v>
      </c>
      <c r="B81" s="515"/>
      <c r="C81" s="515"/>
      <c r="D81" s="125">
        <v>661</v>
      </c>
      <c r="E81" s="126">
        <v>632</v>
      </c>
      <c r="F81" s="144">
        <f t="shared" si="5"/>
        <v>-29</v>
      </c>
      <c r="G81" s="145">
        <f t="shared" si="8"/>
        <v>0.9561270801815431</v>
      </c>
      <c r="H81" s="366">
        <v>536</v>
      </c>
      <c r="I81" s="128">
        <v>0</v>
      </c>
      <c r="J81" s="124">
        <f t="shared" si="6"/>
        <v>536</v>
      </c>
      <c r="K81" s="144">
        <f t="shared" si="7"/>
        <v>-96</v>
      </c>
      <c r="L81" s="150">
        <f t="shared" si="9"/>
        <v>0.8481012658227848</v>
      </c>
    </row>
    <row r="82" spans="1:12" s="101" customFormat="1" ht="13.5">
      <c r="A82" s="514" t="s">
        <v>86</v>
      </c>
      <c r="B82" s="515"/>
      <c r="C82" s="515"/>
      <c r="D82" s="125">
        <v>0</v>
      </c>
      <c r="E82" s="126">
        <v>21</v>
      </c>
      <c r="F82" s="144">
        <f t="shared" si="5"/>
        <v>21</v>
      </c>
      <c r="G82" s="145"/>
      <c r="H82" s="127">
        <v>0</v>
      </c>
      <c r="I82" s="128">
        <v>0</v>
      </c>
      <c r="J82" s="124">
        <f t="shared" si="6"/>
        <v>0</v>
      </c>
      <c r="K82" s="144">
        <f t="shared" si="7"/>
        <v>-21</v>
      </c>
      <c r="L82" s="150">
        <f t="shared" si="9"/>
        <v>0</v>
      </c>
    </row>
    <row r="83" spans="1:12" s="101" customFormat="1" ht="13.5">
      <c r="A83" s="514" t="s">
        <v>173</v>
      </c>
      <c r="B83" s="515"/>
      <c r="C83" s="515"/>
      <c r="D83" s="125">
        <v>6</v>
      </c>
      <c r="E83" s="126">
        <v>0</v>
      </c>
      <c r="F83" s="144">
        <f t="shared" si="5"/>
        <v>-6</v>
      </c>
      <c r="G83" s="145">
        <f t="shared" si="8"/>
        <v>0</v>
      </c>
      <c r="H83" s="127">
        <v>0</v>
      </c>
      <c r="I83" s="128">
        <v>0</v>
      </c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5"/>
      <c r="D84" s="125">
        <v>0</v>
      </c>
      <c r="E84" s="126">
        <v>596</v>
      </c>
      <c r="F84" s="144">
        <f t="shared" si="5"/>
        <v>596</v>
      </c>
      <c r="G84" s="145"/>
      <c r="H84" s="127">
        <v>250</v>
      </c>
      <c r="I84" s="128">
        <v>0</v>
      </c>
      <c r="J84" s="124">
        <v>250</v>
      </c>
      <c r="K84" s="144">
        <f t="shared" si="7"/>
        <v>-346</v>
      </c>
      <c r="L84" s="150">
        <f t="shared" si="9"/>
        <v>0.41946308724832215</v>
      </c>
    </row>
    <row r="85" spans="1:12" s="101" customFormat="1" ht="13.5">
      <c r="A85" s="514" t="s">
        <v>174</v>
      </c>
      <c r="B85" s="515"/>
      <c r="C85" s="515"/>
      <c r="D85" s="125">
        <v>0</v>
      </c>
      <c r="E85" s="126">
        <v>415</v>
      </c>
      <c r="F85" s="144">
        <f t="shared" si="5"/>
        <v>415</v>
      </c>
      <c r="G85" s="145"/>
      <c r="H85" s="127">
        <v>150</v>
      </c>
      <c r="I85" s="128">
        <v>0</v>
      </c>
      <c r="J85" s="124">
        <v>150</v>
      </c>
      <c r="K85" s="144">
        <f t="shared" si="7"/>
        <v>-265</v>
      </c>
      <c r="L85" s="150">
        <f t="shared" si="9"/>
        <v>0.3614457831325301</v>
      </c>
    </row>
    <row r="86" spans="1:14" s="101" customFormat="1" ht="13.5">
      <c r="A86" s="514" t="s">
        <v>175</v>
      </c>
      <c r="B86" s="515"/>
      <c r="C86" s="515"/>
      <c r="D86" s="125">
        <v>0</v>
      </c>
      <c r="E86" s="126">
        <v>0</v>
      </c>
      <c r="F86" s="144">
        <f t="shared" si="5"/>
        <v>0</v>
      </c>
      <c r="G86" s="145"/>
      <c r="H86" s="127">
        <v>0</v>
      </c>
      <c r="I86" s="128">
        <v>0</v>
      </c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526" t="s">
        <v>88</v>
      </c>
      <c r="B87" s="527"/>
      <c r="C87" s="527"/>
      <c r="D87" s="125">
        <v>21</v>
      </c>
      <c r="E87" s="126">
        <v>0</v>
      </c>
      <c r="F87" s="144">
        <f t="shared" si="5"/>
        <v>-21</v>
      </c>
      <c r="G87" s="145">
        <f t="shared" si="8"/>
        <v>0</v>
      </c>
      <c r="H87" s="127">
        <v>0</v>
      </c>
      <c r="I87" s="128">
        <v>0</v>
      </c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5"/>
      <c r="D88" s="125">
        <v>21</v>
      </c>
      <c r="E88" s="126">
        <v>0</v>
      </c>
      <c r="F88" s="144">
        <f t="shared" si="5"/>
        <v>-21</v>
      </c>
      <c r="G88" s="145">
        <f t="shared" si="8"/>
        <v>0</v>
      </c>
      <c r="H88" s="127">
        <v>0</v>
      </c>
      <c r="I88" s="128">
        <v>0</v>
      </c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7"/>
      <c r="D89" s="125">
        <v>0</v>
      </c>
      <c r="E89" s="126">
        <v>0</v>
      </c>
      <c r="F89" s="144">
        <f t="shared" si="5"/>
        <v>0</v>
      </c>
      <c r="G89" s="145"/>
      <c r="H89" s="127">
        <v>0</v>
      </c>
      <c r="I89" s="128">
        <v>0</v>
      </c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15"/>
      <c r="D90" s="245">
        <v>0</v>
      </c>
      <c r="E90" s="140">
        <v>0</v>
      </c>
      <c r="F90" s="144">
        <f t="shared" si="5"/>
        <v>0</v>
      </c>
      <c r="G90" s="145"/>
      <c r="H90" s="127">
        <v>0</v>
      </c>
      <c r="I90" s="128">
        <v>0</v>
      </c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21570</v>
      </c>
      <c r="E91" s="178">
        <v>22869</v>
      </c>
      <c r="F91" s="179"/>
      <c r="G91" s="179"/>
      <c r="H91" s="180">
        <v>22225</v>
      </c>
      <c r="I91" s="180">
        <v>0</v>
      </c>
      <c r="J91" s="181">
        <f t="shared" si="6"/>
        <v>22225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v>36</v>
      </c>
      <c r="E92" s="184">
        <v>9</v>
      </c>
      <c r="F92" s="185"/>
      <c r="G92" s="185"/>
      <c r="H92" s="184">
        <v>0</v>
      </c>
      <c r="I92" s="184"/>
      <c r="J92" s="186">
        <f t="shared" si="6"/>
        <v>0</v>
      </c>
      <c r="K92" s="170"/>
      <c r="L92" s="187"/>
      <c r="M92" s="141"/>
      <c r="N92" s="141"/>
      <c r="O92" s="143"/>
    </row>
    <row r="93" spans="1:15" s="34" customFormat="1" ht="13.5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5" s="34" customFormat="1" ht="14.25" thickBot="1">
      <c r="A94" s="35"/>
      <c r="B94" s="36"/>
      <c r="C94" s="36"/>
      <c r="D94" s="37"/>
      <c r="E94" s="38"/>
      <c r="F94" s="36"/>
      <c r="G94" s="36"/>
      <c r="H94" s="39"/>
      <c r="I94" s="40"/>
      <c r="J94" s="41"/>
      <c r="K94" s="35"/>
      <c r="L94" s="36"/>
      <c r="M94" s="36"/>
      <c r="N94" s="36"/>
      <c r="O94" s="39"/>
    </row>
    <row r="95" spans="1:14" ht="14.25" thickBot="1">
      <c r="A95" s="428" t="s">
        <v>178</v>
      </c>
      <c r="B95" s="428"/>
      <c r="C95" s="565" t="s">
        <v>104</v>
      </c>
      <c r="D95" s="42"/>
      <c r="E95" s="600" t="s">
        <v>179</v>
      </c>
      <c r="F95" s="600"/>
      <c r="G95" s="600"/>
      <c r="H95" s="600"/>
      <c r="I95" s="601" t="s">
        <v>104</v>
      </c>
      <c r="J95" s="43"/>
      <c r="K95" s="43"/>
      <c r="L95" s="43"/>
      <c r="M95" s="43"/>
      <c r="N95" s="43"/>
    </row>
    <row r="96" spans="1:14" ht="14.25" thickBot="1">
      <c r="A96" s="428"/>
      <c r="B96" s="428"/>
      <c r="C96" s="565"/>
      <c r="D96" s="42"/>
      <c r="E96" s="600"/>
      <c r="F96" s="600"/>
      <c r="G96" s="600"/>
      <c r="H96" s="600"/>
      <c r="I96" s="601"/>
      <c r="J96" s="43"/>
      <c r="K96" s="43"/>
      <c r="L96" s="43"/>
      <c r="M96" s="43"/>
      <c r="N96" s="43"/>
    </row>
    <row r="97" spans="1:14" ht="14.25" thickBot="1">
      <c r="A97" s="431" t="s">
        <v>320</v>
      </c>
      <c r="B97" s="432"/>
      <c r="C97" s="104">
        <v>100</v>
      </c>
      <c r="D97" s="35"/>
      <c r="E97" s="602" t="s">
        <v>326</v>
      </c>
      <c r="F97" s="602"/>
      <c r="G97" s="602"/>
      <c r="H97" s="602"/>
      <c r="I97" s="110">
        <v>200</v>
      </c>
      <c r="J97" s="43"/>
      <c r="K97" s="43"/>
      <c r="L97" s="43"/>
      <c r="M97" s="43"/>
      <c r="N97" s="38" t="s">
        <v>105</v>
      </c>
    </row>
    <row r="98" spans="1:14" ht="13.5">
      <c r="A98" s="435" t="s">
        <v>321</v>
      </c>
      <c r="B98" s="436"/>
      <c r="C98" s="105">
        <v>150</v>
      </c>
      <c r="D98" s="35"/>
      <c r="E98" s="603" t="s">
        <v>327</v>
      </c>
      <c r="F98" s="603"/>
      <c r="G98" s="603"/>
      <c r="H98" s="603"/>
      <c r="I98" s="111">
        <v>120</v>
      </c>
      <c r="J98" s="43"/>
      <c r="K98" s="44" t="s">
        <v>106</v>
      </c>
      <c r="L98" s="44"/>
      <c r="M98" s="45">
        <v>2011</v>
      </c>
      <c r="N98" s="46">
        <v>2012</v>
      </c>
    </row>
    <row r="99" spans="1:14" ht="13.5">
      <c r="A99" s="435" t="s">
        <v>322</v>
      </c>
      <c r="B99" s="436"/>
      <c r="C99" s="105">
        <v>150</v>
      </c>
      <c r="D99" s="35"/>
      <c r="E99" s="603" t="s">
        <v>328</v>
      </c>
      <c r="F99" s="603"/>
      <c r="G99" s="603"/>
      <c r="H99" s="603"/>
      <c r="I99" s="111">
        <v>12</v>
      </c>
      <c r="J99" s="43"/>
      <c r="K99" s="47" t="s">
        <v>107</v>
      </c>
      <c r="L99" s="47"/>
      <c r="M99" s="48"/>
      <c r="N99" s="49"/>
    </row>
    <row r="100" spans="1:14" ht="13.5">
      <c r="A100" s="435" t="s">
        <v>323</v>
      </c>
      <c r="B100" s="436"/>
      <c r="C100" s="105">
        <v>140</v>
      </c>
      <c r="D100" s="35"/>
      <c r="E100" s="603"/>
      <c r="F100" s="603"/>
      <c r="G100" s="603"/>
      <c r="H100" s="603"/>
      <c r="I100" s="111"/>
      <c r="J100" s="43"/>
      <c r="K100" s="47" t="s">
        <v>108</v>
      </c>
      <c r="L100" s="50"/>
      <c r="M100" s="51">
        <v>0</v>
      </c>
      <c r="N100" s="52">
        <v>0</v>
      </c>
    </row>
    <row r="101" spans="1:14" ht="14.25" thickBot="1">
      <c r="A101" s="435" t="s">
        <v>324</v>
      </c>
      <c r="B101" s="436"/>
      <c r="C101" s="205">
        <v>180</v>
      </c>
      <c r="D101" s="35"/>
      <c r="E101" s="603"/>
      <c r="F101" s="603"/>
      <c r="G101" s="603"/>
      <c r="H101" s="603"/>
      <c r="I101" s="93"/>
      <c r="J101" s="43"/>
      <c r="K101" s="53" t="s">
        <v>109</v>
      </c>
      <c r="L101" s="54"/>
      <c r="M101" s="55">
        <v>0</v>
      </c>
      <c r="N101" s="56">
        <v>0</v>
      </c>
    </row>
    <row r="102" spans="1:14" ht="13.5">
      <c r="A102" s="435" t="s">
        <v>325</v>
      </c>
      <c r="B102" s="436"/>
      <c r="C102" s="205">
        <v>100</v>
      </c>
      <c r="D102" s="35"/>
      <c r="E102" s="603"/>
      <c r="F102" s="603"/>
      <c r="G102" s="603"/>
      <c r="H102" s="603"/>
      <c r="I102" s="94"/>
      <c r="J102" s="43"/>
      <c r="K102" s="43"/>
      <c r="L102" s="43"/>
      <c r="M102" s="43"/>
      <c r="N102" s="43"/>
    </row>
    <row r="103" spans="1:14" ht="13.5">
      <c r="A103" s="604"/>
      <c r="B103" s="605"/>
      <c r="C103" s="105"/>
      <c r="D103" s="35"/>
      <c r="E103" s="603"/>
      <c r="F103" s="603"/>
      <c r="G103" s="603"/>
      <c r="H103" s="603"/>
      <c r="I103" s="93"/>
      <c r="J103" s="43"/>
      <c r="K103" s="43"/>
      <c r="L103" s="43"/>
      <c r="M103" s="43"/>
      <c r="N103" s="43"/>
    </row>
    <row r="104" spans="1:14" ht="14.25" thickBot="1">
      <c r="A104" s="441"/>
      <c r="B104" s="442"/>
      <c r="C104" s="96"/>
      <c r="D104" s="35"/>
      <c r="E104" s="606"/>
      <c r="F104" s="606"/>
      <c r="G104" s="606"/>
      <c r="H104" s="606"/>
      <c r="I104" s="95"/>
      <c r="J104" s="43"/>
      <c r="K104" s="43"/>
      <c r="L104" s="43"/>
      <c r="M104" s="43"/>
      <c r="N104" s="43"/>
    </row>
    <row r="105" spans="1:14" ht="14.25" thickBot="1">
      <c r="A105" s="607" t="s">
        <v>97</v>
      </c>
      <c r="B105" s="607"/>
      <c r="C105" s="373">
        <f>SUM(C97:C103)</f>
        <v>820</v>
      </c>
      <c r="D105" s="59"/>
      <c r="E105" s="608" t="s">
        <v>97</v>
      </c>
      <c r="F105" s="608"/>
      <c r="G105" s="608"/>
      <c r="H105" s="608"/>
      <c r="I105" s="60">
        <f>SUM(I97:I104)</f>
        <v>332</v>
      </c>
      <c r="J105" s="43"/>
      <c r="K105" s="43"/>
      <c r="L105" s="43"/>
      <c r="M105" s="43"/>
      <c r="N105" s="61"/>
    </row>
    <row r="106" spans="1:5" s="34" customFormat="1" ht="13.5">
      <c r="A106" s="59"/>
      <c r="B106" s="62"/>
      <c r="C106" s="62"/>
      <c r="D106" s="62"/>
      <c r="E106" s="62"/>
    </row>
    <row r="107" spans="1:12" s="34" customFormat="1" ht="14.25" thickBot="1">
      <c r="A107" s="63" t="s">
        <v>181</v>
      </c>
      <c r="B107" s="36"/>
      <c r="C107" s="36"/>
      <c r="D107" s="36"/>
      <c r="E107" s="39"/>
      <c r="F107" s="41"/>
      <c r="G107" s="41"/>
      <c r="H107" s="35"/>
      <c r="I107" s="36"/>
      <c r="J107" s="36" t="s">
        <v>110</v>
      </c>
      <c r="K107" s="36"/>
      <c r="L107" s="39"/>
    </row>
    <row r="108" spans="1:11" s="34" customFormat="1" ht="13.5">
      <c r="A108" s="449" t="s">
        <v>111</v>
      </c>
      <c r="B108" s="452" t="s">
        <v>248</v>
      </c>
      <c r="C108" s="459" t="s">
        <v>182</v>
      </c>
      <c r="D108" s="460"/>
      <c r="E108" s="460"/>
      <c r="F108" s="460"/>
      <c r="G108" s="460"/>
      <c r="H108" s="460"/>
      <c r="I108" s="460"/>
      <c r="J108" s="461"/>
      <c r="K108" s="455" t="s">
        <v>183</v>
      </c>
    </row>
    <row r="109" spans="1:11" s="34" customFormat="1" ht="13.5">
      <c r="A109" s="450"/>
      <c r="B109" s="453"/>
      <c r="C109" s="458" t="s">
        <v>112</v>
      </c>
      <c r="D109" s="462" t="s">
        <v>113</v>
      </c>
      <c r="E109" s="462"/>
      <c r="F109" s="462"/>
      <c r="G109" s="462"/>
      <c r="H109" s="462"/>
      <c r="I109" s="462"/>
      <c r="J109" s="463"/>
      <c r="K109" s="456"/>
    </row>
    <row r="110" spans="1:12" s="34" customFormat="1" ht="14.25" thickBot="1">
      <c r="A110" s="451"/>
      <c r="B110" s="454"/>
      <c r="C110" s="458"/>
      <c r="D110" s="164">
        <v>1</v>
      </c>
      <c r="E110" s="164">
        <v>2</v>
      </c>
      <c r="F110" s="164">
        <v>3</v>
      </c>
      <c r="G110" s="164">
        <v>4</v>
      </c>
      <c r="H110" s="164">
        <v>5</v>
      </c>
      <c r="I110" s="164">
        <v>6</v>
      </c>
      <c r="J110" s="165">
        <v>7</v>
      </c>
      <c r="K110" s="457"/>
      <c r="L110" s="71"/>
    </row>
    <row r="111" spans="1:11" s="34" customFormat="1" ht="14.25" thickBot="1">
      <c r="A111" s="64">
        <v>8376</v>
      </c>
      <c r="B111" s="65">
        <v>3542</v>
      </c>
      <c r="C111" s="364">
        <f>SUM(D111:J111)</f>
        <v>536</v>
      </c>
      <c r="D111" s="167">
        <v>117</v>
      </c>
      <c r="E111" s="167">
        <v>120</v>
      </c>
      <c r="F111" s="167">
        <v>58</v>
      </c>
      <c r="G111" s="167">
        <v>0</v>
      </c>
      <c r="H111" s="167">
        <v>0</v>
      </c>
      <c r="I111" s="168">
        <v>241</v>
      </c>
      <c r="J111" s="225">
        <v>0</v>
      </c>
      <c r="K111" s="163">
        <v>4298</v>
      </c>
    </row>
    <row r="112" spans="1:5" s="34" customFormat="1" ht="13.5">
      <c r="A112" s="59"/>
      <c r="B112" s="62"/>
      <c r="C112" s="62"/>
      <c r="D112" s="62"/>
      <c r="E112" s="62"/>
    </row>
    <row r="113" spans="1:8" s="34" customFormat="1" ht="14.25" thickBot="1">
      <c r="A113" s="63" t="s">
        <v>184</v>
      </c>
      <c r="C113" s="36"/>
      <c r="D113" s="36"/>
      <c r="E113" s="36"/>
      <c r="F113" s="36" t="s">
        <v>110</v>
      </c>
      <c r="G113" s="41"/>
      <c r="H113" s="35"/>
    </row>
    <row r="114" spans="1:6" s="34" customFormat="1" ht="15" customHeight="1" thickBot="1">
      <c r="A114" s="467" t="s">
        <v>114</v>
      </c>
      <c r="B114" s="469" t="s">
        <v>188</v>
      </c>
      <c r="C114" s="188" t="s">
        <v>185</v>
      </c>
      <c r="D114" s="189"/>
      <c r="E114" s="189"/>
      <c r="F114" s="190"/>
    </row>
    <row r="115" spans="1:6" s="34" customFormat="1" ht="27.75" thickBot="1">
      <c r="A115" s="468"/>
      <c r="B115" s="469"/>
      <c r="C115" s="67" t="s">
        <v>186</v>
      </c>
      <c r="D115" s="66" t="s">
        <v>115</v>
      </c>
      <c r="E115" s="67" t="s">
        <v>116</v>
      </c>
      <c r="F115" s="191" t="s">
        <v>187</v>
      </c>
    </row>
    <row r="116" spans="1:6" s="34" customFormat="1" ht="13.5">
      <c r="A116" s="192" t="s">
        <v>117</v>
      </c>
      <c r="B116" s="218">
        <v>1419</v>
      </c>
      <c r="C116" s="68" t="s">
        <v>118</v>
      </c>
      <c r="D116" s="69" t="s">
        <v>118</v>
      </c>
      <c r="E116" s="69" t="s">
        <v>118</v>
      </c>
      <c r="F116" s="193" t="s">
        <v>118</v>
      </c>
    </row>
    <row r="117" spans="1:13" s="34" customFormat="1" ht="13.5">
      <c r="A117" s="194" t="s">
        <v>119</v>
      </c>
      <c r="B117" s="219">
        <v>0</v>
      </c>
      <c r="C117" s="197">
        <v>0</v>
      </c>
      <c r="D117" s="51">
        <v>0</v>
      </c>
      <c r="E117" s="51">
        <v>0</v>
      </c>
      <c r="F117" s="198">
        <f>C117+D117-E117</f>
        <v>0</v>
      </c>
      <c r="M117" s="71"/>
    </row>
    <row r="118" spans="1:13" s="34" customFormat="1" ht="13.5">
      <c r="A118" s="194" t="s">
        <v>120</v>
      </c>
      <c r="B118" s="219">
        <v>96</v>
      </c>
      <c r="C118" s="197">
        <f>49+47</f>
        <v>96</v>
      </c>
      <c r="D118" s="51">
        <f>9+5</f>
        <v>14</v>
      </c>
      <c r="E118" s="51">
        <v>0</v>
      </c>
      <c r="F118" s="198">
        <f>C118+D118-E118</f>
        <v>110</v>
      </c>
      <c r="M118" s="71"/>
    </row>
    <row r="119" spans="1:13" s="34" customFormat="1" ht="13.5">
      <c r="A119" s="194" t="s">
        <v>121</v>
      </c>
      <c r="B119" s="219">
        <v>288</v>
      </c>
      <c r="C119" s="72">
        <v>288</v>
      </c>
      <c r="D119" s="206">
        <v>536</v>
      </c>
      <c r="E119" s="206">
        <v>820</v>
      </c>
      <c r="F119" s="198">
        <f>C119+D119-E119</f>
        <v>4</v>
      </c>
      <c r="M119" s="71"/>
    </row>
    <row r="120" spans="1:13" s="34" customFormat="1" ht="13.5">
      <c r="A120" s="194" t="s">
        <v>122</v>
      </c>
      <c r="B120" s="219">
        <f>B116-B117-B118-B119</f>
        <v>1035</v>
      </c>
      <c r="C120" s="74" t="s">
        <v>118</v>
      </c>
      <c r="D120" s="75" t="s">
        <v>118</v>
      </c>
      <c r="E120" s="76" t="s">
        <v>118</v>
      </c>
      <c r="F120" s="195" t="s">
        <v>118</v>
      </c>
      <c r="M120" s="71"/>
    </row>
    <row r="121" spans="1:13" s="34" customFormat="1" ht="14.25" thickBot="1">
      <c r="A121" s="196" t="s">
        <v>123</v>
      </c>
      <c r="B121" s="220">
        <v>48</v>
      </c>
      <c r="C121" s="199">
        <v>49</v>
      </c>
      <c r="D121" s="200">
        <v>112</v>
      </c>
      <c r="E121" s="207">
        <v>131</v>
      </c>
      <c r="F121" s="201">
        <v>30</v>
      </c>
      <c r="M121" s="71"/>
    </row>
    <row r="122" spans="1:15" s="34" customFormat="1" ht="13.5">
      <c r="A122" s="35"/>
      <c r="B122" s="36"/>
      <c r="C122" s="36"/>
      <c r="D122" s="37"/>
      <c r="E122" s="38"/>
      <c r="F122" s="36"/>
      <c r="G122" s="36"/>
      <c r="H122" s="39"/>
      <c r="I122" s="40"/>
      <c r="J122" s="41"/>
      <c r="K122" s="35"/>
      <c r="L122" s="36"/>
      <c r="M122" s="36"/>
      <c r="N122" s="36"/>
      <c r="O122" s="39"/>
    </row>
    <row r="123" spans="1:11" ht="13.5">
      <c r="A123" s="63"/>
      <c r="K123" s="36"/>
    </row>
    <row r="124" spans="1:11" ht="14.25" thickBot="1">
      <c r="A124" s="63" t="s">
        <v>189</v>
      </c>
      <c r="K124" s="36" t="s">
        <v>110</v>
      </c>
    </row>
    <row r="125" spans="1:11" ht="13.5">
      <c r="A125" s="464" t="s">
        <v>124</v>
      </c>
      <c r="B125" s="465"/>
      <c r="C125" s="466"/>
      <c r="D125" s="78"/>
      <c r="E125" s="464" t="s">
        <v>125</v>
      </c>
      <c r="F125" s="465"/>
      <c r="G125" s="466"/>
      <c r="I125" s="464" t="s">
        <v>126</v>
      </c>
      <c r="J125" s="465"/>
      <c r="K125" s="466"/>
    </row>
    <row r="126" spans="1:11" ht="14.25" thickBot="1">
      <c r="A126" s="79" t="s">
        <v>127</v>
      </c>
      <c r="B126" s="80" t="s">
        <v>128</v>
      </c>
      <c r="C126" s="81" t="s">
        <v>129</v>
      </c>
      <c r="D126" s="78"/>
      <c r="E126" s="82"/>
      <c r="F126" s="470" t="s">
        <v>130</v>
      </c>
      <c r="G126" s="471"/>
      <c r="I126" s="79"/>
      <c r="J126" s="80" t="s">
        <v>131</v>
      </c>
      <c r="K126" s="81" t="s">
        <v>129</v>
      </c>
    </row>
    <row r="127" spans="1:11" ht="13.5">
      <c r="A127" s="83">
        <v>2012</v>
      </c>
      <c r="B127" s="84">
        <v>49</v>
      </c>
      <c r="C127" s="85">
        <v>51</v>
      </c>
      <c r="D127" s="37"/>
      <c r="E127" s="83">
        <v>2012</v>
      </c>
      <c r="F127" s="472">
        <v>70</v>
      </c>
      <c r="G127" s="473"/>
      <c r="I127" s="83">
        <v>2012</v>
      </c>
      <c r="J127" s="84">
        <v>10760</v>
      </c>
      <c r="K127" s="85">
        <v>10760</v>
      </c>
    </row>
    <row r="128" spans="1:11" ht="14.25" thickBot="1">
      <c r="A128" s="86">
        <v>2013</v>
      </c>
      <c r="B128" s="87">
        <v>52.5</v>
      </c>
      <c r="C128" s="88" t="s">
        <v>92</v>
      </c>
      <c r="D128" s="37"/>
      <c r="E128" s="86">
        <v>2013</v>
      </c>
      <c r="F128" s="388">
        <v>70</v>
      </c>
      <c r="G128" s="389"/>
      <c r="I128" s="86">
        <v>2013</v>
      </c>
      <c r="J128" s="87">
        <v>11250</v>
      </c>
      <c r="K128" s="88" t="s">
        <v>92</v>
      </c>
    </row>
    <row r="129" ht="13.5">
      <c r="D129" s="37"/>
    </row>
    <row r="130" ht="13.5">
      <c r="D130" s="78"/>
    </row>
    <row r="131" ht="13.5">
      <c r="D131" s="78"/>
    </row>
    <row r="132" ht="13.5">
      <c r="D132" s="37"/>
    </row>
    <row r="133" ht="13.5">
      <c r="D133" s="37"/>
    </row>
  </sheetData>
  <sheetProtection selectLockedCells="1" selectUnlockedCells="1"/>
  <mergeCells count="129">
    <mergeCell ref="K108:K110"/>
    <mergeCell ref="D109:J109"/>
    <mergeCell ref="A125:C125"/>
    <mergeCell ref="E125:G125"/>
    <mergeCell ref="I125:K125"/>
    <mergeCell ref="F126:G126"/>
    <mergeCell ref="F127:G127"/>
    <mergeCell ref="F128:G128"/>
    <mergeCell ref="A114:A115"/>
    <mergeCell ref="B114:B115"/>
    <mergeCell ref="A105:B105"/>
    <mergeCell ref="E105:H105"/>
    <mergeCell ref="A108:A110"/>
    <mergeCell ref="B108:B110"/>
    <mergeCell ref="C109:C110"/>
    <mergeCell ref="C108:J108"/>
    <mergeCell ref="A102:B102"/>
    <mergeCell ref="E102:H102"/>
    <mergeCell ref="A103:B103"/>
    <mergeCell ref="E103:H103"/>
    <mergeCell ref="A104:B104"/>
    <mergeCell ref="E104:H104"/>
    <mergeCell ref="A99:B99"/>
    <mergeCell ref="E99:H99"/>
    <mergeCell ref="A100:B100"/>
    <mergeCell ref="E100:H100"/>
    <mergeCell ref="A101:B101"/>
    <mergeCell ref="E101:H101"/>
    <mergeCell ref="E95:H96"/>
    <mergeCell ref="I95:I96"/>
    <mergeCell ref="A97:B97"/>
    <mergeCell ref="E97:H97"/>
    <mergeCell ref="A98:B98"/>
    <mergeCell ref="E98:H98"/>
    <mergeCell ref="A85:C85"/>
    <mergeCell ref="A86:C86"/>
    <mergeCell ref="A87:C87"/>
    <mergeCell ref="A88:C88"/>
    <mergeCell ref="A95:B96"/>
    <mergeCell ref="C95:C96"/>
    <mergeCell ref="A89:C89"/>
    <mergeCell ref="A90:C90"/>
    <mergeCell ref="A91:C91"/>
    <mergeCell ref="A92:C92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3" r:id="rId1"/>
  <headerFooter alignWithMargins="0">
    <oddFooter>&amp;C&amp;"Arial CE,Běžné"&amp;P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2.28125" style="0" customWidth="1"/>
    <col min="2" max="2" width="18.28125" style="0" customWidth="1"/>
    <col min="24" max="24" width="11.00390625" style="0" customWidth="1"/>
    <col min="25" max="25" width="9.421875" style="0" customWidth="1"/>
    <col min="26" max="26" width="9.28125" style="0" customWidth="1"/>
    <col min="27" max="27" width="11.00390625" style="0" customWidth="1"/>
  </cols>
  <sheetData>
    <row r="2" ht="13.5" thickBot="1">
      <c r="Z2" t="s">
        <v>353</v>
      </c>
    </row>
    <row r="3" spans="2:26" ht="81.75" thickBot="1">
      <c r="B3" s="352" t="s">
        <v>354</v>
      </c>
      <c r="C3" s="350" t="s">
        <v>1</v>
      </c>
      <c r="D3" s="350" t="s">
        <v>2</v>
      </c>
      <c r="E3" s="350" t="s">
        <v>3</v>
      </c>
      <c r="F3" s="350" t="s">
        <v>4</v>
      </c>
      <c r="G3" s="350" t="s">
        <v>5</v>
      </c>
      <c r="H3" s="350" t="s">
        <v>6</v>
      </c>
      <c r="I3" s="350" t="s">
        <v>7</v>
      </c>
      <c r="J3" s="350" t="s">
        <v>8</v>
      </c>
      <c r="K3" s="350" t="s">
        <v>9</v>
      </c>
      <c r="L3" s="350" t="s">
        <v>10</v>
      </c>
      <c r="M3" s="350" t="s">
        <v>11</v>
      </c>
      <c r="N3" s="350" t="s">
        <v>360</v>
      </c>
      <c r="O3" s="350" t="s">
        <v>13</v>
      </c>
      <c r="P3" s="350" t="s">
        <v>363</v>
      </c>
      <c r="Q3" s="350" t="s">
        <v>14</v>
      </c>
      <c r="R3" s="350" t="s">
        <v>15</v>
      </c>
      <c r="S3" s="350" t="s">
        <v>16</v>
      </c>
      <c r="T3" s="350" t="s">
        <v>17</v>
      </c>
      <c r="U3" s="350" t="s">
        <v>18</v>
      </c>
      <c r="V3" s="350" t="s">
        <v>19</v>
      </c>
      <c r="W3" s="350" t="s">
        <v>20</v>
      </c>
      <c r="X3" s="350" t="s">
        <v>21</v>
      </c>
      <c r="Y3" s="350" t="s">
        <v>361</v>
      </c>
      <c r="Z3" s="351" t="s">
        <v>97</v>
      </c>
    </row>
    <row r="4" spans="2:26" ht="18.75" customHeight="1">
      <c r="B4" s="349" t="s">
        <v>355</v>
      </c>
      <c r="C4" s="353">
        <f>'DS Havlíčkův Brod'!E31</f>
        <v>4065</v>
      </c>
      <c r="D4" s="353">
        <f>'DD Ždírec'!E31</f>
        <v>8279</v>
      </c>
      <c r="E4" s="353">
        <f>'DD Onšov'!E31</f>
        <v>2550</v>
      </c>
      <c r="F4" s="353">
        <f>'DD Proseč Obořiště'!E31</f>
        <v>3800</v>
      </c>
      <c r="G4" s="353">
        <f>'DD Proseč u Pošné'!E31</f>
        <v>4838</v>
      </c>
      <c r="H4" s="353">
        <f>'DD Humpolec'!E31</f>
        <v>9491</v>
      </c>
      <c r="I4" s="353">
        <f>'DS Třebíč Koutkova'!E31</f>
        <v>10320</v>
      </c>
      <c r="J4" s="353">
        <f>'DS M.Curierových'!E31</f>
        <v>11716</v>
      </c>
      <c r="K4" s="353">
        <f>'DS Náměšť nad Os'!E31</f>
        <v>5520</v>
      </c>
      <c r="L4" s="353">
        <f>'DS Mitrov'!E31</f>
        <v>7800</v>
      </c>
      <c r="M4" s="353">
        <f>'DS Velké Meziříčí'!E31</f>
        <v>7746</v>
      </c>
      <c r="N4" s="358">
        <f>SUM(C4:M4)</f>
        <v>76125</v>
      </c>
      <c r="O4" s="353">
        <f>'ÚSP Lidmaň'!E31</f>
        <v>7359</v>
      </c>
      <c r="P4" s="353">
        <f>'Domov ve Zboží'!E31</f>
        <v>5397</v>
      </c>
      <c r="Q4" s="353">
        <f>'Domov bez zámku'!E31</f>
        <v>10240</v>
      </c>
      <c r="R4" s="353">
        <f>'Domov ve Věži'!E31</f>
        <v>5907</v>
      </c>
      <c r="S4" s="353">
        <f>'ÚSP Křižanov'!E31</f>
        <v>10750</v>
      </c>
      <c r="T4" s="353">
        <f>'Domov Jeřabina'!E31</f>
        <v>10172</v>
      </c>
      <c r="U4" s="353">
        <f>'ÚSP Nové Syrovice'!E31</f>
        <v>9337</v>
      </c>
      <c r="V4" s="353" t="e">
        <f>#REF!</f>
        <v>#REF!</v>
      </c>
      <c r="W4" s="353">
        <f>'Domov Háj'!E31</f>
        <v>8927</v>
      </c>
      <c r="X4" s="353">
        <f>'Psych.Jihl.'!E31</f>
        <v>4556</v>
      </c>
      <c r="Y4" s="358" t="e">
        <f>SUM(O4:W4)</f>
        <v>#REF!</v>
      </c>
      <c r="Z4" s="359" t="e">
        <f>N4+X4+Y4</f>
        <v>#REF!</v>
      </c>
    </row>
    <row r="5" spans="2:26" ht="18.75" customHeight="1" thickBot="1">
      <c r="B5" s="354" t="s">
        <v>356</v>
      </c>
      <c r="C5" s="355">
        <f>'DS Havlíčkův Brod'!H31</f>
        <v>3777</v>
      </c>
      <c r="D5" s="355">
        <f>'DD Ždírec'!H31</f>
        <v>7933</v>
      </c>
      <c r="E5" s="355">
        <f>'DD Onšov'!H31</f>
        <v>2455</v>
      </c>
      <c r="F5" s="355">
        <f>'DD Proseč Obořiště'!H31</f>
        <v>3589</v>
      </c>
      <c r="G5" s="355">
        <f>'DD Proseč u Pošné'!H31</f>
        <v>4437</v>
      </c>
      <c r="H5" s="355">
        <f>'DD Humpolec'!H31</f>
        <v>8972</v>
      </c>
      <c r="I5" s="355">
        <f>'DS Třebíč Koutkova'!H31</f>
        <v>9539</v>
      </c>
      <c r="J5" s="355">
        <f>'DS M.Curierových'!H31</f>
        <v>10511</v>
      </c>
      <c r="K5" s="355">
        <f>'DS Náměšť nad Os'!H31</f>
        <v>5194</v>
      </c>
      <c r="L5" s="355">
        <f>'DS Mitrov'!H31</f>
        <v>7319</v>
      </c>
      <c r="M5" s="355">
        <f>'DS Velké Meziříčí'!H31</f>
        <v>6706</v>
      </c>
      <c r="N5" s="360">
        <f>SUM(C5:M5)</f>
        <v>70432</v>
      </c>
      <c r="O5" s="355">
        <f>'ÚSP Lidmaň'!H31</f>
        <v>7083</v>
      </c>
      <c r="P5" s="355">
        <f>'Domov ve Zboží'!H31</f>
        <v>5194</v>
      </c>
      <c r="Q5" s="355">
        <f>'Domov bez zámku'!H31</f>
        <v>18038</v>
      </c>
      <c r="R5" s="355">
        <f>'Domov ve Věži'!H31</f>
        <v>5572</v>
      </c>
      <c r="S5" s="355">
        <f>'ÚSP Křižanov'!H31</f>
        <v>12523</v>
      </c>
      <c r="T5" s="355">
        <f>'Domov Jeřabina'!H31</f>
        <v>12231</v>
      </c>
      <c r="U5" s="355">
        <f>'ÚSP Nové Syrovice'!H31</f>
        <v>6800</v>
      </c>
      <c r="V5" s="355" t="e">
        <f>#REF!</f>
        <v>#REF!</v>
      </c>
      <c r="W5" s="355">
        <f>'Domov Háj'!H31</f>
        <v>10389</v>
      </c>
      <c r="X5" s="355">
        <f>'Psych.Jihl.'!H31</f>
        <v>6043</v>
      </c>
      <c r="Y5" s="360" t="e">
        <f>SUM(O5:W5)</f>
        <v>#REF!</v>
      </c>
      <c r="Z5" s="361" t="e">
        <f>N5+X5+Y5</f>
        <v>#REF!</v>
      </c>
    </row>
    <row r="6" spans="2:26" ht="18.75" customHeight="1" thickBot="1">
      <c r="B6" s="357" t="s">
        <v>357</v>
      </c>
      <c r="C6" s="356">
        <f>C5-C4</f>
        <v>-288</v>
      </c>
      <c r="D6" s="356">
        <f aca="true" t="shared" si="0" ref="D6:X6">D5-D4</f>
        <v>-346</v>
      </c>
      <c r="E6" s="356">
        <f t="shared" si="0"/>
        <v>-95</v>
      </c>
      <c r="F6" s="356">
        <f t="shared" si="0"/>
        <v>-211</v>
      </c>
      <c r="G6" s="356">
        <f t="shared" si="0"/>
        <v>-401</v>
      </c>
      <c r="H6" s="356">
        <f t="shared" si="0"/>
        <v>-519</v>
      </c>
      <c r="I6" s="356">
        <f t="shared" si="0"/>
        <v>-781</v>
      </c>
      <c r="J6" s="356">
        <f t="shared" si="0"/>
        <v>-1205</v>
      </c>
      <c r="K6" s="356">
        <f t="shared" si="0"/>
        <v>-326</v>
      </c>
      <c r="L6" s="356">
        <f t="shared" si="0"/>
        <v>-481</v>
      </c>
      <c r="M6" s="356">
        <f t="shared" si="0"/>
        <v>-1040</v>
      </c>
      <c r="N6" s="362">
        <f>SUM(C6:M6)</f>
        <v>-5693</v>
      </c>
      <c r="O6" s="356">
        <f t="shared" si="0"/>
        <v>-276</v>
      </c>
      <c r="P6" s="356">
        <f t="shared" si="0"/>
        <v>-203</v>
      </c>
      <c r="Q6" s="356">
        <f t="shared" si="0"/>
        <v>7798</v>
      </c>
      <c r="R6" s="356">
        <f t="shared" si="0"/>
        <v>-335</v>
      </c>
      <c r="S6" s="356">
        <f t="shared" si="0"/>
        <v>1773</v>
      </c>
      <c r="T6" s="356">
        <f t="shared" si="0"/>
        <v>2059</v>
      </c>
      <c r="U6" s="356">
        <f t="shared" si="0"/>
        <v>-2537</v>
      </c>
      <c r="V6" s="356" t="e">
        <f t="shared" si="0"/>
        <v>#REF!</v>
      </c>
      <c r="W6" s="378">
        <f t="shared" si="0"/>
        <v>1462</v>
      </c>
      <c r="X6" s="378">
        <f t="shared" si="0"/>
        <v>1487</v>
      </c>
      <c r="Y6" s="379" t="e">
        <f>SUM(O6:W6)</f>
        <v>#REF!</v>
      </c>
      <c r="Z6" s="380" t="e">
        <f>N6+X6+Y6</f>
        <v>#REF!</v>
      </c>
    </row>
    <row r="7" spans="25:27" ht="12.75">
      <c r="Y7" s="381" t="e">
        <f>O6+P6++R6+U6+V6</f>
        <v>#REF!</v>
      </c>
      <c r="Z7" s="384" t="s">
        <v>359</v>
      </c>
      <c r="AA7" s="385"/>
    </row>
    <row r="8" spans="25:27" ht="13.5" thickBot="1">
      <c r="Y8" s="382" t="e">
        <f>N6+Y7</f>
        <v>#REF!</v>
      </c>
      <c r="Z8" s="386" t="s">
        <v>362</v>
      </c>
      <c r="AA8" s="387"/>
    </row>
  </sheetData>
  <sheetProtection/>
  <mergeCells count="2">
    <mergeCell ref="Z7:AA7"/>
    <mergeCell ref="Z8:AA8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33"/>
  <sheetViews>
    <sheetView view="pageBreakPreview" zoomScale="70" zoomScaleSheetLayoutView="70" zoomScalePageLayoutView="0" workbookViewId="0" topLeftCell="A82">
      <selection activeCell="H22" sqref="H22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2.281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13.851562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150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09"/>
      <c r="D7" s="121">
        <v>7531</v>
      </c>
      <c r="E7" s="239">
        <v>7524</v>
      </c>
      <c r="F7" s="154">
        <f>E7-D7</f>
        <v>-7</v>
      </c>
      <c r="G7" s="145">
        <f>E7/D7</f>
        <v>0.9990705085645997</v>
      </c>
      <c r="H7" s="122">
        <v>7820</v>
      </c>
      <c r="I7" s="123"/>
      <c r="J7" s="156">
        <f>H7+I7</f>
        <v>7820</v>
      </c>
      <c r="K7" s="144">
        <f>J7-E7</f>
        <v>296</v>
      </c>
      <c r="L7" s="150">
        <f>J7/E7</f>
        <v>1.0393407761828815</v>
      </c>
    </row>
    <row r="8" spans="1:12" s="101" customFormat="1" ht="13.5">
      <c r="A8" s="511" t="s">
        <v>25</v>
      </c>
      <c r="B8" s="512"/>
      <c r="C8" s="512"/>
      <c r="D8" s="125"/>
      <c r="E8" s="240"/>
      <c r="F8" s="154">
        <f aca="true" t="shared" si="0" ref="F8:F75">E8-D8</f>
        <v>0</v>
      </c>
      <c r="G8" s="145"/>
      <c r="H8" s="127"/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2"/>
      <c r="D9" s="125">
        <v>7531</v>
      </c>
      <c r="E9" s="240">
        <v>7524</v>
      </c>
      <c r="F9" s="154">
        <f t="shared" si="0"/>
        <v>-7</v>
      </c>
      <c r="G9" s="145">
        <f>E9/D9</f>
        <v>0.9990705085645997</v>
      </c>
      <c r="H9" s="127">
        <v>7820</v>
      </c>
      <c r="I9" s="128"/>
      <c r="J9" s="156">
        <f t="shared" si="1"/>
        <v>7820</v>
      </c>
      <c r="K9" s="144">
        <f t="shared" si="2"/>
        <v>296</v>
      </c>
      <c r="L9" s="150">
        <f aca="true" t="shared" si="3" ref="L9:L74">J9/E9</f>
        <v>1.0393407761828815</v>
      </c>
    </row>
    <row r="10" spans="1:12" s="101" customFormat="1" ht="13.5">
      <c r="A10" s="514" t="s">
        <v>27</v>
      </c>
      <c r="B10" s="515"/>
      <c r="C10" s="515"/>
      <c r="D10" s="125">
        <v>4498</v>
      </c>
      <c r="E10" s="240">
        <v>4610</v>
      </c>
      <c r="F10" s="154">
        <f t="shared" si="0"/>
        <v>112</v>
      </c>
      <c r="G10" s="145">
        <f>E10/D10</f>
        <v>1.0248999555357936</v>
      </c>
      <c r="H10" s="127">
        <v>4750</v>
      </c>
      <c r="I10" s="128"/>
      <c r="J10" s="156">
        <f t="shared" si="1"/>
        <v>4750</v>
      </c>
      <c r="K10" s="144">
        <f t="shared" si="2"/>
        <v>140</v>
      </c>
      <c r="L10" s="150">
        <f t="shared" si="3"/>
        <v>1.0303687635574836</v>
      </c>
    </row>
    <row r="11" spans="1:12" s="101" customFormat="1" ht="13.5">
      <c r="A11" s="514" t="s">
        <v>28</v>
      </c>
      <c r="B11" s="515"/>
      <c r="C11" s="515"/>
      <c r="D11" s="125">
        <v>2861</v>
      </c>
      <c r="E11" s="240">
        <v>2744</v>
      </c>
      <c r="F11" s="154">
        <f t="shared" si="0"/>
        <v>-117</v>
      </c>
      <c r="G11" s="145">
        <f>E11/D11</f>
        <v>0.9591052079692415</v>
      </c>
      <c r="H11" s="127">
        <v>2900</v>
      </c>
      <c r="I11" s="128"/>
      <c r="J11" s="156">
        <f t="shared" si="1"/>
        <v>2900</v>
      </c>
      <c r="K11" s="144">
        <f t="shared" si="2"/>
        <v>156</v>
      </c>
      <c r="L11" s="150">
        <f t="shared" si="3"/>
        <v>1.0568513119533527</v>
      </c>
    </row>
    <row r="12" spans="1:12" s="101" customFormat="1" ht="13.5">
      <c r="A12" s="514" t="s">
        <v>29</v>
      </c>
      <c r="B12" s="515"/>
      <c r="C12" s="515"/>
      <c r="D12" s="125">
        <v>42</v>
      </c>
      <c r="E12" s="240">
        <v>39</v>
      </c>
      <c r="F12" s="154">
        <f t="shared" si="0"/>
        <v>-3</v>
      </c>
      <c r="G12" s="145">
        <f>E12/D12</f>
        <v>0.9285714285714286</v>
      </c>
      <c r="H12" s="127">
        <v>40</v>
      </c>
      <c r="I12" s="128"/>
      <c r="J12" s="156">
        <f t="shared" si="1"/>
        <v>40</v>
      </c>
      <c r="K12" s="144">
        <f t="shared" si="2"/>
        <v>1</v>
      </c>
      <c r="L12" s="150">
        <f t="shared" si="3"/>
        <v>1.0256410256410255</v>
      </c>
    </row>
    <row r="13" spans="1:12" s="101" customFormat="1" ht="13.5">
      <c r="A13" s="514" t="s">
        <v>30</v>
      </c>
      <c r="B13" s="515"/>
      <c r="C13" s="515"/>
      <c r="D13" s="125"/>
      <c r="E13" s="240"/>
      <c r="F13" s="154">
        <f t="shared" si="0"/>
        <v>0</v>
      </c>
      <c r="G13" s="145"/>
      <c r="H13" s="127"/>
      <c r="I13" s="128"/>
      <c r="J13" s="156">
        <f t="shared" si="1"/>
        <v>0</v>
      </c>
      <c r="K13" s="144">
        <f t="shared" si="2"/>
        <v>0</v>
      </c>
      <c r="L13" s="150"/>
    </row>
    <row r="14" spans="1:12" s="101" customFormat="1" ht="13.5">
      <c r="A14" s="514" t="s">
        <v>31</v>
      </c>
      <c r="B14" s="515"/>
      <c r="C14" s="515"/>
      <c r="D14" s="125">
        <v>130</v>
      </c>
      <c r="E14" s="240">
        <v>130</v>
      </c>
      <c r="F14" s="154">
        <f t="shared" si="0"/>
        <v>0</v>
      </c>
      <c r="G14" s="145">
        <f>E14/D14</f>
        <v>1</v>
      </c>
      <c r="H14" s="127">
        <v>130</v>
      </c>
      <c r="I14" s="128"/>
      <c r="J14" s="156">
        <f t="shared" si="1"/>
        <v>130</v>
      </c>
      <c r="K14" s="144">
        <f t="shared" si="2"/>
        <v>0</v>
      </c>
      <c r="L14" s="150">
        <f t="shared" si="3"/>
        <v>1</v>
      </c>
    </row>
    <row r="15" spans="1:14" s="101" customFormat="1" ht="13.5">
      <c r="A15" s="514" t="s">
        <v>32</v>
      </c>
      <c r="B15" s="515"/>
      <c r="C15" s="515"/>
      <c r="D15" s="125"/>
      <c r="E15" s="240"/>
      <c r="F15" s="154">
        <f t="shared" si="0"/>
        <v>0</v>
      </c>
      <c r="G15" s="145"/>
      <c r="H15" s="127"/>
      <c r="I15" s="128"/>
      <c r="J15" s="156">
        <f t="shared" si="1"/>
        <v>0</v>
      </c>
      <c r="K15" s="144">
        <f t="shared" si="2"/>
        <v>0</v>
      </c>
      <c r="L15" s="150"/>
      <c r="N15" s="129"/>
    </row>
    <row r="16" spans="1:12" s="101" customFormat="1" ht="13.5">
      <c r="A16" s="511" t="s">
        <v>33</v>
      </c>
      <c r="B16" s="512"/>
      <c r="C16" s="512"/>
      <c r="D16" s="125"/>
      <c r="E16" s="240"/>
      <c r="F16" s="154">
        <f t="shared" si="0"/>
        <v>0</v>
      </c>
      <c r="G16" s="145"/>
      <c r="H16" s="127"/>
      <c r="I16" s="128"/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511" t="s">
        <v>34</v>
      </c>
      <c r="B17" s="512"/>
      <c r="C17" s="512"/>
      <c r="D17" s="125"/>
      <c r="E17" s="240"/>
      <c r="F17" s="154">
        <f t="shared" si="0"/>
        <v>0</v>
      </c>
      <c r="G17" s="145"/>
      <c r="H17" s="127"/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8"/>
      <c r="D18" s="125">
        <v>202</v>
      </c>
      <c r="E18" s="240">
        <v>300</v>
      </c>
      <c r="F18" s="154">
        <f t="shared" si="0"/>
        <v>98</v>
      </c>
      <c r="G18" s="145">
        <f>E18/D18</f>
        <v>1.4851485148514851</v>
      </c>
      <c r="H18" s="127">
        <v>230</v>
      </c>
      <c r="I18" s="128"/>
      <c r="J18" s="156">
        <f t="shared" si="1"/>
        <v>230</v>
      </c>
      <c r="K18" s="144">
        <f t="shared" si="2"/>
        <v>-70</v>
      </c>
      <c r="L18" s="150">
        <f t="shared" si="3"/>
        <v>0.7666666666666667</v>
      </c>
    </row>
    <row r="19" spans="1:12" s="101" customFormat="1" ht="13.5">
      <c r="A19" s="511" t="s">
        <v>36</v>
      </c>
      <c r="B19" s="512"/>
      <c r="C19" s="512"/>
      <c r="D19" s="125"/>
      <c r="E19" s="240"/>
      <c r="F19" s="154">
        <f t="shared" si="0"/>
        <v>0</v>
      </c>
      <c r="G19" s="145"/>
      <c r="H19" s="127"/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2"/>
      <c r="D20" s="125"/>
      <c r="E20" s="241"/>
      <c r="F20" s="154">
        <f t="shared" si="0"/>
        <v>0</v>
      </c>
      <c r="G20" s="145"/>
      <c r="H20" s="122"/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1"/>
      <c r="D21" s="125"/>
      <c r="E21" s="240"/>
      <c r="F21" s="154">
        <f t="shared" si="0"/>
        <v>0</v>
      </c>
      <c r="G21" s="145"/>
      <c r="H21" s="127"/>
      <c r="I21" s="128"/>
      <c r="J21" s="156">
        <f t="shared" si="1"/>
        <v>0</v>
      </c>
      <c r="K21" s="144">
        <f t="shared" si="2"/>
        <v>0</v>
      </c>
      <c r="L21" s="150"/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1"/>
      <c r="D22" s="125"/>
      <c r="E22" s="240">
        <v>100</v>
      </c>
      <c r="F22" s="154">
        <f t="shared" si="0"/>
        <v>100</v>
      </c>
      <c r="G22" s="145"/>
      <c r="H22" s="127"/>
      <c r="I22" s="128"/>
      <c r="J22" s="156">
        <f t="shared" si="1"/>
        <v>0</v>
      </c>
      <c r="K22" s="144">
        <f t="shared" si="2"/>
        <v>-100</v>
      </c>
      <c r="L22" s="150">
        <f t="shared" si="3"/>
        <v>0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1"/>
      <c r="D23" s="125">
        <v>202</v>
      </c>
      <c r="E23" s="240">
        <v>200</v>
      </c>
      <c r="F23" s="154">
        <f t="shared" si="0"/>
        <v>-2</v>
      </c>
      <c r="G23" s="145">
        <f>E23/D23</f>
        <v>0.9900990099009901</v>
      </c>
      <c r="H23" s="366">
        <v>230</v>
      </c>
      <c r="I23" s="128"/>
      <c r="J23" s="156">
        <f t="shared" si="1"/>
        <v>230</v>
      </c>
      <c r="K23" s="144">
        <f t="shared" si="2"/>
        <v>30</v>
      </c>
      <c r="L23" s="150">
        <f t="shared" si="3"/>
        <v>1.15</v>
      </c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1"/>
      <c r="D24" s="125"/>
      <c r="E24" s="240"/>
      <c r="F24" s="154">
        <f t="shared" si="0"/>
        <v>0</v>
      </c>
      <c r="G24" s="145"/>
      <c r="H24" s="366"/>
      <c r="I24" s="128"/>
      <c r="J24" s="156">
        <f t="shared" si="1"/>
        <v>0</v>
      </c>
      <c r="K24" s="144">
        <f t="shared" si="2"/>
        <v>0</v>
      </c>
      <c r="L24" s="150"/>
    </row>
    <row r="25" spans="1:12" s="101" customFormat="1" ht="13.5">
      <c r="A25" s="520" t="s">
        <v>163</v>
      </c>
      <c r="B25" s="521"/>
      <c r="C25" s="521"/>
      <c r="D25" s="125"/>
      <c r="E25" s="240"/>
      <c r="F25" s="154">
        <f t="shared" si="0"/>
        <v>0</v>
      </c>
      <c r="G25" s="145"/>
      <c r="H25" s="366"/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8"/>
      <c r="D26" s="125"/>
      <c r="E26" s="240"/>
      <c r="F26" s="154">
        <f t="shared" si="0"/>
        <v>0</v>
      </c>
      <c r="G26" s="145"/>
      <c r="H26" s="366"/>
      <c r="I26" s="128"/>
      <c r="J26" s="156">
        <f t="shared" si="1"/>
        <v>0</v>
      </c>
      <c r="K26" s="144">
        <f t="shared" si="2"/>
        <v>0</v>
      </c>
      <c r="L26" s="150"/>
    </row>
    <row r="27" spans="1:12" s="101" customFormat="1" ht="13.5">
      <c r="A27" s="511" t="s">
        <v>40</v>
      </c>
      <c r="B27" s="512"/>
      <c r="C27" s="512"/>
      <c r="D27" s="125"/>
      <c r="E27" s="240"/>
      <c r="F27" s="154">
        <f t="shared" si="0"/>
        <v>0</v>
      </c>
      <c r="G27" s="145"/>
      <c r="H27" s="366"/>
      <c r="I27" s="128"/>
      <c r="J27" s="156">
        <f t="shared" si="1"/>
        <v>0</v>
      </c>
      <c r="K27" s="144">
        <f t="shared" si="2"/>
        <v>0</v>
      </c>
      <c r="L27" s="150"/>
    </row>
    <row r="28" spans="1:12" s="101" customFormat="1" ht="13.5">
      <c r="A28" s="511" t="s">
        <v>41</v>
      </c>
      <c r="B28" s="512"/>
      <c r="C28" s="512"/>
      <c r="D28" s="125"/>
      <c r="E28" s="240"/>
      <c r="F28" s="154">
        <f t="shared" si="0"/>
        <v>0</v>
      </c>
      <c r="G28" s="145"/>
      <c r="H28" s="366"/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8"/>
      <c r="D29" s="125">
        <v>3261</v>
      </c>
      <c r="E29" s="241">
        <v>3261</v>
      </c>
      <c r="F29" s="154">
        <f t="shared" si="0"/>
        <v>0</v>
      </c>
      <c r="G29" s="145">
        <f>E29/D29</f>
        <v>1</v>
      </c>
      <c r="H29" s="367">
        <v>3466</v>
      </c>
      <c r="I29" s="123"/>
      <c r="J29" s="156">
        <f t="shared" si="1"/>
        <v>3466</v>
      </c>
      <c r="K29" s="144">
        <f t="shared" si="2"/>
        <v>205</v>
      </c>
      <c r="L29" s="150">
        <f t="shared" si="3"/>
        <v>1.0628641521005826</v>
      </c>
    </row>
    <row r="30" spans="1:14" s="101" customFormat="1" ht="13.5">
      <c r="A30" s="514" t="s">
        <v>164</v>
      </c>
      <c r="B30" s="515"/>
      <c r="C30" s="515"/>
      <c r="D30" s="131">
        <v>711</v>
      </c>
      <c r="E30" s="242">
        <v>711</v>
      </c>
      <c r="F30" s="155">
        <f t="shared" si="0"/>
        <v>0</v>
      </c>
      <c r="G30" s="147">
        <f>E30/D30</f>
        <v>1</v>
      </c>
      <c r="H30" s="363">
        <v>711</v>
      </c>
      <c r="I30" s="133"/>
      <c r="J30" s="157">
        <f t="shared" si="1"/>
        <v>711</v>
      </c>
      <c r="K30" s="146">
        <f t="shared" si="2"/>
        <v>0</v>
      </c>
      <c r="L30" s="151">
        <f t="shared" si="3"/>
        <v>1</v>
      </c>
      <c r="N30" s="129"/>
    </row>
    <row r="31" spans="1:12" s="101" customFormat="1" ht="13.5">
      <c r="A31" s="514" t="s">
        <v>43</v>
      </c>
      <c r="B31" s="515"/>
      <c r="C31" s="515"/>
      <c r="D31" s="125">
        <v>2550</v>
      </c>
      <c r="E31" s="240">
        <v>2550</v>
      </c>
      <c r="F31" s="154">
        <f t="shared" si="0"/>
        <v>0</v>
      </c>
      <c r="G31" s="145">
        <f>E31/D31</f>
        <v>1</v>
      </c>
      <c r="H31" s="127">
        <v>2455</v>
      </c>
      <c r="I31" s="128"/>
      <c r="J31" s="156">
        <f t="shared" si="1"/>
        <v>2455</v>
      </c>
      <c r="K31" s="144">
        <f t="shared" si="2"/>
        <v>-95</v>
      </c>
      <c r="L31" s="150">
        <f t="shared" si="3"/>
        <v>0.9627450980392157</v>
      </c>
    </row>
    <row r="32" spans="1:12" s="101" customFormat="1" ht="13.5">
      <c r="A32" s="511" t="s">
        <v>44</v>
      </c>
      <c r="B32" s="512"/>
      <c r="C32" s="512"/>
      <c r="D32" s="138"/>
      <c r="E32" s="241"/>
      <c r="F32" s="154">
        <f t="shared" si="0"/>
        <v>0</v>
      </c>
      <c r="G32" s="145"/>
      <c r="H32" s="122"/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514" t="s">
        <v>45</v>
      </c>
      <c r="B33" s="515"/>
      <c r="C33" s="515"/>
      <c r="D33" s="153"/>
      <c r="E33" s="243"/>
      <c r="F33" s="154">
        <f t="shared" si="0"/>
        <v>0</v>
      </c>
      <c r="G33" s="145"/>
      <c r="H33" s="158"/>
      <c r="I33" s="159"/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523" t="s">
        <v>46</v>
      </c>
      <c r="B34" s="524"/>
      <c r="C34" s="524"/>
      <c r="D34" s="171">
        <v>10994</v>
      </c>
      <c r="E34" s="244">
        <v>11085</v>
      </c>
      <c r="F34" s="173">
        <f t="shared" si="0"/>
        <v>91</v>
      </c>
      <c r="G34" s="174">
        <f>E34/D34</f>
        <v>1.008277242132072</v>
      </c>
      <c r="H34" s="172">
        <v>11216</v>
      </c>
      <c r="I34" s="172"/>
      <c r="J34" s="175">
        <f t="shared" si="1"/>
        <v>11216</v>
      </c>
      <c r="K34" s="173">
        <f t="shared" si="2"/>
        <v>131</v>
      </c>
      <c r="L34" s="176">
        <f t="shared" si="3"/>
        <v>1.0118177717636445</v>
      </c>
    </row>
    <row r="35" spans="1:12" s="101" customFormat="1" ht="13.5">
      <c r="A35" s="526" t="s">
        <v>47</v>
      </c>
      <c r="B35" s="527"/>
      <c r="C35" s="527"/>
      <c r="D35" s="135">
        <v>2170</v>
      </c>
      <c r="E35" s="136">
        <v>1778</v>
      </c>
      <c r="F35" s="148">
        <f t="shared" si="0"/>
        <v>-392</v>
      </c>
      <c r="G35" s="149">
        <f>E35/D35</f>
        <v>0.8193548387096774</v>
      </c>
      <c r="H35" s="137">
        <v>1875</v>
      </c>
      <c r="I35" s="137"/>
      <c r="J35" s="134">
        <f t="shared" si="1"/>
        <v>1875</v>
      </c>
      <c r="K35" s="148">
        <f t="shared" si="2"/>
        <v>97</v>
      </c>
      <c r="L35" s="152">
        <f t="shared" si="3"/>
        <v>1.0545556805399325</v>
      </c>
    </row>
    <row r="36" spans="1:12" s="101" customFormat="1" ht="13.5">
      <c r="A36" s="514" t="s">
        <v>48</v>
      </c>
      <c r="B36" s="515"/>
      <c r="C36" s="515"/>
      <c r="D36" s="125">
        <v>1232</v>
      </c>
      <c r="E36" s="126">
        <v>1250</v>
      </c>
      <c r="F36" s="144">
        <f t="shared" si="0"/>
        <v>18</v>
      </c>
      <c r="G36" s="145">
        <f>E36/D36</f>
        <v>1.0146103896103895</v>
      </c>
      <c r="H36" s="127">
        <v>1300</v>
      </c>
      <c r="I36" s="128"/>
      <c r="J36" s="124">
        <f t="shared" si="1"/>
        <v>1300</v>
      </c>
      <c r="K36" s="144">
        <f t="shared" si="2"/>
        <v>50</v>
      </c>
      <c r="L36" s="150">
        <f t="shared" si="3"/>
        <v>1.04</v>
      </c>
    </row>
    <row r="37" spans="1:12" s="101" customFormat="1" ht="13.5">
      <c r="A37" s="514" t="s">
        <v>49</v>
      </c>
      <c r="B37" s="515"/>
      <c r="C37" s="515"/>
      <c r="D37" s="125">
        <v>82</v>
      </c>
      <c r="E37" s="126">
        <v>96</v>
      </c>
      <c r="F37" s="144">
        <f t="shared" si="0"/>
        <v>14</v>
      </c>
      <c r="G37" s="145">
        <f>E37/D37</f>
        <v>1.170731707317073</v>
      </c>
      <c r="H37" s="127">
        <v>80</v>
      </c>
      <c r="I37" s="128"/>
      <c r="J37" s="124">
        <f t="shared" si="1"/>
        <v>80</v>
      </c>
      <c r="K37" s="144">
        <f t="shared" si="2"/>
        <v>-16</v>
      </c>
      <c r="L37" s="150">
        <f t="shared" si="3"/>
        <v>0.8333333333333334</v>
      </c>
    </row>
    <row r="38" spans="1:12" s="101" customFormat="1" ht="13.5">
      <c r="A38" s="514" t="s">
        <v>50</v>
      </c>
      <c r="B38" s="515"/>
      <c r="C38" s="515"/>
      <c r="D38" s="138"/>
      <c r="E38" s="130">
        <v>3</v>
      </c>
      <c r="F38" s="144">
        <f t="shared" si="0"/>
        <v>3</v>
      </c>
      <c r="G38" s="145"/>
      <c r="H38" s="122">
        <v>50</v>
      </c>
      <c r="I38" s="123"/>
      <c r="J38" s="124">
        <f t="shared" si="1"/>
        <v>50</v>
      </c>
      <c r="K38" s="144">
        <f t="shared" si="2"/>
        <v>47</v>
      </c>
      <c r="L38" s="150">
        <f t="shared" si="3"/>
        <v>16.666666666666668</v>
      </c>
    </row>
    <row r="39" spans="1:12" s="101" customFormat="1" ht="13.5">
      <c r="A39" s="514" t="s">
        <v>51</v>
      </c>
      <c r="B39" s="515"/>
      <c r="C39" s="515"/>
      <c r="D39" s="125"/>
      <c r="E39" s="126">
        <v>2</v>
      </c>
      <c r="F39" s="144">
        <f t="shared" si="0"/>
        <v>2</v>
      </c>
      <c r="G39" s="145"/>
      <c r="H39" s="127">
        <v>5</v>
      </c>
      <c r="I39" s="128"/>
      <c r="J39" s="124">
        <f t="shared" si="1"/>
        <v>5</v>
      </c>
      <c r="K39" s="144">
        <f t="shared" si="2"/>
        <v>3</v>
      </c>
      <c r="L39" s="150">
        <f t="shared" si="3"/>
        <v>2.5</v>
      </c>
    </row>
    <row r="40" spans="1:12" s="101" customFormat="1" ht="13.5">
      <c r="A40" s="514" t="s">
        <v>52</v>
      </c>
      <c r="B40" s="515"/>
      <c r="C40" s="515"/>
      <c r="D40" s="125"/>
      <c r="E40" s="126">
        <v>3</v>
      </c>
      <c r="F40" s="144">
        <f t="shared" si="0"/>
        <v>3</v>
      </c>
      <c r="G40" s="145"/>
      <c r="H40" s="127">
        <v>10</v>
      </c>
      <c r="I40" s="128"/>
      <c r="J40" s="124">
        <f t="shared" si="1"/>
        <v>10</v>
      </c>
      <c r="K40" s="144">
        <f t="shared" si="2"/>
        <v>7</v>
      </c>
      <c r="L40" s="150">
        <f t="shared" si="3"/>
        <v>3.3333333333333335</v>
      </c>
    </row>
    <row r="41" spans="1:14" s="101" customFormat="1" ht="13.5">
      <c r="A41" s="514" t="s">
        <v>53</v>
      </c>
      <c r="B41" s="515"/>
      <c r="C41" s="515"/>
      <c r="D41" s="125"/>
      <c r="E41" s="126">
        <v>28</v>
      </c>
      <c r="F41" s="144">
        <f t="shared" si="0"/>
        <v>28</v>
      </c>
      <c r="G41" s="145"/>
      <c r="H41" s="127">
        <v>30</v>
      </c>
      <c r="I41" s="128"/>
      <c r="J41" s="124">
        <f t="shared" si="1"/>
        <v>30</v>
      </c>
      <c r="K41" s="144">
        <f t="shared" si="2"/>
        <v>2</v>
      </c>
      <c r="L41" s="150">
        <f t="shared" si="3"/>
        <v>1.0714285714285714</v>
      </c>
      <c r="N41" s="129"/>
    </row>
    <row r="42" spans="1:12" s="101" customFormat="1" ht="13.5">
      <c r="A42" s="514" t="s">
        <v>54</v>
      </c>
      <c r="B42" s="515"/>
      <c r="C42" s="515"/>
      <c r="D42" s="125"/>
      <c r="E42" s="126">
        <v>140</v>
      </c>
      <c r="F42" s="144">
        <f t="shared" si="0"/>
        <v>140</v>
      </c>
      <c r="G42" s="145"/>
      <c r="H42" s="127">
        <v>150</v>
      </c>
      <c r="I42" s="128"/>
      <c r="J42" s="124">
        <f t="shared" si="1"/>
        <v>150</v>
      </c>
      <c r="K42" s="144">
        <f t="shared" si="2"/>
        <v>10</v>
      </c>
      <c r="L42" s="150">
        <f t="shared" si="3"/>
        <v>1.0714285714285714</v>
      </c>
    </row>
    <row r="43" spans="1:14" s="101" customFormat="1" ht="13.5">
      <c r="A43" s="514" t="s">
        <v>166</v>
      </c>
      <c r="B43" s="515"/>
      <c r="C43" s="515"/>
      <c r="D43" s="125"/>
      <c r="E43" s="126"/>
      <c r="F43" s="144">
        <f t="shared" si="0"/>
        <v>0</v>
      </c>
      <c r="G43" s="145"/>
      <c r="H43" s="127"/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5"/>
      <c r="D44" s="125"/>
      <c r="E44" s="126"/>
      <c r="F44" s="144">
        <f t="shared" si="0"/>
        <v>0</v>
      </c>
      <c r="G44" s="145"/>
      <c r="H44" s="127">
        <v>50</v>
      </c>
      <c r="I44" s="128"/>
      <c r="J44" s="124">
        <f t="shared" si="1"/>
        <v>50</v>
      </c>
      <c r="K44" s="144">
        <f t="shared" si="2"/>
        <v>50</v>
      </c>
      <c r="L44" s="150"/>
    </row>
    <row r="45" spans="1:12" s="101" customFormat="1" ht="13.5">
      <c r="A45" s="514" t="s">
        <v>55</v>
      </c>
      <c r="B45" s="515"/>
      <c r="C45" s="515"/>
      <c r="D45" s="125">
        <v>856</v>
      </c>
      <c r="E45" s="126">
        <v>256</v>
      </c>
      <c r="F45" s="144">
        <f t="shared" si="0"/>
        <v>-600</v>
      </c>
      <c r="G45" s="145">
        <f>E45/D45</f>
        <v>0.29906542056074764</v>
      </c>
      <c r="H45" s="127">
        <v>200</v>
      </c>
      <c r="I45" s="128"/>
      <c r="J45" s="124">
        <f t="shared" si="1"/>
        <v>200</v>
      </c>
      <c r="K45" s="144">
        <f t="shared" si="2"/>
        <v>-56</v>
      </c>
      <c r="L45" s="150">
        <f t="shared" si="3"/>
        <v>0.78125</v>
      </c>
    </row>
    <row r="46" spans="1:14" s="101" customFormat="1" ht="13.5">
      <c r="A46" s="526" t="s">
        <v>56</v>
      </c>
      <c r="B46" s="527"/>
      <c r="C46" s="527"/>
      <c r="D46" s="125">
        <v>949</v>
      </c>
      <c r="E46" s="126">
        <v>1016</v>
      </c>
      <c r="F46" s="144">
        <f t="shared" si="0"/>
        <v>67</v>
      </c>
      <c r="G46" s="145">
        <f>E46/D46</f>
        <v>1.0706006322444679</v>
      </c>
      <c r="H46" s="127">
        <v>1030</v>
      </c>
      <c r="I46" s="127"/>
      <c r="J46" s="124">
        <f t="shared" si="1"/>
        <v>1030</v>
      </c>
      <c r="K46" s="144">
        <f t="shared" si="2"/>
        <v>14</v>
      </c>
      <c r="L46" s="150">
        <f t="shared" si="3"/>
        <v>1.013779527559055</v>
      </c>
      <c r="N46" s="129"/>
    </row>
    <row r="47" spans="1:12" s="101" customFormat="1" ht="13.5">
      <c r="A47" s="514" t="s">
        <v>57</v>
      </c>
      <c r="B47" s="515"/>
      <c r="C47" s="515"/>
      <c r="D47" s="125">
        <v>851</v>
      </c>
      <c r="E47" s="126">
        <v>900</v>
      </c>
      <c r="F47" s="144">
        <f t="shared" si="0"/>
        <v>49</v>
      </c>
      <c r="G47" s="145">
        <f>E47/D47</f>
        <v>1.0575793184488838</v>
      </c>
      <c r="H47" s="127">
        <v>910</v>
      </c>
      <c r="I47" s="128"/>
      <c r="J47" s="124">
        <f t="shared" si="1"/>
        <v>910</v>
      </c>
      <c r="K47" s="144">
        <f t="shared" si="2"/>
        <v>10</v>
      </c>
      <c r="L47" s="150">
        <f t="shared" si="3"/>
        <v>1.011111111111111</v>
      </c>
    </row>
    <row r="48" spans="1:12" s="101" customFormat="1" ht="13.5">
      <c r="A48" s="514" t="s">
        <v>58</v>
      </c>
      <c r="B48" s="515"/>
      <c r="C48" s="515"/>
      <c r="D48" s="125"/>
      <c r="E48" s="126"/>
      <c r="F48" s="144">
        <f t="shared" si="0"/>
        <v>0</v>
      </c>
      <c r="G48" s="145"/>
      <c r="H48" s="127"/>
      <c r="I48" s="128"/>
      <c r="J48" s="124">
        <f t="shared" si="1"/>
        <v>0</v>
      </c>
      <c r="K48" s="144">
        <f t="shared" si="2"/>
        <v>0</v>
      </c>
      <c r="L48" s="150"/>
    </row>
    <row r="49" spans="1:12" s="101" customFormat="1" ht="13.5">
      <c r="A49" s="514" t="s">
        <v>59</v>
      </c>
      <c r="B49" s="515"/>
      <c r="C49" s="515"/>
      <c r="D49" s="125">
        <v>98</v>
      </c>
      <c r="E49" s="126">
        <v>116</v>
      </c>
      <c r="F49" s="144">
        <f t="shared" si="0"/>
        <v>18</v>
      </c>
      <c r="G49" s="145">
        <f>E49/D49</f>
        <v>1.183673469387755</v>
      </c>
      <c r="H49" s="127">
        <v>120</v>
      </c>
      <c r="I49" s="128"/>
      <c r="J49" s="124">
        <f t="shared" si="1"/>
        <v>120</v>
      </c>
      <c r="K49" s="144">
        <f t="shared" si="2"/>
        <v>4</v>
      </c>
      <c r="L49" s="150">
        <f t="shared" si="3"/>
        <v>1.0344827586206897</v>
      </c>
    </row>
    <row r="50" spans="1:12" s="101" customFormat="1" ht="13.5">
      <c r="A50" s="514" t="s">
        <v>168</v>
      </c>
      <c r="B50" s="515"/>
      <c r="C50" s="515"/>
      <c r="D50" s="125"/>
      <c r="E50" s="126"/>
      <c r="F50" s="144">
        <f t="shared" si="0"/>
        <v>0</v>
      </c>
      <c r="G50" s="145"/>
      <c r="H50" s="127"/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7"/>
      <c r="D51" s="125"/>
      <c r="E51" s="126"/>
      <c r="F51" s="144">
        <f t="shared" si="0"/>
        <v>0</v>
      </c>
      <c r="G51" s="145"/>
      <c r="H51" s="127"/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7"/>
      <c r="D52" s="125"/>
      <c r="E52" s="126"/>
      <c r="F52" s="144">
        <f t="shared" si="0"/>
        <v>0</v>
      </c>
      <c r="G52" s="145"/>
      <c r="H52" s="127"/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7"/>
      <c r="D53" s="125">
        <v>399</v>
      </c>
      <c r="E53" s="126">
        <v>522</v>
      </c>
      <c r="F53" s="144">
        <f t="shared" si="0"/>
        <v>123</v>
      </c>
      <c r="G53" s="145">
        <f aca="true" t="shared" si="4" ref="G53:G60">E53/D53</f>
        <v>1.3082706766917294</v>
      </c>
      <c r="H53" s="127">
        <v>600</v>
      </c>
      <c r="I53" s="128"/>
      <c r="J53" s="124">
        <f t="shared" si="1"/>
        <v>600</v>
      </c>
      <c r="K53" s="144">
        <f t="shared" si="2"/>
        <v>78</v>
      </c>
      <c r="L53" s="150">
        <f t="shared" si="3"/>
        <v>1.1494252873563218</v>
      </c>
    </row>
    <row r="54" spans="1:12" s="101" customFormat="1" ht="13.5">
      <c r="A54" s="529" t="s">
        <v>63</v>
      </c>
      <c r="B54" s="530"/>
      <c r="C54" s="530"/>
      <c r="D54" s="125">
        <v>230</v>
      </c>
      <c r="E54" s="126">
        <v>302</v>
      </c>
      <c r="F54" s="144">
        <f t="shared" si="0"/>
        <v>72</v>
      </c>
      <c r="G54" s="145">
        <f t="shared" si="4"/>
        <v>1.3130434782608695</v>
      </c>
      <c r="H54" s="127"/>
      <c r="I54" s="128"/>
      <c r="J54" s="124">
        <f t="shared" si="1"/>
        <v>0</v>
      </c>
      <c r="K54" s="144">
        <f t="shared" si="2"/>
        <v>-302</v>
      </c>
      <c r="L54" s="150">
        <f t="shared" si="3"/>
        <v>0</v>
      </c>
    </row>
    <row r="55" spans="1:12" s="101" customFormat="1" ht="13.5">
      <c r="A55" s="529" t="s">
        <v>169</v>
      </c>
      <c r="B55" s="530"/>
      <c r="C55" s="530"/>
      <c r="D55" s="125">
        <v>116</v>
      </c>
      <c r="E55" s="126">
        <v>220</v>
      </c>
      <c r="F55" s="144">
        <f t="shared" si="0"/>
        <v>104</v>
      </c>
      <c r="G55" s="145">
        <f t="shared" si="4"/>
        <v>1.896551724137931</v>
      </c>
      <c r="H55" s="127"/>
      <c r="I55" s="128"/>
      <c r="J55" s="124">
        <f t="shared" si="1"/>
        <v>0</v>
      </c>
      <c r="K55" s="144">
        <f t="shared" si="2"/>
        <v>-220</v>
      </c>
      <c r="L55" s="150">
        <f t="shared" si="3"/>
        <v>0</v>
      </c>
    </row>
    <row r="56" spans="1:12" s="101" customFormat="1" ht="13.5">
      <c r="A56" s="529" t="s">
        <v>133</v>
      </c>
      <c r="B56" s="530"/>
      <c r="C56" s="530"/>
      <c r="D56" s="125">
        <v>53</v>
      </c>
      <c r="E56" s="126"/>
      <c r="F56" s="144">
        <f t="shared" si="0"/>
        <v>-53</v>
      </c>
      <c r="G56" s="145">
        <f t="shared" si="4"/>
        <v>0</v>
      </c>
      <c r="H56" s="127"/>
      <c r="I56" s="128"/>
      <c r="J56" s="124">
        <f t="shared" si="1"/>
        <v>0</v>
      </c>
      <c r="K56" s="144">
        <f t="shared" si="2"/>
        <v>0</v>
      </c>
      <c r="L56" s="150"/>
    </row>
    <row r="57" spans="1:12" s="101" customFormat="1" ht="13.5">
      <c r="A57" s="526" t="s">
        <v>64</v>
      </c>
      <c r="B57" s="527"/>
      <c r="C57" s="527"/>
      <c r="D57" s="125">
        <v>49</v>
      </c>
      <c r="E57" s="126">
        <v>58</v>
      </c>
      <c r="F57" s="144">
        <f t="shared" si="0"/>
        <v>9</v>
      </c>
      <c r="G57" s="145">
        <f t="shared" si="4"/>
        <v>1.183673469387755</v>
      </c>
      <c r="H57" s="127">
        <v>100</v>
      </c>
      <c r="I57" s="128"/>
      <c r="J57" s="124">
        <f t="shared" si="1"/>
        <v>100</v>
      </c>
      <c r="K57" s="144">
        <f t="shared" si="2"/>
        <v>42</v>
      </c>
      <c r="L57" s="150">
        <f t="shared" si="3"/>
        <v>1.7241379310344827</v>
      </c>
    </row>
    <row r="58" spans="1:12" s="101" customFormat="1" ht="13.5">
      <c r="A58" s="526" t="s">
        <v>65</v>
      </c>
      <c r="B58" s="527"/>
      <c r="C58" s="527"/>
      <c r="D58" s="125">
        <v>8</v>
      </c>
      <c r="E58" s="126">
        <v>13</v>
      </c>
      <c r="F58" s="144">
        <f t="shared" si="0"/>
        <v>5</v>
      </c>
      <c r="G58" s="145">
        <f t="shared" si="4"/>
        <v>1.625</v>
      </c>
      <c r="H58" s="127">
        <v>17</v>
      </c>
      <c r="I58" s="128"/>
      <c r="J58" s="124">
        <f t="shared" si="1"/>
        <v>17</v>
      </c>
      <c r="K58" s="144">
        <f t="shared" si="2"/>
        <v>4</v>
      </c>
      <c r="L58" s="150">
        <f t="shared" si="3"/>
        <v>1.3076923076923077</v>
      </c>
    </row>
    <row r="59" spans="1:14" s="101" customFormat="1" ht="13.5">
      <c r="A59" s="526" t="s">
        <v>66</v>
      </c>
      <c r="B59" s="527"/>
      <c r="C59" s="527"/>
      <c r="D59" s="125">
        <v>480</v>
      </c>
      <c r="E59" s="126">
        <v>474</v>
      </c>
      <c r="F59" s="144">
        <f t="shared" si="0"/>
        <v>-6</v>
      </c>
      <c r="G59" s="145">
        <f t="shared" si="4"/>
        <v>0.9875</v>
      </c>
      <c r="H59" s="127">
        <v>490</v>
      </c>
      <c r="I59" s="128"/>
      <c r="J59" s="124">
        <f t="shared" si="1"/>
        <v>490</v>
      </c>
      <c r="K59" s="144">
        <f t="shared" si="2"/>
        <v>16</v>
      </c>
      <c r="L59" s="150">
        <f t="shared" si="3"/>
        <v>1.0337552742616034</v>
      </c>
      <c r="N59" s="129"/>
    </row>
    <row r="60" spans="1:12" s="101" customFormat="1" ht="13.5">
      <c r="A60" s="514" t="s">
        <v>67</v>
      </c>
      <c r="B60" s="515"/>
      <c r="C60" s="515"/>
      <c r="D60" s="125">
        <v>107</v>
      </c>
      <c r="E60" s="126">
        <v>107</v>
      </c>
      <c r="F60" s="144">
        <f t="shared" si="0"/>
        <v>0</v>
      </c>
      <c r="G60" s="145">
        <f t="shared" si="4"/>
        <v>1</v>
      </c>
      <c r="H60" s="127">
        <v>110</v>
      </c>
      <c r="I60" s="128"/>
      <c r="J60" s="124">
        <f t="shared" si="1"/>
        <v>110</v>
      </c>
      <c r="K60" s="144">
        <f t="shared" si="2"/>
        <v>3</v>
      </c>
      <c r="L60" s="150">
        <f t="shared" si="3"/>
        <v>1.02803738317757</v>
      </c>
    </row>
    <row r="61" spans="1:12" s="101" customFormat="1" ht="13.5">
      <c r="A61" s="514" t="s">
        <v>68</v>
      </c>
      <c r="B61" s="515"/>
      <c r="C61" s="515"/>
      <c r="D61" s="125"/>
      <c r="E61" s="126"/>
      <c r="F61" s="144">
        <f t="shared" si="0"/>
        <v>0</v>
      </c>
      <c r="G61" s="145"/>
      <c r="H61" s="127"/>
      <c r="I61" s="128"/>
      <c r="J61" s="124">
        <f t="shared" si="1"/>
        <v>0</v>
      </c>
      <c r="K61" s="144">
        <f t="shared" si="2"/>
        <v>0</v>
      </c>
      <c r="L61" s="150"/>
    </row>
    <row r="62" spans="1:12" s="101" customFormat="1" ht="13.5">
      <c r="A62" s="514" t="s">
        <v>69</v>
      </c>
      <c r="B62" s="515"/>
      <c r="C62" s="515"/>
      <c r="D62" s="125"/>
      <c r="E62" s="126"/>
      <c r="F62" s="144">
        <f t="shared" si="0"/>
        <v>0</v>
      </c>
      <c r="G62" s="145"/>
      <c r="H62" s="127"/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5"/>
      <c r="D63" s="125"/>
      <c r="E63" s="126"/>
      <c r="F63" s="144">
        <f t="shared" si="0"/>
        <v>0</v>
      </c>
      <c r="G63" s="145"/>
      <c r="H63" s="127"/>
      <c r="I63" s="128"/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514" t="s">
        <v>71</v>
      </c>
      <c r="B64" s="515"/>
      <c r="C64" s="515"/>
      <c r="D64" s="125"/>
      <c r="E64" s="126">
        <v>9</v>
      </c>
      <c r="F64" s="144">
        <f t="shared" si="0"/>
        <v>9</v>
      </c>
      <c r="G64" s="145"/>
      <c r="H64" s="127"/>
      <c r="I64" s="128"/>
      <c r="J64" s="124">
        <f t="shared" si="1"/>
        <v>0</v>
      </c>
      <c r="K64" s="144">
        <f t="shared" si="2"/>
        <v>-9</v>
      </c>
      <c r="L64" s="150">
        <f t="shared" si="3"/>
        <v>0</v>
      </c>
    </row>
    <row r="65" spans="1:12" s="101" customFormat="1" ht="13.5">
      <c r="A65" s="514" t="s">
        <v>170</v>
      </c>
      <c r="B65" s="515"/>
      <c r="C65" s="515"/>
      <c r="D65" s="125"/>
      <c r="E65" s="126">
        <v>41</v>
      </c>
      <c r="F65" s="144">
        <f t="shared" si="0"/>
        <v>41</v>
      </c>
      <c r="G65" s="145"/>
      <c r="H65" s="127">
        <v>50</v>
      </c>
      <c r="I65" s="128"/>
      <c r="J65" s="124">
        <f t="shared" si="1"/>
        <v>50</v>
      </c>
      <c r="K65" s="144">
        <f t="shared" si="2"/>
        <v>9</v>
      </c>
      <c r="L65" s="150">
        <f t="shared" si="3"/>
        <v>1.2195121951219512</v>
      </c>
    </row>
    <row r="66" spans="1:12" s="101" customFormat="1" ht="13.5">
      <c r="A66" s="514" t="s">
        <v>72</v>
      </c>
      <c r="B66" s="515"/>
      <c r="C66" s="515"/>
      <c r="D66" s="125"/>
      <c r="E66" s="126">
        <v>23</v>
      </c>
      <c r="F66" s="144">
        <f t="shared" si="0"/>
        <v>23</v>
      </c>
      <c r="G66" s="145"/>
      <c r="H66" s="127">
        <v>90</v>
      </c>
      <c r="I66" s="128"/>
      <c r="J66" s="124">
        <f t="shared" si="1"/>
        <v>90</v>
      </c>
      <c r="K66" s="144">
        <f t="shared" si="2"/>
        <v>67</v>
      </c>
      <c r="L66" s="150">
        <f t="shared" si="3"/>
        <v>3.9130434782608696</v>
      </c>
    </row>
    <row r="67" spans="1:12" s="101" customFormat="1" ht="13.5">
      <c r="A67" s="514" t="s">
        <v>73</v>
      </c>
      <c r="B67" s="515"/>
      <c r="C67" s="515"/>
      <c r="D67" s="125">
        <v>373</v>
      </c>
      <c r="E67" s="126">
        <v>180</v>
      </c>
      <c r="F67" s="144">
        <f t="shared" si="0"/>
        <v>-193</v>
      </c>
      <c r="G67" s="145">
        <f>E67/D67</f>
        <v>0.48257372654155495</v>
      </c>
      <c r="H67" s="127">
        <v>185</v>
      </c>
      <c r="I67" s="128"/>
      <c r="J67" s="124">
        <f t="shared" si="1"/>
        <v>185</v>
      </c>
      <c r="K67" s="144">
        <f t="shared" si="2"/>
        <v>5</v>
      </c>
      <c r="L67" s="150">
        <f t="shared" si="3"/>
        <v>1.0277777777777777</v>
      </c>
    </row>
    <row r="68" spans="1:12" s="101" customFormat="1" ht="13.5">
      <c r="A68" s="514" t="s">
        <v>171</v>
      </c>
      <c r="B68" s="515"/>
      <c r="C68" s="515"/>
      <c r="D68" s="125"/>
      <c r="E68" s="126"/>
      <c r="F68" s="144">
        <f t="shared" si="0"/>
        <v>0</v>
      </c>
      <c r="G68" s="145"/>
      <c r="H68" s="127"/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7"/>
      <c r="D69" s="125">
        <v>6287</v>
      </c>
      <c r="E69" s="126">
        <v>6449</v>
      </c>
      <c r="F69" s="144">
        <f t="shared" si="0"/>
        <v>162</v>
      </c>
      <c r="G69" s="145">
        <f aca="true" t="shared" si="5" ref="G69:G74">E69/D69</f>
        <v>1.025767456656593</v>
      </c>
      <c r="H69" s="127">
        <v>6500</v>
      </c>
      <c r="I69" s="128"/>
      <c r="J69" s="124">
        <f t="shared" si="1"/>
        <v>6500</v>
      </c>
      <c r="K69" s="144">
        <f t="shared" si="2"/>
        <v>51</v>
      </c>
      <c r="L69" s="150">
        <f t="shared" si="3"/>
        <v>1.0079082028221429</v>
      </c>
      <c r="N69" s="129"/>
    </row>
    <row r="70" spans="1:12" s="101" customFormat="1" ht="13.5">
      <c r="A70" s="514" t="s">
        <v>75</v>
      </c>
      <c r="B70" s="515"/>
      <c r="C70" s="515"/>
      <c r="D70" s="125">
        <v>4662</v>
      </c>
      <c r="E70" s="126">
        <v>4766</v>
      </c>
      <c r="F70" s="144">
        <f t="shared" si="0"/>
        <v>104</v>
      </c>
      <c r="G70" s="145">
        <f t="shared" si="5"/>
        <v>1.0223080223080223</v>
      </c>
      <c r="H70" s="127">
        <v>4700</v>
      </c>
      <c r="I70" s="128"/>
      <c r="J70" s="124">
        <f t="shared" si="1"/>
        <v>4700</v>
      </c>
      <c r="K70" s="144">
        <f t="shared" si="2"/>
        <v>-66</v>
      </c>
      <c r="L70" s="150">
        <f t="shared" si="3"/>
        <v>0.9861519093579522</v>
      </c>
    </row>
    <row r="71" spans="1:12" s="101" customFormat="1" ht="13.5">
      <c r="A71" s="514" t="s">
        <v>76</v>
      </c>
      <c r="B71" s="515"/>
      <c r="C71" s="515"/>
      <c r="D71" s="125">
        <v>4569</v>
      </c>
      <c r="E71" s="126">
        <v>4634</v>
      </c>
      <c r="F71" s="144">
        <f t="shared" si="0"/>
        <v>65</v>
      </c>
      <c r="G71" s="145">
        <f t="shared" si="5"/>
        <v>1.0142263077259794</v>
      </c>
      <c r="H71" s="127">
        <v>4700</v>
      </c>
      <c r="I71" s="128"/>
      <c r="J71" s="124">
        <f t="shared" si="1"/>
        <v>4700</v>
      </c>
      <c r="K71" s="144">
        <f t="shared" si="2"/>
        <v>66</v>
      </c>
      <c r="L71" s="150">
        <f t="shared" si="3"/>
        <v>1.0142425550280536</v>
      </c>
    </row>
    <row r="72" spans="1:12" s="101" customFormat="1" ht="13.5">
      <c r="A72" s="514" t="s">
        <v>172</v>
      </c>
      <c r="B72" s="515"/>
      <c r="C72" s="515"/>
      <c r="D72" s="125">
        <v>4570</v>
      </c>
      <c r="E72" s="126">
        <v>4640</v>
      </c>
      <c r="F72" s="144">
        <f t="shared" si="0"/>
        <v>70</v>
      </c>
      <c r="G72" s="145">
        <f t="shared" si="5"/>
        <v>1.0153172866520788</v>
      </c>
      <c r="H72" s="127">
        <v>4700</v>
      </c>
      <c r="I72" s="128"/>
      <c r="J72" s="124">
        <f t="shared" si="1"/>
        <v>4700</v>
      </c>
      <c r="K72" s="144">
        <f t="shared" si="2"/>
        <v>60</v>
      </c>
      <c r="L72" s="150">
        <f t="shared" si="3"/>
        <v>1.0129310344827587</v>
      </c>
    </row>
    <row r="73" spans="1:14" s="101" customFormat="1" ht="13.5">
      <c r="A73" s="514" t="s">
        <v>77</v>
      </c>
      <c r="B73" s="515"/>
      <c r="C73" s="515"/>
      <c r="D73" s="125">
        <v>93</v>
      </c>
      <c r="E73" s="126">
        <v>118</v>
      </c>
      <c r="F73" s="144">
        <f t="shared" si="0"/>
        <v>25</v>
      </c>
      <c r="G73" s="145">
        <f t="shared" si="5"/>
        <v>1.2688172043010753</v>
      </c>
      <c r="H73" s="127">
        <v>100</v>
      </c>
      <c r="I73" s="128"/>
      <c r="J73" s="124">
        <f t="shared" si="1"/>
        <v>100</v>
      </c>
      <c r="K73" s="144">
        <f t="shared" si="2"/>
        <v>-18</v>
      </c>
      <c r="L73" s="150">
        <f t="shared" si="3"/>
        <v>0.847457627118644</v>
      </c>
      <c r="N73" s="129"/>
    </row>
    <row r="74" spans="1:12" s="101" customFormat="1" ht="13.5">
      <c r="A74" s="514" t="s">
        <v>78</v>
      </c>
      <c r="B74" s="515"/>
      <c r="C74" s="515"/>
      <c r="D74" s="125">
        <v>1625</v>
      </c>
      <c r="E74" s="126">
        <v>1683</v>
      </c>
      <c r="F74" s="144">
        <f t="shared" si="0"/>
        <v>58</v>
      </c>
      <c r="G74" s="145">
        <f t="shared" si="5"/>
        <v>1.0356923076923077</v>
      </c>
      <c r="H74" s="127">
        <v>1811</v>
      </c>
      <c r="I74" s="128"/>
      <c r="J74" s="124">
        <f t="shared" si="1"/>
        <v>1811</v>
      </c>
      <c r="K74" s="144">
        <f t="shared" si="2"/>
        <v>128</v>
      </c>
      <c r="L74" s="150">
        <f t="shared" si="3"/>
        <v>1.0760546642899584</v>
      </c>
    </row>
    <row r="75" spans="1:15" s="101" customFormat="1" ht="13.5">
      <c r="A75" s="526" t="s">
        <v>79</v>
      </c>
      <c r="B75" s="527"/>
      <c r="C75" s="527"/>
      <c r="D75" s="125"/>
      <c r="E75" s="126"/>
      <c r="F75" s="144">
        <f t="shared" si="0"/>
        <v>0</v>
      </c>
      <c r="G75" s="145"/>
      <c r="H75" s="127"/>
      <c r="I75" s="128"/>
      <c r="J75" s="124">
        <f t="shared" si="1"/>
        <v>0</v>
      </c>
      <c r="K75" s="144">
        <f t="shared" si="2"/>
        <v>0</v>
      </c>
      <c r="L75" s="150"/>
      <c r="N75" s="129"/>
      <c r="O75" s="139"/>
    </row>
    <row r="76" spans="1:12" s="101" customFormat="1" ht="13.5">
      <c r="A76" s="514" t="s">
        <v>80</v>
      </c>
      <c r="B76" s="515"/>
      <c r="C76" s="515"/>
      <c r="D76" s="125"/>
      <c r="E76" s="126"/>
      <c r="F76" s="144">
        <f aca="true" t="shared" si="6" ref="F76:F90">E76-D76</f>
        <v>0</v>
      </c>
      <c r="G76" s="145"/>
      <c r="H76" s="127"/>
      <c r="I76" s="128"/>
      <c r="J76" s="124">
        <f aca="true" t="shared" si="7" ref="J76:J90">H76+I76</f>
        <v>0</v>
      </c>
      <c r="K76" s="144">
        <f aca="true" t="shared" si="8" ref="K76:K90">J76-E76</f>
        <v>0</v>
      </c>
      <c r="L76" s="150"/>
    </row>
    <row r="77" spans="1:12" s="101" customFormat="1" ht="13.5">
      <c r="A77" s="526" t="s">
        <v>81</v>
      </c>
      <c r="B77" s="527"/>
      <c r="C77" s="527"/>
      <c r="D77" s="125">
        <v>62</v>
      </c>
      <c r="E77" s="126">
        <v>42</v>
      </c>
      <c r="F77" s="144">
        <f t="shared" si="6"/>
        <v>-20</v>
      </c>
      <c r="G77" s="145">
        <f>E77/D77</f>
        <v>0.6774193548387096</v>
      </c>
      <c r="H77" s="127"/>
      <c r="I77" s="128"/>
      <c r="J77" s="124">
        <f t="shared" si="7"/>
        <v>0</v>
      </c>
      <c r="K77" s="144">
        <f t="shared" si="8"/>
        <v>-42</v>
      </c>
      <c r="L77" s="150">
        <f aca="true" t="shared" si="9" ref="L77:L85">J77/E77</f>
        <v>0</v>
      </c>
    </row>
    <row r="78" spans="1:12" s="101" customFormat="1" ht="13.5">
      <c r="A78" s="514" t="s">
        <v>82</v>
      </c>
      <c r="B78" s="515"/>
      <c r="C78" s="515"/>
      <c r="D78" s="138"/>
      <c r="E78" s="130"/>
      <c r="F78" s="144">
        <f t="shared" si="6"/>
        <v>0</v>
      </c>
      <c r="G78" s="145"/>
      <c r="H78" s="122"/>
      <c r="I78" s="123"/>
      <c r="J78" s="124">
        <f t="shared" si="7"/>
        <v>0</v>
      </c>
      <c r="K78" s="144">
        <f t="shared" si="8"/>
        <v>0</v>
      </c>
      <c r="L78" s="150"/>
    </row>
    <row r="79" spans="1:12" s="101" customFormat="1" ht="13.5">
      <c r="A79" s="514" t="s">
        <v>83</v>
      </c>
      <c r="B79" s="515"/>
      <c r="C79" s="515"/>
      <c r="D79" s="125"/>
      <c r="E79" s="126"/>
      <c r="F79" s="144">
        <f t="shared" si="6"/>
        <v>0</v>
      </c>
      <c r="G79" s="145"/>
      <c r="H79" s="127"/>
      <c r="I79" s="128"/>
      <c r="J79" s="124">
        <f t="shared" si="7"/>
        <v>0</v>
      </c>
      <c r="K79" s="144">
        <f t="shared" si="8"/>
        <v>0</v>
      </c>
      <c r="L79" s="150"/>
    </row>
    <row r="80" spans="1:12" s="101" customFormat="1" ht="13.5">
      <c r="A80" s="526" t="s">
        <v>84</v>
      </c>
      <c r="B80" s="527"/>
      <c r="C80" s="527"/>
      <c r="D80" s="125">
        <v>461</v>
      </c>
      <c r="E80" s="126">
        <v>730</v>
      </c>
      <c r="F80" s="144">
        <f t="shared" si="6"/>
        <v>269</v>
      </c>
      <c r="G80" s="145">
        <f>E80/D80</f>
        <v>1.5835140997830803</v>
      </c>
      <c r="H80" s="127">
        <v>550</v>
      </c>
      <c r="I80" s="128"/>
      <c r="J80" s="124">
        <f t="shared" si="7"/>
        <v>550</v>
      </c>
      <c r="K80" s="144">
        <f t="shared" si="8"/>
        <v>-180</v>
      </c>
      <c r="L80" s="150">
        <f t="shared" si="9"/>
        <v>0.7534246575342466</v>
      </c>
    </row>
    <row r="81" spans="1:12" s="101" customFormat="1" ht="13.5">
      <c r="A81" s="514" t="s">
        <v>85</v>
      </c>
      <c r="B81" s="515"/>
      <c r="C81" s="515"/>
      <c r="D81" s="125">
        <v>461</v>
      </c>
      <c r="E81" s="126">
        <v>385</v>
      </c>
      <c r="F81" s="144">
        <f t="shared" si="6"/>
        <v>-76</v>
      </c>
      <c r="G81" s="145">
        <f>E81/D81</f>
        <v>0.8351409978308026</v>
      </c>
      <c r="H81" s="366">
        <v>450</v>
      </c>
      <c r="I81" s="128"/>
      <c r="J81" s="124">
        <f t="shared" si="7"/>
        <v>450</v>
      </c>
      <c r="K81" s="144">
        <f t="shared" si="8"/>
        <v>65</v>
      </c>
      <c r="L81" s="150">
        <f t="shared" si="9"/>
        <v>1.1688311688311688</v>
      </c>
    </row>
    <row r="82" spans="1:12" s="101" customFormat="1" ht="13.5">
      <c r="A82" s="514" t="s">
        <v>86</v>
      </c>
      <c r="B82" s="515"/>
      <c r="C82" s="515"/>
      <c r="D82" s="125"/>
      <c r="E82" s="126"/>
      <c r="F82" s="144">
        <f t="shared" si="6"/>
        <v>0</v>
      </c>
      <c r="G82" s="145"/>
      <c r="H82" s="127"/>
      <c r="I82" s="128"/>
      <c r="J82" s="124">
        <f t="shared" si="7"/>
        <v>0</v>
      </c>
      <c r="K82" s="144">
        <f t="shared" si="8"/>
        <v>0</v>
      </c>
      <c r="L82" s="150"/>
    </row>
    <row r="83" spans="1:12" s="101" customFormat="1" ht="13.5">
      <c r="A83" s="514" t="s">
        <v>173</v>
      </c>
      <c r="B83" s="515"/>
      <c r="C83" s="515"/>
      <c r="D83" s="125"/>
      <c r="E83" s="126"/>
      <c r="F83" s="144">
        <f t="shared" si="6"/>
        <v>0</v>
      </c>
      <c r="G83" s="145"/>
      <c r="H83" s="127"/>
      <c r="I83" s="128"/>
      <c r="J83" s="124">
        <f t="shared" si="7"/>
        <v>0</v>
      </c>
      <c r="K83" s="144">
        <f t="shared" si="8"/>
        <v>0</v>
      </c>
      <c r="L83" s="150"/>
    </row>
    <row r="84" spans="1:12" s="101" customFormat="1" ht="13.5">
      <c r="A84" s="514" t="s">
        <v>87</v>
      </c>
      <c r="B84" s="515"/>
      <c r="C84" s="515"/>
      <c r="D84" s="125"/>
      <c r="E84" s="126">
        <v>345</v>
      </c>
      <c r="F84" s="144">
        <f t="shared" si="6"/>
        <v>345</v>
      </c>
      <c r="G84" s="145"/>
      <c r="H84" s="127">
        <v>100</v>
      </c>
      <c r="I84" s="128"/>
      <c r="J84" s="124">
        <f t="shared" si="7"/>
        <v>100</v>
      </c>
      <c r="K84" s="144">
        <f t="shared" si="8"/>
        <v>-245</v>
      </c>
      <c r="L84" s="150">
        <f t="shared" si="9"/>
        <v>0.2898550724637681</v>
      </c>
    </row>
    <row r="85" spans="1:12" s="101" customFormat="1" ht="13.5">
      <c r="A85" s="514" t="s">
        <v>174</v>
      </c>
      <c r="B85" s="515"/>
      <c r="C85" s="515"/>
      <c r="D85" s="125"/>
      <c r="E85" s="126">
        <v>345</v>
      </c>
      <c r="F85" s="144">
        <f t="shared" si="6"/>
        <v>345</v>
      </c>
      <c r="G85" s="145"/>
      <c r="H85" s="127">
        <v>100</v>
      </c>
      <c r="I85" s="128"/>
      <c r="J85" s="124">
        <f t="shared" si="7"/>
        <v>100</v>
      </c>
      <c r="K85" s="144">
        <f t="shared" si="8"/>
        <v>-245</v>
      </c>
      <c r="L85" s="150">
        <f t="shared" si="9"/>
        <v>0.2898550724637681</v>
      </c>
    </row>
    <row r="86" spans="1:14" s="101" customFormat="1" ht="13.5">
      <c r="A86" s="514" t="s">
        <v>175</v>
      </c>
      <c r="B86" s="515"/>
      <c r="C86" s="515"/>
      <c r="D86" s="125"/>
      <c r="E86" s="126"/>
      <c r="F86" s="144">
        <f t="shared" si="6"/>
        <v>0</v>
      </c>
      <c r="G86" s="145"/>
      <c r="H86" s="127"/>
      <c r="I86" s="128"/>
      <c r="J86" s="124">
        <f t="shared" si="7"/>
        <v>0</v>
      </c>
      <c r="K86" s="144">
        <f t="shared" si="8"/>
        <v>0</v>
      </c>
      <c r="L86" s="150"/>
      <c r="N86" s="129"/>
    </row>
    <row r="87" spans="1:12" s="101" customFormat="1" ht="13.5">
      <c r="A87" s="526" t="s">
        <v>88</v>
      </c>
      <c r="B87" s="527"/>
      <c r="C87" s="527"/>
      <c r="D87" s="125">
        <v>17</v>
      </c>
      <c r="E87" s="126"/>
      <c r="F87" s="144">
        <f t="shared" si="6"/>
        <v>-17</v>
      </c>
      <c r="G87" s="145">
        <f>E87/D87</f>
        <v>0</v>
      </c>
      <c r="H87" s="127">
        <v>54</v>
      </c>
      <c r="I87" s="128"/>
      <c r="J87" s="124">
        <f t="shared" si="7"/>
        <v>54</v>
      </c>
      <c r="K87" s="144">
        <f t="shared" si="8"/>
        <v>54</v>
      </c>
      <c r="L87" s="150"/>
    </row>
    <row r="88" spans="1:12" s="101" customFormat="1" ht="13.5">
      <c r="A88" s="514" t="s">
        <v>89</v>
      </c>
      <c r="B88" s="515"/>
      <c r="C88" s="515"/>
      <c r="D88" s="125"/>
      <c r="E88" s="126"/>
      <c r="F88" s="144">
        <f t="shared" si="6"/>
        <v>0</v>
      </c>
      <c r="G88" s="145"/>
      <c r="H88" s="127"/>
      <c r="I88" s="128"/>
      <c r="J88" s="124">
        <f t="shared" si="7"/>
        <v>0</v>
      </c>
      <c r="K88" s="144">
        <f t="shared" si="8"/>
        <v>0</v>
      </c>
      <c r="L88" s="150"/>
    </row>
    <row r="89" spans="1:14" s="101" customFormat="1" ht="13.5">
      <c r="A89" s="526" t="s">
        <v>90</v>
      </c>
      <c r="B89" s="527"/>
      <c r="C89" s="527"/>
      <c r="D89" s="125"/>
      <c r="E89" s="126"/>
      <c r="F89" s="144">
        <f t="shared" si="6"/>
        <v>0</v>
      </c>
      <c r="G89" s="145"/>
      <c r="H89" s="127"/>
      <c r="I89" s="128"/>
      <c r="J89" s="124">
        <f t="shared" si="7"/>
        <v>0</v>
      </c>
      <c r="K89" s="144">
        <f t="shared" si="8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15"/>
      <c r="D90" s="245"/>
      <c r="E90" s="140"/>
      <c r="F90" s="144">
        <f t="shared" si="6"/>
        <v>0</v>
      </c>
      <c r="G90" s="145"/>
      <c r="H90" s="127"/>
      <c r="I90" s="128"/>
      <c r="J90" s="124">
        <f t="shared" si="7"/>
        <v>0</v>
      </c>
      <c r="K90" s="144">
        <f t="shared" si="8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10882</v>
      </c>
      <c r="E91" s="178">
        <v>11082</v>
      </c>
      <c r="F91" s="179"/>
      <c r="G91" s="179"/>
      <c r="H91" s="180">
        <v>11216</v>
      </c>
      <c r="I91" s="180"/>
      <c r="J91" s="181">
        <f>H91</f>
        <v>11216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v>112</v>
      </c>
      <c r="E92" s="184">
        <v>3</v>
      </c>
      <c r="F92" s="185"/>
      <c r="G92" s="185"/>
      <c r="H92" s="184">
        <v>0</v>
      </c>
      <c r="I92" s="184"/>
      <c r="J92" s="186">
        <f>H92</f>
        <v>0</v>
      </c>
      <c r="K92" s="170"/>
      <c r="L92" s="187"/>
      <c r="M92" s="141"/>
      <c r="N92" s="141"/>
      <c r="O92" s="143"/>
    </row>
    <row r="93" spans="1:15" s="34" customFormat="1" ht="13.5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5" s="34" customFormat="1" ht="14.25" thickBot="1">
      <c r="A94" s="35"/>
      <c r="B94" s="36"/>
      <c r="C94" s="36"/>
      <c r="D94" s="37"/>
      <c r="E94" s="38"/>
      <c r="F94" s="36"/>
      <c r="G94" s="36"/>
      <c r="H94" s="39"/>
      <c r="I94" s="40"/>
      <c r="J94" s="41"/>
      <c r="K94" s="35"/>
      <c r="L94" s="36"/>
      <c r="M94" s="36"/>
      <c r="N94" s="36"/>
      <c r="O94" s="39"/>
    </row>
    <row r="95" spans="1:14" ht="14.25" customHeight="1" thickBot="1">
      <c r="A95" s="428" t="s">
        <v>178</v>
      </c>
      <c r="B95" s="428"/>
      <c r="C95" s="565" t="s">
        <v>104</v>
      </c>
      <c r="D95" s="42"/>
      <c r="E95" s="600" t="s">
        <v>179</v>
      </c>
      <c r="F95" s="600"/>
      <c r="G95" s="600"/>
      <c r="H95" s="600"/>
      <c r="I95" s="601" t="s">
        <v>104</v>
      </c>
      <c r="J95" s="43"/>
      <c r="K95" s="43"/>
      <c r="L95" s="43"/>
      <c r="M95" s="43"/>
      <c r="N95" s="43"/>
    </row>
    <row r="96" spans="1:14" ht="14.25" thickBot="1">
      <c r="A96" s="428"/>
      <c r="B96" s="428"/>
      <c r="C96" s="565"/>
      <c r="D96" s="42"/>
      <c r="E96" s="428"/>
      <c r="F96" s="428"/>
      <c r="G96" s="428"/>
      <c r="H96" s="428"/>
      <c r="I96" s="565"/>
      <c r="J96" s="43"/>
      <c r="K96" s="43"/>
      <c r="L96" s="43"/>
      <c r="M96" s="43"/>
      <c r="N96" s="43"/>
    </row>
    <row r="97" spans="1:14" ht="14.25" thickBot="1">
      <c r="A97" s="433" t="s">
        <v>316</v>
      </c>
      <c r="B97" s="434"/>
      <c r="C97" s="369">
        <v>230</v>
      </c>
      <c r="D97" s="92"/>
      <c r="E97" s="437" t="s">
        <v>268</v>
      </c>
      <c r="F97" s="438"/>
      <c r="G97" s="438"/>
      <c r="H97" s="438"/>
      <c r="I97" s="110">
        <v>150</v>
      </c>
      <c r="J97" s="43"/>
      <c r="K97" s="43"/>
      <c r="L97" s="43"/>
      <c r="M97" s="43"/>
      <c r="N97" s="38" t="s">
        <v>105</v>
      </c>
    </row>
    <row r="98" spans="1:14" ht="13.5">
      <c r="A98" s="437" t="s">
        <v>136</v>
      </c>
      <c r="B98" s="438"/>
      <c r="C98" s="205">
        <v>161</v>
      </c>
      <c r="D98" s="92"/>
      <c r="E98" s="437" t="s">
        <v>317</v>
      </c>
      <c r="F98" s="438"/>
      <c r="G98" s="438"/>
      <c r="H98" s="438"/>
      <c r="I98" s="111">
        <v>50</v>
      </c>
      <c r="J98" s="43"/>
      <c r="K98" s="44" t="s">
        <v>106</v>
      </c>
      <c r="L98" s="44"/>
      <c r="M98" s="45">
        <v>2011</v>
      </c>
      <c r="N98" s="46">
        <v>2012</v>
      </c>
    </row>
    <row r="99" spans="1:14" ht="13.5">
      <c r="A99" s="437"/>
      <c r="B99" s="438"/>
      <c r="C99" s="105"/>
      <c r="D99" s="92"/>
      <c r="E99" s="437" t="s">
        <v>318</v>
      </c>
      <c r="F99" s="438"/>
      <c r="G99" s="438"/>
      <c r="H99" s="438"/>
      <c r="I99" s="111">
        <v>120</v>
      </c>
      <c r="J99" s="43"/>
      <c r="K99" s="47" t="s">
        <v>107</v>
      </c>
      <c r="L99" s="47"/>
      <c r="M99" s="48"/>
      <c r="N99" s="49"/>
    </row>
    <row r="100" spans="1:14" ht="13.5">
      <c r="A100" s="437"/>
      <c r="B100" s="438"/>
      <c r="C100" s="105"/>
      <c r="D100" s="92"/>
      <c r="E100" s="437" t="s">
        <v>319</v>
      </c>
      <c r="F100" s="438"/>
      <c r="G100" s="438"/>
      <c r="H100" s="438"/>
      <c r="I100" s="111">
        <v>50</v>
      </c>
      <c r="J100" s="43"/>
      <c r="K100" s="47" t="s">
        <v>108</v>
      </c>
      <c r="L100" s="50"/>
      <c r="M100" s="51">
        <v>0</v>
      </c>
      <c r="N100" s="52">
        <v>0</v>
      </c>
    </row>
    <row r="101" spans="1:14" ht="14.25" thickBot="1">
      <c r="A101" s="437"/>
      <c r="B101" s="438"/>
      <c r="C101" s="97"/>
      <c r="D101" s="92"/>
      <c r="E101" s="437" t="s">
        <v>352</v>
      </c>
      <c r="F101" s="438"/>
      <c r="G101" s="438"/>
      <c r="H101" s="438"/>
      <c r="I101" s="97">
        <v>230</v>
      </c>
      <c r="J101" s="43"/>
      <c r="K101" s="53" t="s">
        <v>109</v>
      </c>
      <c r="L101" s="54"/>
      <c r="M101" s="55">
        <v>0</v>
      </c>
      <c r="N101" s="56">
        <v>0</v>
      </c>
    </row>
    <row r="102" spans="1:14" ht="13.5">
      <c r="A102" s="435"/>
      <c r="B102" s="436"/>
      <c r="C102" s="97"/>
      <c r="D102" s="92"/>
      <c r="E102" s="437"/>
      <c r="F102" s="438"/>
      <c r="G102" s="438"/>
      <c r="H102" s="438"/>
      <c r="I102" s="97"/>
      <c r="J102" s="43"/>
      <c r="K102" s="43"/>
      <c r="L102" s="43"/>
      <c r="M102" s="43"/>
      <c r="N102" s="43"/>
    </row>
    <row r="103" spans="1:14" ht="13.5">
      <c r="A103" s="435"/>
      <c r="B103" s="436"/>
      <c r="C103" s="97"/>
      <c r="D103" s="92"/>
      <c r="E103" s="437"/>
      <c r="F103" s="438"/>
      <c r="G103" s="438"/>
      <c r="H103" s="438"/>
      <c r="I103" s="97"/>
      <c r="J103" s="43"/>
      <c r="K103" s="43"/>
      <c r="L103" s="43"/>
      <c r="M103" s="43"/>
      <c r="N103" s="43"/>
    </row>
    <row r="104" spans="1:14" ht="14.25" thickBot="1">
      <c r="A104" s="441"/>
      <c r="B104" s="442"/>
      <c r="C104" s="96"/>
      <c r="D104" s="35"/>
      <c r="E104" s="609"/>
      <c r="F104" s="610"/>
      <c r="G104" s="610"/>
      <c r="H104" s="610"/>
      <c r="I104" s="98"/>
      <c r="J104" s="43"/>
      <c r="K104" s="43"/>
      <c r="L104" s="43"/>
      <c r="M104" s="43"/>
      <c r="N104" s="43"/>
    </row>
    <row r="105" spans="1:14" ht="14.25" thickBot="1">
      <c r="A105" s="607" t="s">
        <v>97</v>
      </c>
      <c r="B105" s="607"/>
      <c r="C105" s="58">
        <f>SUM(C97:C103)</f>
        <v>391</v>
      </c>
      <c r="D105" s="59"/>
      <c r="E105" s="611" t="s">
        <v>97</v>
      </c>
      <c r="F105" s="611"/>
      <c r="G105" s="611"/>
      <c r="H105" s="611"/>
      <c r="I105" s="58">
        <f>SUM(I97:I104)</f>
        <v>600</v>
      </c>
      <c r="J105" s="43"/>
      <c r="K105" s="43"/>
      <c r="L105" s="43"/>
      <c r="M105" s="43"/>
      <c r="N105" s="61"/>
    </row>
    <row r="106" spans="1:5" s="34" customFormat="1" ht="13.5" customHeight="1">
      <c r="A106" s="59"/>
      <c r="B106" s="62"/>
      <c r="C106" s="62"/>
      <c r="D106" s="62"/>
      <c r="E106" s="62"/>
    </row>
    <row r="107" spans="1:12" s="34" customFormat="1" ht="14.25" thickBot="1">
      <c r="A107" s="63" t="s">
        <v>181</v>
      </c>
      <c r="B107" s="36"/>
      <c r="C107" s="36"/>
      <c r="D107" s="36"/>
      <c r="E107" s="39"/>
      <c r="F107" s="41"/>
      <c r="G107" s="41"/>
      <c r="H107" s="35"/>
      <c r="I107" s="36"/>
      <c r="J107" s="36" t="s">
        <v>110</v>
      </c>
      <c r="K107" s="36"/>
      <c r="L107" s="39"/>
    </row>
    <row r="108" spans="1:11" s="34" customFormat="1" ht="13.5">
      <c r="A108" s="449" t="s">
        <v>111</v>
      </c>
      <c r="B108" s="452" t="s">
        <v>248</v>
      </c>
      <c r="C108" s="459" t="s">
        <v>182</v>
      </c>
      <c r="D108" s="460"/>
      <c r="E108" s="460"/>
      <c r="F108" s="460"/>
      <c r="G108" s="460"/>
      <c r="H108" s="460"/>
      <c r="I108" s="460"/>
      <c r="J108" s="461"/>
      <c r="K108" s="455" t="s">
        <v>183</v>
      </c>
    </row>
    <row r="109" spans="1:11" s="34" customFormat="1" ht="13.5">
      <c r="A109" s="450"/>
      <c r="B109" s="453"/>
      <c r="C109" s="458" t="s">
        <v>112</v>
      </c>
      <c r="D109" s="462" t="s">
        <v>113</v>
      </c>
      <c r="E109" s="462"/>
      <c r="F109" s="462"/>
      <c r="G109" s="462"/>
      <c r="H109" s="462"/>
      <c r="I109" s="462"/>
      <c r="J109" s="463"/>
      <c r="K109" s="456"/>
    </row>
    <row r="110" spans="1:12" s="34" customFormat="1" ht="14.25" thickBot="1">
      <c r="A110" s="451"/>
      <c r="B110" s="454"/>
      <c r="C110" s="458"/>
      <c r="D110" s="164">
        <v>1</v>
      </c>
      <c r="E110" s="164">
        <v>2</v>
      </c>
      <c r="F110" s="164">
        <v>3</v>
      </c>
      <c r="G110" s="164">
        <v>4</v>
      </c>
      <c r="H110" s="164">
        <v>5</v>
      </c>
      <c r="I110" s="164">
        <v>6</v>
      </c>
      <c r="J110" s="165">
        <v>7</v>
      </c>
      <c r="K110" s="457"/>
      <c r="L110" s="71"/>
    </row>
    <row r="111" spans="1:11" s="34" customFormat="1" ht="14.25" thickBot="1">
      <c r="A111" s="64">
        <v>27038</v>
      </c>
      <c r="B111" s="65">
        <v>10319</v>
      </c>
      <c r="C111" s="364">
        <f>SUM(D111:J111)</f>
        <v>450</v>
      </c>
      <c r="D111" s="167">
        <v>93</v>
      </c>
      <c r="E111" s="167">
        <v>120</v>
      </c>
      <c r="F111" s="167">
        <v>0</v>
      </c>
      <c r="G111" s="167">
        <v>0</v>
      </c>
      <c r="H111" s="167">
        <v>76</v>
      </c>
      <c r="I111" s="168">
        <v>0</v>
      </c>
      <c r="J111" s="225">
        <v>161</v>
      </c>
      <c r="K111" s="163">
        <v>16269</v>
      </c>
    </row>
    <row r="112" spans="1:5" s="34" customFormat="1" ht="13.5">
      <c r="A112" s="59"/>
      <c r="B112" s="62"/>
      <c r="C112" s="62"/>
      <c r="D112" s="62"/>
      <c r="E112" s="62"/>
    </row>
    <row r="113" spans="1:8" s="34" customFormat="1" ht="14.25" thickBot="1">
      <c r="A113" s="63" t="s">
        <v>184</v>
      </c>
      <c r="C113" s="36"/>
      <c r="D113" s="36"/>
      <c r="E113" s="36"/>
      <c r="F113" s="36" t="s">
        <v>110</v>
      </c>
      <c r="G113" s="41"/>
      <c r="H113" s="35"/>
    </row>
    <row r="114" spans="1:6" s="34" customFormat="1" ht="15" customHeight="1" thickBot="1">
      <c r="A114" s="467" t="s">
        <v>114</v>
      </c>
      <c r="B114" s="469" t="s">
        <v>188</v>
      </c>
      <c r="C114" s="188" t="s">
        <v>185</v>
      </c>
      <c r="D114" s="189"/>
      <c r="E114" s="189"/>
      <c r="F114" s="190"/>
    </row>
    <row r="115" spans="1:6" s="34" customFormat="1" ht="27.75" thickBot="1">
      <c r="A115" s="468"/>
      <c r="B115" s="469"/>
      <c r="C115" s="67" t="s">
        <v>186</v>
      </c>
      <c r="D115" s="66" t="s">
        <v>115</v>
      </c>
      <c r="E115" s="67" t="s">
        <v>116</v>
      </c>
      <c r="F115" s="191" t="s">
        <v>187</v>
      </c>
    </row>
    <row r="116" spans="1:6" s="34" customFormat="1" ht="13.5">
      <c r="A116" s="192" t="s">
        <v>117</v>
      </c>
      <c r="B116" s="218">
        <v>944</v>
      </c>
      <c r="C116" s="68" t="s">
        <v>118</v>
      </c>
      <c r="D116" s="69" t="s">
        <v>118</v>
      </c>
      <c r="E116" s="69" t="s">
        <v>118</v>
      </c>
      <c r="F116" s="193" t="s">
        <v>118</v>
      </c>
    </row>
    <row r="117" spans="1:13" s="34" customFormat="1" ht="13.5">
      <c r="A117" s="194" t="s">
        <v>119</v>
      </c>
      <c r="B117" s="219">
        <v>0</v>
      </c>
      <c r="C117" s="197">
        <v>0</v>
      </c>
      <c r="D117" s="51">
        <v>0</v>
      </c>
      <c r="E117" s="51">
        <v>0</v>
      </c>
      <c r="F117" s="198">
        <f>C117+D117-E117</f>
        <v>0</v>
      </c>
      <c r="M117" s="71"/>
    </row>
    <row r="118" spans="1:13" s="34" customFormat="1" ht="13.5">
      <c r="A118" s="194" t="s">
        <v>120</v>
      </c>
      <c r="B118" s="219">
        <v>66</v>
      </c>
      <c r="C118" s="197">
        <v>66</v>
      </c>
      <c r="D118" s="51">
        <v>30</v>
      </c>
      <c r="E118" s="51">
        <v>0</v>
      </c>
      <c r="F118" s="198">
        <f>C118+D118-E118</f>
        <v>96</v>
      </c>
      <c r="M118" s="71"/>
    </row>
    <row r="119" spans="1:13" s="34" customFormat="1" ht="13.5">
      <c r="A119" s="194" t="s">
        <v>121</v>
      </c>
      <c r="B119" s="219">
        <v>513</v>
      </c>
      <c r="C119" s="72">
        <v>513</v>
      </c>
      <c r="D119" s="206">
        <v>450</v>
      </c>
      <c r="E119" s="206">
        <v>391</v>
      </c>
      <c r="F119" s="198">
        <f>C119+D119-E119</f>
        <v>572</v>
      </c>
      <c r="M119" s="71"/>
    </row>
    <row r="120" spans="1:13" s="34" customFormat="1" ht="13.5">
      <c r="A120" s="194" t="s">
        <v>122</v>
      </c>
      <c r="B120" s="219">
        <f>B116-B117-B118-B119</f>
        <v>365</v>
      </c>
      <c r="C120" s="74" t="s">
        <v>118</v>
      </c>
      <c r="D120" s="75" t="s">
        <v>118</v>
      </c>
      <c r="E120" s="76" t="s">
        <v>118</v>
      </c>
      <c r="F120" s="195" t="s">
        <v>118</v>
      </c>
      <c r="M120" s="71"/>
    </row>
    <row r="121" spans="1:13" s="34" customFormat="1" ht="14.25" thickBot="1">
      <c r="A121" s="196" t="s">
        <v>123</v>
      </c>
      <c r="B121" s="220">
        <v>58</v>
      </c>
      <c r="C121" s="199">
        <v>83</v>
      </c>
      <c r="D121" s="200">
        <v>47</v>
      </c>
      <c r="E121" s="207">
        <v>50</v>
      </c>
      <c r="F121" s="201">
        <f>C121+D121-E121</f>
        <v>80</v>
      </c>
      <c r="M121" s="71"/>
    </row>
    <row r="122" spans="1:15" s="34" customFormat="1" ht="13.5">
      <c r="A122" s="35"/>
      <c r="B122" s="36"/>
      <c r="C122" s="36"/>
      <c r="D122" s="37"/>
      <c r="E122" s="38"/>
      <c r="F122" s="36"/>
      <c r="G122" s="36"/>
      <c r="H122" s="39"/>
      <c r="I122" s="40"/>
      <c r="J122" s="41"/>
      <c r="K122" s="35"/>
      <c r="L122" s="36"/>
      <c r="M122" s="36"/>
      <c r="N122" s="36"/>
      <c r="O122" s="39"/>
    </row>
    <row r="123" spans="1:11" ht="13.5">
      <c r="A123" s="63"/>
      <c r="K123" s="36"/>
    </row>
    <row r="124" spans="1:11" ht="14.25" thickBot="1">
      <c r="A124" s="63" t="s">
        <v>189</v>
      </c>
      <c r="K124" s="36" t="s">
        <v>110</v>
      </c>
    </row>
    <row r="125" spans="1:11" ht="13.5">
      <c r="A125" s="464" t="s">
        <v>124</v>
      </c>
      <c r="B125" s="465"/>
      <c r="C125" s="466"/>
      <c r="D125" s="78"/>
      <c r="E125" s="464" t="s">
        <v>125</v>
      </c>
      <c r="F125" s="465"/>
      <c r="G125" s="466"/>
      <c r="I125" s="464" t="s">
        <v>126</v>
      </c>
      <c r="J125" s="465"/>
      <c r="K125" s="466"/>
    </row>
    <row r="126" spans="1:11" ht="14.25" thickBot="1">
      <c r="A126" s="79" t="s">
        <v>127</v>
      </c>
      <c r="B126" s="80" t="s">
        <v>128</v>
      </c>
      <c r="C126" s="81" t="s">
        <v>129</v>
      </c>
      <c r="D126" s="78"/>
      <c r="E126" s="82"/>
      <c r="F126" s="470" t="s">
        <v>130</v>
      </c>
      <c r="G126" s="471"/>
      <c r="I126" s="79"/>
      <c r="J126" s="80" t="s">
        <v>131</v>
      </c>
      <c r="K126" s="81" t="s">
        <v>129</v>
      </c>
    </row>
    <row r="127" spans="1:11" ht="13.5">
      <c r="A127" s="83">
        <v>2012</v>
      </c>
      <c r="B127" s="84">
        <v>23</v>
      </c>
      <c r="C127" s="85">
        <v>23</v>
      </c>
      <c r="D127" s="37"/>
      <c r="E127" s="83">
        <v>2012</v>
      </c>
      <c r="F127" s="472">
        <v>48</v>
      </c>
      <c r="G127" s="473"/>
      <c r="I127" s="83">
        <v>2012</v>
      </c>
      <c r="J127" s="84">
        <v>4640</v>
      </c>
      <c r="K127" s="85">
        <v>4634</v>
      </c>
    </row>
    <row r="128" spans="1:11" ht="14.25" thickBot="1">
      <c r="A128" s="86">
        <v>2013</v>
      </c>
      <c r="B128" s="87">
        <v>23</v>
      </c>
      <c r="C128" s="88" t="s">
        <v>92</v>
      </c>
      <c r="D128" s="37"/>
      <c r="E128" s="86">
        <v>2013</v>
      </c>
      <c r="F128" s="388">
        <v>48</v>
      </c>
      <c r="G128" s="389"/>
      <c r="I128" s="86">
        <v>2013</v>
      </c>
      <c r="J128" s="87">
        <v>4700</v>
      </c>
      <c r="K128" s="88" t="s">
        <v>92</v>
      </c>
    </row>
    <row r="129" ht="13.5">
      <c r="D129" s="37"/>
    </row>
    <row r="130" ht="13.5">
      <c r="D130" s="78"/>
    </row>
    <row r="131" ht="13.5">
      <c r="D131" s="78"/>
    </row>
    <row r="132" ht="13.5">
      <c r="D132" s="37"/>
    </row>
    <row r="133" ht="13.5">
      <c r="D133" s="37"/>
    </row>
  </sheetData>
  <sheetProtection selectLockedCells="1" selectUnlockedCells="1"/>
  <mergeCells count="129">
    <mergeCell ref="K108:K110"/>
    <mergeCell ref="D109:J109"/>
    <mergeCell ref="A125:C125"/>
    <mergeCell ref="E125:G125"/>
    <mergeCell ref="I125:K125"/>
    <mergeCell ref="F126:G126"/>
    <mergeCell ref="F127:G127"/>
    <mergeCell ref="F128:G128"/>
    <mergeCell ref="A114:A115"/>
    <mergeCell ref="B114:B115"/>
    <mergeCell ref="A105:B105"/>
    <mergeCell ref="E105:H105"/>
    <mergeCell ref="A108:A110"/>
    <mergeCell ref="B108:B110"/>
    <mergeCell ref="C109:C110"/>
    <mergeCell ref="C108:J108"/>
    <mergeCell ref="A102:B102"/>
    <mergeCell ref="E102:H102"/>
    <mergeCell ref="A103:B103"/>
    <mergeCell ref="E103:H103"/>
    <mergeCell ref="A104:B104"/>
    <mergeCell ref="E104:H104"/>
    <mergeCell ref="A99:B99"/>
    <mergeCell ref="E99:H99"/>
    <mergeCell ref="A100:B100"/>
    <mergeCell ref="E100:H100"/>
    <mergeCell ref="A101:B101"/>
    <mergeCell ref="E101:H101"/>
    <mergeCell ref="E95:H96"/>
    <mergeCell ref="I95:I96"/>
    <mergeCell ref="A97:B97"/>
    <mergeCell ref="E97:H97"/>
    <mergeCell ref="A98:B98"/>
    <mergeCell ref="E98:H98"/>
    <mergeCell ref="A85:C85"/>
    <mergeCell ref="A86:C86"/>
    <mergeCell ref="A87:C87"/>
    <mergeCell ref="A88:C88"/>
    <mergeCell ref="A95:B96"/>
    <mergeCell ref="C95:C96"/>
    <mergeCell ref="A89:C89"/>
    <mergeCell ref="A90:C90"/>
    <mergeCell ref="A91:C91"/>
    <mergeCell ref="A92:C92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3" r:id="rId1"/>
  <headerFooter alignWithMargins="0">
    <oddFooter>&amp;C&amp;"Arial CE,Běžné"&amp;P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T133"/>
  <sheetViews>
    <sheetView view="pageBreakPreview" zoomScale="70" zoomScaleSheetLayoutView="70" zoomScalePageLayoutView="0" workbookViewId="0" topLeftCell="A4">
      <selection activeCell="H121" sqref="H121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20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151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09"/>
      <c r="D7" s="121">
        <v>11966</v>
      </c>
      <c r="E7" s="239">
        <v>11954</v>
      </c>
      <c r="F7" s="154">
        <f>E7-D7</f>
        <v>-12</v>
      </c>
      <c r="G7" s="145">
        <f>E7/D7</f>
        <v>0.9989971586160789</v>
      </c>
      <c r="H7" s="122">
        <v>12115</v>
      </c>
      <c r="I7" s="123">
        <v>0</v>
      </c>
      <c r="J7" s="156">
        <f>H7+I7</f>
        <v>12115</v>
      </c>
      <c r="K7" s="144">
        <f>J7-E7</f>
        <v>161</v>
      </c>
      <c r="L7" s="150">
        <f>J7/E7</f>
        <v>1.0134682951313367</v>
      </c>
    </row>
    <row r="8" spans="1:12" s="101" customFormat="1" ht="13.5">
      <c r="A8" s="511" t="s">
        <v>25</v>
      </c>
      <c r="B8" s="512"/>
      <c r="C8" s="512"/>
      <c r="D8" s="125">
        <v>0</v>
      </c>
      <c r="E8" s="240">
        <v>0</v>
      </c>
      <c r="F8" s="154">
        <f aca="true" t="shared" si="0" ref="F8:F75">E8-D8</f>
        <v>0</v>
      </c>
      <c r="G8" s="145"/>
      <c r="H8" s="127">
        <v>0</v>
      </c>
      <c r="I8" s="128">
        <v>0</v>
      </c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2"/>
      <c r="D9" s="125">
        <v>11966</v>
      </c>
      <c r="E9" s="240">
        <v>11954</v>
      </c>
      <c r="F9" s="154">
        <f t="shared" si="0"/>
        <v>-12</v>
      </c>
      <c r="G9" s="145">
        <f aca="true" t="shared" si="3" ref="G9:G74">E9/D9</f>
        <v>0.9989971586160789</v>
      </c>
      <c r="H9" s="127">
        <v>12115</v>
      </c>
      <c r="I9" s="128">
        <v>0</v>
      </c>
      <c r="J9" s="156">
        <f t="shared" si="1"/>
        <v>12115</v>
      </c>
      <c r="K9" s="144">
        <f t="shared" si="2"/>
        <v>161</v>
      </c>
      <c r="L9" s="150">
        <f aca="true" t="shared" si="4" ref="L9:L74">J9/E9</f>
        <v>1.0134682951313367</v>
      </c>
    </row>
    <row r="10" spans="1:12" s="101" customFormat="1" ht="13.5">
      <c r="A10" s="514" t="s">
        <v>27</v>
      </c>
      <c r="B10" s="515"/>
      <c r="C10" s="515"/>
      <c r="D10" s="125">
        <v>6168</v>
      </c>
      <c r="E10" s="240">
        <v>6465</v>
      </c>
      <c r="F10" s="154">
        <f t="shared" si="0"/>
        <v>297</v>
      </c>
      <c r="G10" s="145">
        <f t="shared" si="3"/>
        <v>1.0481517509727627</v>
      </c>
      <c r="H10" s="127">
        <v>6585</v>
      </c>
      <c r="I10" s="128">
        <v>0</v>
      </c>
      <c r="J10" s="156">
        <f t="shared" si="1"/>
        <v>6585</v>
      </c>
      <c r="K10" s="144">
        <f t="shared" si="2"/>
        <v>120</v>
      </c>
      <c r="L10" s="150">
        <f t="shared" si="4"/>
        <v>1.0185614849187936</v>
      </c>
    </row>
    <row r="11" spans="1:12" s="101" customFormat="1" ht="13.5">
      <c r="A11" s="514" t="s">
        <v>28</v>
      </c>
      <c r="B11" s="515"/>
      <c r="C11" s="515"/>
      <c r="D11" s="125">
        <v>4604</v>
      </c>
      <c r="E11" s="240">
        <v>4536</v>
      </c>
      <c r="F11" s="154">
        <f t="shared" si="0"/>
        <v>-68</v>
      </c>
      <c r="G11" s="145">
        <f t="shared" si="3"/>
        <v>0.9852302345786272</v>
      </c>
      <c r="H11" s="127">
        <v>4536</v>
      </c>
      <c r="I11" s="128">
        <v>0</v>
      </c>
      <c r="J11" s="156">
        <f t="shared" si="1"/>
        <v>4536</v>
      </c>
      <c r="K11" s="144">
        <f t="shared" si="2"/>
        <v>0</v>
      </c>
      <c r="L11" s="150">
        <f t="shared" si="4"/>
        <v>1</v>
      </c>
    </row>
    <row r="12" spans="1:12" s="101" customFormat="1" ht="13.5">
      <c r="A12" s="514" t="s">
        <v>29</v>
      </c>
      <c r="B12" s="515"/>
      <c r="C12" s="515"/>
      <c r="D12" s="125">
        <v>70</v>
      </c>
      <c r="E12" s="240">
        <v>72</v>
      </c>
      <c r="F12" s="154">
        <f t="shared" si="0"/>
        <v>2</v>
      </c>
      <c r="G12" s="145">
        <f t="shared" si="3"/>
        <v>1.0285714285714285</v>
      </c>
      <c r="H12" s="127">
        <v>72</v>
      </c>
      <c r="I12" s="128">
        <v>0</v>
      </c>
      <c r="J12" s="156">
        <f t="shared" si="1"/>
        <v>72</v>
      </c>
      <c r="K12" s="144">
        <f t="shared" si="2"/>
        <v>0</v>
      </c>
      <c r="L12" s="150">
        <f t="shared" si="4"/>
        <v>1</v>
      </c>
    </row>
    <row r="13" spans="1:12" s="101" customFormat="1" ht="13.5">
      <c r="A13" s="514" t="s">
        <v>30</v>
      </c>
      <c r="B13" s="515"/>
      <c r="C13" s="515"/>
      <c r="D13" s="125">
        <v>903</v>
      </c>
      <c r="E13" s="240">
        <v>680</v>
      </c>
      <c r="F13" s="154">
        <f t="shared" si="0"/>
        <v>-223</v>
      </c>
      <c r="G13" s="145">
        <f t="shared" si="3"/>
        <v>0.7530454042081949</v>
      </c>
      <c r="H13" s="127">
        <v>720</v>
      </c>
      <c r="I13" s="128">
        <v>0</v>
      </c>
      <c r="J13" s="156">
        <f t="shared" si="1"/>
        <v>720</v>
      </c>
      <c r="K13" s="144">
        <f t="shared" si="2"/>
        <v>40</v>
      </c>
      <c r="L13" s="150">
        <f t="shared" si="4"/>
        <v>1.0588235294117647</v>
      </c>
    </row>
    <row r="14" spans="1:12" s="101" customFormat="1" ht="13.5">
      <c r="A14" s="514" t="s">
        <v>31</v>
      </c>
      <c r="B14" s="515"/>
      <c r="C14" s="515"/>
      <c r="D14" s="125">
        <v>214</v>
      </c>
      <c r="E14" s="240">
        <v>194</v>
      </c>
      <c r="F14" s="154">
        <f t="shared" si="0"/>
        <v>-20</v>
      </c>
      <c r="G14" s="145">
        <f t="shared" si="3"/>
        <v>0.9065420560747663</v>
      </c>
      <c r="H14" s="127">
        <v>195</v>
      </c>
      <c r="I14" s="128">
        <v>0</v>
      </c>
      <c r="J14" s="156">
        <f t="shared" si="1"/>
        <v>195</v>
      </c>
      <c r="K14" s="144">
        <f t="shared" si="2"/>
        <v>1</v>
      </c>
      <c r="L14" s="150">
        <f t="shared" si="4"/>
        <v>1.0051546391752577</v>
      </c>
    </row>
    <row r="15" spans="1:14" s="101" customFormat="1" ht="13.5">
      <c r="A15" s="514" t="s">
        <v>32</v>
      </c>
      <c r="B15" s="515"/>
      <c r="C15" s="515"/>
      <c r="D15" s="125">
        <v>7</v>
      </c>
      <c r="E15" s="240">
        <v>7</v>
      </c>
      <c r="F15" s="154">
        <f t="shared" si="0"/>
        <v>0</v>
      </c>
      <c r="G15" s="145">
        <f t="shared" si="3"/>
        <v>1</v>
      </c>
      <c r="H15" s="127">
        <v>7</v>
      </c>
      <c r="I15" s="128">
        <v>0</v>
      </c>
      <c r="J15" s="156">
        <f t="shared" si="1"/>
        <v>7</v>
      </c>
      <c r="K15" s="144">
        <f t="shared" si="2"/>
        <v>0</v>
      </c>
      <c r="L15" s="150">
        <f t="shared" si="4"/>
        <v>1</v>
      </c>
      <c r="N15" s="129"/>
    </row>
    <row r="16" spans="1:12" s="101" customFormat="1" ht="13.5">
      <c r="A16" s="511" t="s">
        <v>33</v>
      </c>
      <c r="B16" s="512"/>
      <c r="C16" s="512"/>
      <c r="D16" s="125">
        <v>0</v>
      </c>
      <c r="E16" s="240">
        <v>0</v>
      </c>
      <c r="F16" s="154">
        <f t="shared" si="0"/>
        <v>0</v>
      </c>
      <c r="G16" s="145"/>
      <c r="H16" s="127">
        <v>0</v>
      </c>
      <c r="I16" s="128">
        <v>0</v>
      </c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511" t="s">
        <v>34</v>
      </c>
      <c r="B17" s="512"/>
      <c r="C17" s="512"/>
      <c r="D17" s="125">
        <v>0</v>
      </c>
      <c r="E17" s="240">
        <v>0</v>
      </c>
      <c r="F17" s="154">
        <f t="shared" si="0"/>
        <v>0</v>
      </c>
      <c r="G17" s="145"/>
      <c r="H17" s="127">
        <v>0</v>
      </c>
      <c r="I17" s="128">
        <v>0</v>
      </c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8"/>
      <c r="D18" s="125">
        <v>18</v>
      </c>
      <c r="E18" s="240">
        <v>10</v>
      </c>
      <c r="F18" s="154">
        <f t="shared" si="0"/>
        <v>-8</v>
      </c>
      <c r="G18" s="145">
        <f t="shared" si="3"/>
        <v>0.5555555555555556</v>
      </c>
      <c r="H18" s="127">
        <v>250</v>
      </c>
      <c r="I18" s="128">
        <v>0</v>
      </c>
      <c r="J18" s="156">
        <f t="shared" si="1"/>
        <v>250</v>
      </c>
      <c r="K18" s="144">
        <f t="shared" si="2"/>
        <v>240</v>
      </c>
      <c r="L18" s="150">
        <f t="shared" si="4"/>
        <v>25</v>
      </c>
    </row>
    <row r="19" spans="1:12" s="101" customFormat="1" ht="13.5">
      <c r="A19" s="511" t="s">
        <v>36</v>
      </c>
      <c r="B19" s="512"/>
      <c r="C19" s="512"/>
      <c r="D19" s="125">
        <v>0</v>
      </c>
      <c r="E19" s="240">
        <v>0</v>
      </c>
      <c r="F19" s="154">
        <f t="shared" si="0"/>
        <v>0</v>
      </c>
      <c r="G19" s="145"/>
      <c r="H19" s="127">
        <v>0</v>
      </c>
      <c r="I19" s="128">
        <v>0</v>
      </c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2"/>
      <c r="D20" s="125">
        <v>0</v>
      </c>
      <c r="E20" s="241">
        <v>0</v>
      </c>
      <c r="F20" s="154">
        <f t="shared" si="0"/>
        <v>0</v>
      </c>
      <c r="G20" s="145"/>
      <c r="H20" s="122">
        <v>0</v>
      </c>
      <c r="I20" s="123">
        <v>0</v>
      </c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1"/>
      <c r="D21" s="125">
        <v>10</v>
      </c>
      <c r="E21" s="240">
        <v>0</v>
      </c>
      <c r="F21" s="154">
        <f t="shared" si="0"/>
        <v>-10</v>
      </c>
      <c r="G21" s="145">
        <f t="shared" si="3"/>
        <v>0</v>
      </c>
      <c r="H21" s="127">
        <v>0</v>
      </c>
      <c r="I21" s="128">
        <v>0</v>
      </c>
      <c r="J21" s="156">
        <f t="shared" si="1"/>
        <v>0</v>
      </c>
      <c r="K21" s="144">
        <f t="shared" si="2"/>
        <v>0</v>
      </c>
      <c r="L21" s="150"/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1"/>
      <c r="D22" s="125">
        <v>10</v>
      </c>
      <c r="E22" s="240">
        <v>0</v>
      </c>
      <c r="F22" s="154">
        <f t="shared" si="0"/>
        <v>-10</v>
      </c>
      <c r="G22" s="145">
        <f t="shared" si="3"/>
        <v>0</v>
      </c>
      <c r="H22" s="366">
        <v>250</v>
      </c>
      <c r="I22" s="128">
        <v>0</v>
      </c>
      <c r="J22" s="156">
        <f t="shared" si="1"/>
        <v>250</v>
      </c>
      <c r="K22" s="144">
        <f t="shared" si="2"/>
        <v>250</v>
      </c>
      <c r="L22" s="150"/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1"/>
      <c r="D23" s="125">
        <v>0</v>
      </c>
      <c r="E23" s="240">
        <v>0</v>
      </c>
      <c r="F23" s="154">
        <f t="shared" si="0"/>
        <v>0</v>
      </c>
      <c r="G23" s="145"/>
      <c r="H23" s="366">
        <v>0</v>
      </c>
      <c r="I23" s="128">
        <v>0</v>
      </c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520" t="s">
        <v>162</v>
      </c>
      <c r="B24" s="521"/>
      <c r="C24" s="521"/>
      <c r="D24" s="125">
        <v>0</v>
      </c>
      <c r="E24" s="240">
        <v>0</v>
      </c>
      <c r="F24" s="154">
        <f t="shared" si="0"/>
        <v>0</v>
      </c>
      <c r="G24" s="145"/>
      <c r="H24" s="366">
        <v>0</v>
      </c>
      <c r="I24" s="128">
        <v>0</v>
      </c>
      <c r="J24" s="156">
        <f t="shared" si="1"/>
        <v>0</v>
      </c>
      <c r="K24" s="144">
        <f t="shared" si="2"/>
        <v>0</v>
      </c>
      <c r="L24" s="150"/>
    </row>
    <row r="25" spans="1:12" s="101" customFormat="1" ht="13.5">
      <c r="A25" s="520" t="s">
        <v>163</v>
      </c>
      <c r="B25" s="521"/>
      <c r="C25" s="521"/>
      <c r="D25" s="125">
        <v>0</v>
      </c>
      <c r="E25" s="240">
        <v>0</v>
      </c>
      <c r="F25" s="154">
        <f t="shared" si="0"/>
        <v>0</v>
      </c>
      <c r="G25" s="145"/>
      <c r="H25" s="366"/>
      <c r="I25" s="128">
        <v>0</v>
      </c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8"/>
      <c r="D26" s="125">
        <v>1</v>
      </c>
      <c r="E26" s="240">
        <v>10</v>
      </c>
      <c r="F26" s="154">
        <f t="shared" si="0"/>
        <v>9</v>
      </c>
      <c r="G26" s="145">
        <f t="shared" si="3"/>
        <v>10</v>
      </c>
      <c r="H26" s="366">
        <v>10</v>
      </c>
      <c r="I26" s="128">
        <v>0</v>
      </c>
      <c r="J26" s="156">
        <f t="shared" si="1"/>
        <v>10</v>
      </c>
      <c r="K26" s="144">
        <f t="shared" si="2"/>
        <v>0</v>
      </c>
      <c r="L26" s="150">
        <f t="shared" si="4"/>
        <v>1</v>
      </c>
    </row>
    <row r="27" spans="1:12" s="101" customFormat="1" ht="13.5">
      <c r="A27" s="511" t="s">
        <v>40</v>
      </c>
      <c r="B27" s="512"/>
      <c r="C27" s="512"/>
      <c r="D27" s="125">
        <v>1</v>
      </c>
      <c r="E27" s="240">
        <v>10</v>
      </c>
      <c r="F27" s="154">
        <f t="shared" si="0"/>
        <v>9</v>
      </c>
      <c r="G27" s="145">
        <f t="shared" si="3"/>
        <v>10</v>
      </c>
      <c r="H27" s="366">
        <v>10</v>
      </c>
      <c r="I27" s="128">
        <v>0</v>
      </c>
      <c r="J27" s="156">
        <f t="shared" si="1"/>
        <v>10</v>
      </c>
      <c r="K27" s="144">
        <f t="shared" si="2"/>
        <v>0</v>
      </c>
      <c r="L27" s="150">
        <f t="shared" si="4"/>
        <v>1</v>
      </c>
    </row>
    <row r="28" spans="1:12" s="101" customFormat="1" ht="13.5">
      <c r="A28" s="511" t="s">
        <v>41</v>
      </c>
      <c r="B28" s="512"/>
      <c r="C28" s="512"/>
      <c r="D28" s="125">
        <v>0</v>
      </c>
      <c r="E28" s="240">
        <v>0</v>
      </c>
      <c r="F28" s="154">
        <f t="shared" si="0"/>
        <v>0</v>
      </c>
      <c r="G28" s="145"/>
      <c r="H28" s="366">
        <v>0</v>
      </c>
      <c r="I28" s="128">
        <v>0</v>
      </c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8"/>
      <c r="D29" s="125">
        <v>4891</v>
      </c>
      <c r="E29" s="241">
        <v>4836</v>
      </c>
      <c r="F29" s="154">
        <f t="shared" si="0"/>
        <v>-55</v>
      </c>
      <c r="G29" s="145">
        <f t="shared" si="3"/>
        <v>0.9887548558576978</v>
      </c>
      <c r="H29" s="367">
        <v>4625</v>
      </c>
      <c r="I29" s="123">
        <v>0</v>
      </c>
      <c r="J29" s="156">
        <f t="shared" si="1"/>
        <v>4625</v>
      </c>
      <c r="K29" s="144">
        <f t="shared" si="2"/>
        <v>-211</v>
      </c>
      <c r="L29" s="150">
        <f t="shared" si="4"/>
        <v>0.956368899917287</v>
      </c>
    </row>
    <row r="30" spans="1:14" s="101" customFormat="1" ht="13.5">
      <c r="A30" s="514" t="s">
        <v>164</v>
      </c>
      <c r="B30" s="515"/>
      <c r="C30" s="515"/>
      <c r="D30" s="131">
        <v>1036</v>
      </c>
      <c r="E30" s="242">
        <v>1036</v>
      </c>
      <c r="F30" s="155">
        <f t="shared" si="0"/>
        <v>0</v>
      </c>
      <c r="G30" s="147">
        <f t="shared" si="3"/>
        <v>1</v>
      </c>
      <c r="H30" s="363">
        <v>1036</v>
      </c>
      <c r="I30" s="133">
        <v>0</v>
      </c>
      <c r="J30" s="157">
        <f t="shared" si="1"/>
        <v>1036</v>
      </c>
      <c r="K30" s="146">
        <f t="shared" si="2"/>
        <v>0</v>
      </c>
      <c r="L30" s="151">
        <f t="shared" si="4"/>
        <v>1</v>
      </c>
      <c r="N30" s="129"/>
    </row>
    <row r="31" spans="1:12" s="101" customFormat="1" ht="13.5">
      <c r="A31" s="514" t="s">
        <v>43</v>
      </c>
      <c r="B31" s="515"/>
      <c r="C31" s="515"/>
      <c r="D31" s="125">
        <v>3800</v>
      </c>
      <c r="E31" s="240">
        <v>3800</v>
      </c>
      <c r="F31" s="154">
        <f t="shared" si="0"/>
        <v>0</v>
      </c>
      <c r="G31" s="145">
        <f t="shared" si="3"/>
        <v>1</v>
      </c>
      <c r="H31" s="127">
        <v>3589</v>
      </c>
      <c r="I31" s="128">
        <v>0</v>
      </c>
      <c r="J31" s="156">
        <f t="shared" si="1"/>
        <v>3589</v>
      </c>
      <c r="K31" s="144">
        <f t="shared" si="2"/>
        <v>-211</v>
      </c>
      <c r="L31" s="150">
        <f t="shared" si="4"/>
        <v>0.9444736842105264</v>
      </c>
    </row>
    <row r="32" spans="1:12" s="101" customFormat="1" ht="13.5">
      <c r="A32" s="511" t="s">
        <v>44</v>
      </c>
      <c r="B32" s="512"/>
      <c r="C32" s="512"/>
      <c r="D32" s="138">
        <v>55</v>
      </c>
      <c r="E32" s="241">
        <v>0</v>
      </c>
      <c r="F32" s="154">
        <f t="shared" si="0"/>
        <v>-55</v>
      </c>
      <c r="G32" s="145">
        <f t="shared" si="3"/>
        <v>0</v>
      </c>
      <c r="H32" s="122">
        <v>0</v>
      </c>
      <c r="I32" s="123">
        <v>0</v>
      </c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514" t="s">
        <v>45</v>
      </c>
      <c r="B33" s="515"/>
      <c r="C33" s="515"/>
      <c r="D33" s="153">
        <v>0</v>
      </c>
      <c r="E33" s="243">
        <v>0</v>
      </c>
      <c r="F33" s="154">
        <f t="shared" si="0"/>
        <v>0</v>
      </c>
      <c r="G33" s="145"/>
      <c r="H33" s="158">
        <v>0</v>
      </c>
      <c r="I33" s="159">
        <v>0</v>
      </c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523" t="s">
        <v>46</v>
      </c>
      <c r="B34" s="524"/>
      <c r="C34" s="524"/>
      <c r="D34" s="171">
        <v>16877</v>
      </c>
      <c r="E34" s="244">
        <v>16809</v>
      </c>
      <c r="F34" s="173">
        <f t="shared" si="0"/>
        <v>-68</v>
      </c>
      <c r="G34" s="174">
        <f t="shared" si="3"/>
        <v>0.9959708478995082</v>
      </c>
      <c r="H34" s="172">
        <v>17000</v>
      </c>
      <c r="I34" s="172">
        <v>0</v>
      </c>
      <c r="J34" s="175">
        <f t="shared" si="1"/>
        <v>17000</v>
      </c>
      <c r="K34" s="173">
        <f t="shared" si="2"/>
        <v>191</v>
      </c>
      <c r="L34" s="176">
        <f t="shared" si="4"/>
        <v>1.0113629603188767</v>
      </c>
    </row>
    <row r="35" spans="1:12" s="101" customFormat="1" ht="13.5">
      <c r="A35" s="526" t="s">
        <v>47</v>
      </c>
      <c r="B35" s="527"/>
      <c r="C35" s="527"/>
      <c r="D35" s="135">
        <v>2711</v>
      </c>
      <c r="E35" s="136">
        <v>2446</v>
      </c>
      <c r="F35" s="148">
        <f t="shared" si="0"/>
        <v>-265</v>
      </c>
      <c r="G35" s="149">
        <f t="shared" si="3"/>
        <v>0.9022500922168941</v>
      </c>
      <c r="H35" s="137">
        <v>2600</v>
      </c>
      <c r="I35" s="137">
        <v>0</v>
      </c>
      <c r="J35" s="134">
        <f t="shared" si="1"/>
        <v>2600</v>
      </c>
      <c r="K35" s="148">
        <f t="shared" si="2"/>
        <v>154</v>
      </c>
      <c r="L35" s="152">
        <f t="shared" si="4"/>
        <v>1.062959934587081</v>
      </c>
    </row>
    <row r="36" spans="1:12" s="101" customFormat="1" ht="13.5">
      <c r="A36" s="514" t="s">
        <v>48</v>
      </c>
      <c r="B36" s="515"/>
      <c r="C36" s="515"/>
      <c r="D36" s="125">
        <v>1863</v>
      </c>
      <c r="E36" s="126">
        <v>1896</v>
      </c>
      <c r="F36" s="144">
        <f t="shared" si="0"/>
        <v>33</v>
      </c>
      <c r="G36" s="145">
        <f t="shared" si="3"/>
        <v>1.0177133655394526</v>
      </c>
      <c r="H36" s="127">
        <v>2014</v>
      </c>
      <c r="I36" s="128">
        <v>0</v>
      </c>
      <c r="J36" s="124">
        <f t="shared" si="1"/>
        <v>2014</v>
      </c>
      <c r="K36" s="144">
        <f t="shared" si="2"/>
        <v>118</v>
      </c>
      <c r="L36" s="150">
        <f t="shared" si="4"/>
        <v>1.0622362869198312</v>
      </c>
    </row>
    <row r="37" spans="1:12" s="101" customFormat="1" ht="13.5">
      <c r="A37" s="514" t="s">
        <v>49</v>
      </c>
      <c r="B37" s="515"/>
      <c r="C37" s="515"/>
      <c r="D37" s="125">
        <v>44</v>
      </c>
      <c r="E37" s="126">
        <v>49</v>
      </c>
      <c r="F37" s="144">
        <f t="shared" si="0"/>
        <v>5</v>
      </c>
      <c r="G37" s="145">
        <f t="shared" si="3"/>
        <v>1.1136363636363635</v>
      </c>
      <c r="H37" s="127">
        <v>50</v>
      </c>
      <c r="I37" s="128">
        <v>0</v>
      </c>
      <c r="J37" s="124">
        <f t="shared" si="1"/>
        <v>50</v>
      </c>
      <c r="K37" s="144">
        <f t="shared" si="2"/>
        <v>1</v>
      </c>
      <c r="L37" s="150">
        <f t="shared" si="4"/>
        <v>1.0204081632653061</v>
      </c>
    </row>
    <row r="38" spans="1:12" s="101" customFormat="1" ht="13.5">
      <c r="A38" s="514" t="s">
        <v>50</v>
      </c>
      <c r="B38" s="515"/>
      <c r="C38" s="515"/>
      <c r="D38" s="138">
        <v>14</v>
      </c>
      <c r="E38" s="130">
        <v>39</v>
      </c>
      <c r="F38" s="144">
        <f t="shared" si="0"/>
        <v>25</v>
      </c>
      <c r="G38" s="145">
        <f t="shared" si="3"/>
        <v>2.7857142857142856</v>
      </c>
      <c r="H38" s="122">
        <v>40</v>
      </c>
      <c r="I38" s="123">
        <v>0</v>
      </c>
      <c r="J38" s="124">
        <f t="shared" si="1"/>
        <v>40</v>
      </c>
      <c r="K38" s="144">
        <f t="shared" si="2"/>
        <v>1</v>
      </c>
      <c r="L38" s="150">
        <f t="shared" si="4"/>
        <v>1.0256410256410255</v>
      </c>
    </row>
    <row r="39" spans="1:12" s="101" customFormat="1" ht="13.5">
      <c r="A39" s="514" t="s">
        <v>51</v>
      </c>
      <c r="B39" s="515"/>
      <c r="C39" s="515"/>
      <c r="D39" s="125">
        <v>1</v>
      </c>
      <c r="E39" s="126">
        <v>20</v>
      </c>
      <c r="F39" s="144">
        <f t="shared" si="0"/>
        <v>19</v>
      </c>
      <c r="G39" s="145">
        <f t="shared" si="3"/>
        <v>20</v>
      </c>
      <c r="H39" s="127">
        <v>20</v>
      </c>
      <c r="I39" s="128">
        <v>0</v>
      </c>
      <c r="J39" s="124">
        <f t="shared" si="1"/>
        <v>20</v>
      </c>
      <c r="K39" s="144">
        <f t="shared" si="2"/>
        <v>0</v>
      </c>
      <c r="L39" s="150">
        <f t="shared" si="4"/>
        <v>1</v>
      </c>
    </row>
    <row r="40" spans="1:12" s="101" customFormat="1" ht="13.5">
      <c r="A40" s="514" t="s">
        <v>52</v>
      </c>
      <c r="B40" s="515"/>
      <c r="C40" s="515"/>
      <c r="D40" s="125">
        <v>6</v>
      </c>
      <c r="E40" s="126">
        <v>6</v>
      </c>
      <c r="F40" s="144">
        <f t="shared" si="0"/>
        <v>0</v>
      </c>
      <c r="G40" s="145">
        <f t="shared" si="3"/>
        <v>1</v>
      </c>
      <c r="H40" s="127">
        <v>6</v>
      </c>
      <c r="I40" s="128">
        <v>0</v>
      </c>
      <c r="J40" s="124">
        <f t="shared" si="1"/>
        <v>6</v>
      </c>
      <c r="K40" s="144">
        <f t="shared" si="2"/>
        <v>0</v>
      </c>
      <c r="L40" s="150">
        <f t="shared" si="4"/>
        <v>1</v>
      </c>
    </row>
    <row r="41" spans="1:14" s="101" customFormat="1" ht="13.5">
      <c r="A41" s="514" t="s">
        <v>53</v>
      </c>
      <c r="B41" s="515"/>
      <c r="C41" s="515"/>
      <c r="D41" s="125">
        <v>10</v>
      </c>
      <c r="E41" s="126">
        <v>10</v>
      </c>
      <c r="F41" s="144">
        <f t="shared" si="0"/>
        <v>0</v>
      </c>
      <c r="G41" s="145">
        <f t="shared" si="3"/>
        <v>1</v>
      </c>
      <c r="H41" s="127">
        <v>10</v>
      </c>
      <c r="I41" s="128">
        <v>0</v>
      </c>
      <c r="J41" s="124">
        <f t="shared" si="1"/>
        <v>10</v>
      </c>
      <c r="K41" s="144">
        <f t="shared" si="2"/>
        <v>0</v>
      </c>
      <c r="L41" s="150">
        <f t="shared" si="4"/>
        <v>1</v>
      </c>
      <c r="N41" s="129"/>
    </row>
    <row r="42" spans="1:12" s="101" customFormat="1" ht="13.5">
      <c r="A42" s="514" t="s">
        <v>54</v>
      </c>
      <c r="B42" s="515"/>
      <c r="C42" s="515"/>
      <c r="D42" s="125">
        <v>180</v>
      </c>
      <c r="E42" s="126">
        <v>176</v>
      </c>
      <c r="F42" s="144">
        <f t="shared" si="0"/>
        <v>-4</v>
      </c>
      <c r="G42" s="145">
        <f t="shared" si="3"/>
        <v>0.9777777777777777</v>
      </c>
      <c r="H42" s="127">
        <v>180</v>
      </c>
      <c r="I42" s="128">
        <v>0</v>
      </c>
      <c r="J42" s="124">
        <f t="shared" si="1"/>
        <v>180</v>
      </c>
      <c r="K42" s="144">
        <f t="shared" si="2"/>
        <v>4</v>
      </c>
      <c r="L42" s="150">
        <f t="shared" si="4"/>
        <v>1.0227272727272727</v>
      </c>
    </row>
    <row r="43" spans="1:14" s="101" customFormat="1" ht="13.5">
      <c r="A43" s="514" t="s">
        <v>166</v>
      </c>
      <c r="B43" s="515"/>
      <c r="C43" s="515"/>
      <c r="D43" s="125">
        <v>0</v>
      </c>
      <c r="E43" s="126">
        <v>0</v>
      </c>
      <c r="F43" s="144">
        <f t="shared" si="0"/>
        <v>0</v>
      </c>
      <c r="G43" s="145"/>
      <c r="H43" s="127">
        <v>0</v>
      </c>
      <c r="I43" s="128">
        <v>0</v>
      </c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5"/>
      <c r="D44" s="125">
        <v>0</v>
      </c>
      <c r="E44" s="126">
        <v>0</v>
      </c>
      <c r="F44" s="144">
        <f t="shared" si="0"/>
        <v>0</v>
      </c>
      <c r="G44" s="145"/>
      <c r="H44" s="127">
        <v>30</v>
      </c>
      <c r="I44" s="128">
        <v>0</v>
      </c>
      <c r="J44" s="124">
        <f t="shared" si="1"/>
        <v>30</v>
      </c>
      <c r="K44" s="144">
        <f t="shared" si="2"/>
        <v>30</v>
      </c>
      <c r="L44" s="150"/>
    </row>
    <row r="45" spans="1:12" s="101" customFormat="1" ht="13.5">
      <c r="A45" s="514" t="s">
        <v>55</v>
      </c>
      <c r="B45" s="515"/>
      <c r="C45" s="515"/>
      <c r="D45" s="125">
        <v>592</v>
      </c>
      <c r="E45" s="126">
        <v>243</v>
      </c>
      <c r="F45" s="144">
        <f t="shared" si="0"/>
        <v>-349</v>
      </c>
      <c r="G45" s="145">
        <f t="shared" si="3"/>
        <v>0.41047297297297297</v>
      </c>
      <c r="H45" s="127">
        <v>250</v>
      </c>
      <c r="I45" s="128">
        <v>0</v>
      </c>
      <c r="J45" s="124">
        <f t="shared" si="1"/>
        <v>250</v>
      </c>
      <c r="K45" s="144">
        <f t="shared" si="2"/>
        <v>7</v>
      </c>
      <c r="L45" s="150">
        <f t="shared" si="4"/>
        <v>1.02880658436214</v>
      </c>
    </row>
    <row r="46" spans="1:14" s="101" customFormat="1" ht="13.5">
      <c r="A46" s="526" t="s">
        <v>56</v>
      </c>
      <c r="B46" s="527"/>
      <c r="C46" s="527"/>
      <c r="D46" s="125">
        <v>1375</v>
      </c>
      <c r="E46" s="126">
        <v>1351</v>
      </c>
      <c r="F46" s="144">
        <f t="shared" si="0"/>
        <v>-24</v>
      </c>
      <c r="G46" s="145">
        <f t="shared" si="3"/>
        <v>0.9825454545454545</v>
      </c>
      <c r="H46" s="127">
        <v>1415</v>
      </c>
      <c r="I46" s="127">
        <v>0</v>
      </c>
      <c r="J46" s="124">
        <f t="shared" si="1"/>
        <v>1415</v>
      </c>
      <c r="K46" s="144">
        <f t="shared" si="2"/>
        <v>64</v>
      </c>
      <c r="L46" s="150">
        <f t="shared" si="4"/>
        <v>1.0473723168023685</v>
      </c>
      <c r="N46" s="129"/>
    </row>
    <row r="47" spans="1:12" s="101" customFormat="1" ht="13.5">
      <c r="A47" s="514" t="s">
        <v>57</v>
      </c>
      <c r="B47" s="515"/>
      <c r="C47" s="515"/>
      <c r="D47" s="125">
        <v>438</v>
      </c>
      <c r="E47" s="126">
        <v>387</v>
      </c>
      <c r="F47" s="144">
        <f t="shared" si="0"/>
        <v>-51</v>
      </c>
      <c r="G47" s="145">
        <f t="shared" si="3"/>
        <v>0.8835616438356164</v>
      </c>
      <c r="H47" s="127">
        <v>425</v>
      </c>
      <c r="I47" s="128">
        <v>0</v>
      </c>
      <c r="J47" s="124">
        <f t="shared" si="1"/>
        <v>425</v>
      </c>
      <c r="K47" s="144">
        <f t="shared" si="2"/>
        <v>38</v>
      </c>
      <c r="L47" s="150">
        <f t="shared" si="4"/>
        <v>1.0981912144702843</v>
      </c>
    </row>
    <row r="48" spans="1:12" s="101" customFormat="1" ht="13.5">
      <c r="A48" s="514" t="s">
        <v>58</v>
      </c>
      <c r="B48" s="515"/>
      <c r="C48" s="515"/>
      <c r="D48" s="125">
        <v>865</v>
      </c>
      <c r="E48" s="126">
        <v>876</v>
      </c>
      <c r="F48" s="144">
        <f t="shared" si="0"/>
        <v>11</v>
      </c>
      <c r="G48" s="145">
        <f t="shared" si="3"/>
        <v>1.0127167630057803</v>
      </c>
      <c r="H48" s="127">
        <v>900</v>
      </c>
      <c r="I48" s="128">
        <v>0</v>
      </c>
      <c r="J48" s="124">
        <f t="shared" si="1"/>
        <v>900</v>
      </c>
      <c r="K48" s="144">
        <f t="shared" si="2"/>
        <v>24</v>
      </c>
      <c r="L48" s="150">
        <f t="shared" si="4"/>
        <v>1.0273972602739727</v>
      </c>
    </row>
    <row r="49" spans="1:12" s="101" customFormat="1" ht="13.5">
      <c r="A49" s="514" t="s">
        <v>59</v>
      </c>
      <c r="B49" s="515"/>
      <c r="C49" s="515"/>
      <c r="D49" s="125">
        <v>72</v>
      </c>
      <c r="E49" s="126">
        <v>88</v>
      </c>
      <c r="F49" s="144">
        <f t="shared" si="0"/>
        <v>16</v>
      </c>
      <c r="G49" s="145">
        <f t="shared" si="3"/>
        <v>1.2222222222222223</v>
      </c>
      <c r="H49" s="127">
        <v>90</v>
      </c>
      <c r="I49" s="128">
        <v>0</v>
      </c>
      <c r="J49" s="124">
        <f t="shared" si="1"/>
        <v>90</v>
      </c>
      <c r="K49" s="144">
        <f t="shared" si="2"/>
        <v>2</v>
      </c>
      <c r="L49" s="150">
        <f t="shared" si="4"/>
        <v>1.0227272727272727</v>
      </c>
    </row>
    <row r="50" spans="1:12" s="101" customFormat="1" ht="13.5">
      <c r="A50" s="514" t="s">
        <v>168</v>
      </c>
      <c r="B50" s="515"/>
      <c r="C50" s="515"/>
      <c r="D50" s="125">
        <v>0</v>
      </c>
      <c r="E50" s="126">
        <v>0</v>
      </c>
      <c r="F50" s="144">
        <f t="shared" si="0"/>
        <v>0</v>
      </c>
      <c r="G50" s="145"/>
      <c r="H50" s="127">
        <v>0</v>
      </c>
      <c r="I50" s="128">
        <v>0</v>
      </c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7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>
        <v>0</v>
      </c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7"/>
      <c r="D52" s="125">
        <v>0</v>
      </c>
      <c r="E52" s="126">
        <v>0</v>
      </c>
      <c r="F52" s="144">
        <f t="shared" si="0"/>
        <v>0</v>
      </c>
      <c r="G52" s="145"/>
      <c r="H52" s="127">
        <v>0</v>
      </c>
      <c r="I52" s="128">
        <v>0</v>
      </c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7"/>
      <c r="D53" s="125">
        <v>796</v>
      </c>
      <c r="E53" s="126">
        <v>623</v>
      </c>
      <c r="F53" s="144">
        <f t="shared" si="0"/>
        <v>-173</v>
      </c>
      <c r="G53" s="145">
        <f t="shared" si="3"/>
        <v>0.7826633165829145</v>
      </c>
      <c r="H53" s="127">
        <v>390</v>
      </c>
      <c r="I53" s="128">
        <v>0</v>
      </c>
      <c r="J53" s="124">
        <f t="shared" si="1"/>
        <v>390</v>
      </c>
      <c r="K53" s="144">
        <f t="shared" si="2"/>
        <v>-233</v>
      </c>
      <c r="L53" s="150">
        <f t="shared" si="4"/>
        <v>0.6260032102728732</v>
      </c>
    </row>
    <row r="54" spans="1:12" s="101" customFormat="1" ht="13.5">
      <c r="A54" s="529" t="s">
        <v>63</v>
      </c>
      <c r="B54" s="530"/>
      <c r="C54" s="530"/>
      <c r="D54" s="125">
        <v>630</v>
      </c>
      <c r="E54" s="126">
        <v>510</v>
      </c>
      <c r="F54" s="144">
        <f t="shared" si="0"/>
        <v>-120</v>
      </c>
      <c r="G54" s="145">
        <f t="shared" si="3"/>
        <v>0.8095238095238095</v>
      </c>
      <c r="H54" s="127">
        <v>250</v>
      </c>
      <c r="I54" s="128">
        <v>0</v>
      </c>
      <c r="J54" s="124">
        <f t="shared" si="1"/>
        <v>250</v>
      </c>
      <c r="K54" s="144">
        <f t="shared" si="2"/>
        <v>-260</v>
      </c>
      <c r="L54" s="150">
        <f t="shared" si="4"/>
        <v>0.49019607843137253</v>
      </c>
    </row>
    <row r="55" spans="1:12" s="101" customFormat="1" ht="13.5">
      <c r="A55" s="529" t="s">
        <v>169</v>
      </c>
      <c r="B55" s="530"/>
      <c r="C55" s="530"/>
      <c r="D55" s="125">
        <v>166</v>
      </c>
      <c r="E55" s="126">
        <v>106</v>
      </c>
      <c r="F55" s="144">
        <f t="shared" si="0"/>
        <v>-60</v>
      </c>
      <c r="G55" s="145">
        <f t="shared" si="3"/>
        <v>0.6385542168674698</v>
      </c>
      <c r="H55" s="127">
        <v>135</v>
      </c>
      <c r="I55" s="128">
        <v>0</v>
      </c>
      <c r="J55" s="124">
        <f t="shared" si="1"/>
        <v>135</v>
      </c>
      <c r="K55" s="144">
        <f t="shared" si="2"/>
        <v>29</v>
      </c>
      <c r="L55" s="150">
        <f t="shared" si="4"/>
        <v>1.2735849056603774</v>
      </c>
    </row>
    <row r="56" spans="1:12" s="101" customFormat="1" ht="13.5">
      <c r="A56" s="529" t="s">
        <v>133</v>
      </c>
      <c r="B56" s="530"/>
      <c r="C56" s="530"/>
      <c r="D56" s="125">
        <v>0</v>
      </c>
      <c r="E56" s="126">
        <v>6</v>
      </c>
      <c r="F56" s="144">
        <f t="shared" si="0"/>
        <v>6</v>
      </c>
      <c r="G56" s="145"/>
      <c r="H56" s="127">
        <v>5</v>
      </c>
      <c r="I56" s="128">
        <v>0</v>
      </c>
      <c r="J56" s="124">
        <f t="shared" si="1"/>
        <v>5</v>
      </c>
      <c r="K56" s="144">
        <f t="shared" si="2"/>
        <v>-1</v>
      </c>
      <c r="L56" s="150">
        <f t="shared" si="4"/>
        <v>0.8333333333333334</v>
      </c>
    </row>
    <row r="57" spans="1:12" s="101" customFormat="1" ht="13.5">
      <c r="A57" s="526" t="s">
        <v>64</v>
      </c>
      <c r="B57" s="527"/>
      <c r="C57" s="527"/>
      <c r="D57" s="125">
        <v>44</v>
      </c>
      <c r="E57" s="126">
        <v>39</v>
      </c>
      <c r="F57" s="144">
        <f t="shared" si="0"/>
        <v>-5</v>
      </c>
      <c r="G57" s="145">
        <f t="shared" si="3"/>
        <v>0.8863636363636364</v>
      </c>
      <c r="H57" s="127">
        <v>50</v>
      </c>
      <c r="I57" s="128">
        <v>0</v>
      </c>
      <c r="J57" s="124">
        <f t="shared" si="1"/>
        <v>50</v>
      </c>
      <c r="K57" s="144">
        <f t="shared" si="2"/>
        <v>11</v>
      </c>
      <c r="L57" s="150">
        <f t="shared" si="4"/>
        <v>1.2820512820512822</v>
      </c>
    </row>
    <row r="58" spans="1:12" s="101" customFormat="1" ht="13.5">
      <c r="A58" s="526" t="s">
        <v>65</v>
      </c>
      <c r="B58" s="527"/>
      <c r="C58" s="527"/>
      <c r="D58" s="125">
        <v>0</v>
      </c>
      <c r="E58" s="126">
        <v>1</v>
      </c>
      <c r="F58" s="144">
        <f t="shared" si="0"/>
        <v>1</v>
      </c>
      <c r="G58" s="145"/>
      <c r="H58" s="127">
        <v>1</v>
      </c>
      <c r="I58" s="128">
        <v>0</v>
      </c>
      <c r="J58" s="124">
        <f t="shared" si="1"/>
        <v>1</v>
      </c>
      <c r="K58" s="144">
        <f t="shared" si="2"/>
        <v>0</v>
      </c>
      <c r="L58" s="150">
        <f t="shared" si="4"/>
        <v>1</v>
      </c>
    </row>
    <row r="59" spans="1:14" s="101" customFormat="1" ht="13.5">
      <c r="A59" s="526" t="s">
        <v>66</v>
      </c>
      <c r="B59" s="527"/>
      <c r="C59" s="527"/>
      <c r="D59" s="125">
        <v>536</v>
      </c>
      <c r="E59" s="126">
        <v>604</v>
      </c>
      <c r="F59" s="144">
        <f t="shared" si="0"/>
        <v>68</v>
      </c>
      <c r="G59" s="145">
        <f t="shared" si="3"/>
        <v>1.126865671641791</v>
      </c>
      <c r="H59" s="127">
        <v>605</v>
      </c>
      <c r="I59" s="128">
        <v>0</v>
      </c>
      <c r="J59" s="124">
        <f t="shared" si="1"/>
        <v>605</v>
      </c>
      <c r="K59" s="144">
        <f t="shared" si="2"/>
        <v>1</v>
      </c>
      <c r="L59" s="150">
        <f t="shared" si="4"/>
        <v>1.0016556291390728</v>
      </c>
      <c r="N59" s="129"/>
    </row>
    <row r="60" spans="1:12" s="101" customFormat="1" ht="13.5">
      <c r="A60" s="514" t="s">
        <v>67</v>
      </c>
      <c r="B60" s="515"/>
      <c r="C60" s="515"/>
      <c r="D60" s="125">
        <v>0</v>
      </c>
      <c r="E60" s="126">
        <v>57</v>
      </c>
      <c r="F60" s="144">
        <f t="shared" si="0"/>
        <v>57</v>
      </c>
      <c r="G60" s="145"/>
      <c r="H60" s="127">
        <v>60</v>
      </c>
      <c r="I60" s="128">
        <v>0</v>
      </c>
      <c r="J60" s="124">
        <f t="shared" si="1"/>
        <v>60</v>
      </c>
      <c r="K60" s="144">
        <f t="shared" si="2"/>
        <v>3</v>
      </c>
      <c r="L60" s="150">
        <f t="shared" si="4"/>
        <v>1.0526315789473684</v>
      </c>
    </row>
    <row r="61" spans="1:12" s="101" customFormat="1" ht="13.5">
      <c r="A61" s="514" t="s">
        <v>68</v>
      </c>
      <c r="B61" s="515"/>
      <c r="C61" s="515"/>
      <c r="D61" s="125">
        <v>0</v>
      </c>
      <c r="E61" s="126">
        <v>0</v>
      </c>
      <c r="F61" s="144">
        <f t="shared" si="0"/>
        <v>0</v>
      </c>
      <c r="G61" s="145"/>
      <c r="H61" s="127">
        <v>0</v>
      </c>
      <c r="I61" s="128">
        <v>0</v>
      </c>
      <c r="J61" s="124">
        <f t="shared" si="1"/>
        <v>0</v>
      </c>
      <c r="K61" s="144">
        <f t="shared" si="2"/>
        <v>0</v>
      </c>
      <c r="L61" s="150"/>
    </row>
    <row r="62" spans="1:12" s="101" customFormat="1" ht="13.5">
      <c r="A62" s="514" t="s">
        <v>69</v>
      </c>
      <c r="B62" s="515"/>
      <c r="C62" s="515"/>
      <c r="D62" s="125">
        <v>0</v>
      </c>
      <c r="E62" s="126">
        <v>0</v>
      </c>
      <c r="F62" s="144">
        <f t="shared" si="0"/>
        <v>0</v>
      </c>
      <c r="G62" s="145"/>
      <c r="H62" s="127">
        <v>0</v>
      </c>
      <c r="I62" s="128">
        <v>0</v>
      </c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5"/>
      <c r="D63" s="125">
        <v>0</v>
      </c>
      <c r="E63" s="126">
        <v>0</v>
      </c>
      <c r="F63" s="144">
        <f t="shared" si="0"/>
        <v>0</v>
      </c>
      <c r="G63" s="145"/>
      <c r="H63" s="127">
        <v>0</v>
      </c>
      <c r="I63" s="128">
        <v>0</v>
      </c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514" t="s">
        <v>71</v>
      </c>
      <c r="B64" s="515"/>
      <c r="C64" s="515"/>
      <c r="D64" s="125">
        <v>0</v>
      </c>
      <c r="E64" s="126">
        <v>0</v>
      </c>
      <c r="F64" s="144">
        <f t="shared" si="0"/>
        <v>0</v>
      </c>
      <c r="G64" s="145"/>
      <c r="H64" s="127">
        <v>0</v>
      </c>
      <c r="I64" s="128">
        <v>0</v>
      </c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5"/>
      <c r="D65" s="125">
        <v>59</v>
      </c>
      <c r="E65" s="126">
        <v>62</v>
      </c>
      <c r="F65" s="144">
        <f t="shared" si="0"/>
        <v>3</v>
      </c>
      <c r="G65" s="145">
        <f t="shared" si="3"/>
        <v>1.0508474576271187</v>
      </c>
      <c r="H65" s="127">
        <v>65</v>
      </c>
      <c r="I65" s="128">
        <v>0</v>
      </c>
      <c r="J65" s="124">
        <f t="shared" si="1"/>
        <v>65</v>
      </c>
      <c r="K65" s="144">
        <f t="shared" si="2"/>
        <v>3</v>
      </c>
      <c r="L65" s="150">
        <f t="shared" si="4"/>
        <v>1.0483870967741935</v>
      </c>
    </row>
    <row r="66" spans="1:12" s="101" customFormat="1" ht="13.5">
      <c r="A66" s="514" t="s">
        <v>72</v>
      </c>
      <c r="B66" s="515"/>
      <c r="C66" s="515"/>
      <c r="D66" s="125">
        <v>36</v>
      </c>
      <c r="E66" s="126">
        <v>108</v>
      </c>
      <c r="F66" s="144">
        <f t="shared" si="0"/>
        <v>72</v>
      </c>
      <c r="G66" s="145">
        <f t="shared" si="3"/>
        <v>3</v>
      </c>
      <c r="H66" s="127">
        <v>80</v>
      </c>
      <c r="I66" s="128">
        <v>0</v>
      </c>
      <c r="J66" s="124">
        <f t="shared" si="1"/>
        <v>80</v>
      </c>
      <c r="K66" s="144">
        <f t="shared" si="2"/>
        <v>-28</v>
      </c>
      <c r="L66" s="150">
        <f t="shared" si="4"/>
        <v>0.7407407407407407</v>
      </c>
    </row>
    <row r="67" spans="1:12" s="101" customFormat="1" ht="13.5">
      <c r="A67" s="514" t="s">
        <v>73</v>
      </c>
      <c r="B67" s="515"/>
      <c r="C67" s="515"/>
      <c r="D67" s="125">
        <v>441</v>
      </c>
      <c r="E67" s="126">
        <v>377</v>
      </c>
      <c r="F67" s="144">
        <f t="shared" si="0"/>
        <v>-64</v>
      </c>
      <c r="G67" s="145">
        <f>E67/D67</f>
        <v>0.854875283446712</v>
      </c>
      <c r="H67" s="127">
        <v>400</v>
      </c>
      <c r="I67" s="128">
        <v>0</v>
      </c>
      <c r="J67" s="124">
        <f t="shared" si="1"/>
        <v>400</v>
      </c>
      <c r="K67" s="144">
        <f t="shared" si="2"/>
        <v>23</v>
      </c>
      <c r="L67" s="150">
        <f t="shared" si="4"/>
        <v>1.0610079575596818</v>
      </c>
    </row>
    <row r="68" spans="1:12" s="101" customFormat="1" ht="13.5">
      <c r="A68" s="514" t="s">
        <v>171</v>
      </c>
      <c r="B68" s="515"/>
      <c r="C68" s="515"/>
      <c r="D68" s="125">
        <v>0</v>
      </c>
      <c r="E68" s="126">
        <v>0</v>
      </c>
      <c r="F68" s="144">
        <f t="shared" si="0"/>
        <v>0</v>
      </c>
      <c r="G68" s="145"/>
      <c r="H68" s="127">
        <v>0</v>
      </c>
      <c r="I68" s="128">
        <v>0</v>
      </c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7"/>
      <c r="D69" s="125">
        <v>10813</v>
      </c>
      <c r="E69" s="126">
        <v>10942</v>
      </c>
      <c r="F69" s="144">
        <f t="shared" si="0"/>
        <v>129</v>
      </c>
      <c r="G69" s="145">
        <f t="shared" si="3"/>
        <v>1.011930084157958</v>
      </c>
      <c r="H69" s="127">
        <v>11221</v>
      </c>
      <c r="I69" s="128">
        <v>0</v>
      </c>
      <c r="J69" s="124">
        <f t="shared" si="1"/>
        <v>11221</v>
      </c>
      <c r="K69" s="144">
        <f t="shared" si="2"/>
        <v>279</v>
      </c>
      <c r="L69" s="150">
        <f t="shared" si="4"/>
        <v>1.025498080789618</v>
      </c>
      <c r="N69" s="129"/>
    </row>
    <row r="70" spans="1:12" s="101" customFormat="1" ht="13.5">
      <c r="A70" s="514" t="s">
        <v>75</v>
      </c>
      <c r="B70" s="515"/>
      <c r="C70" s="515"/>
      <c r="D70" s="125">
        <v>7992</v>
      </c>
      <c r="E70" s="126">
        <v>8010</v>
      </c>
      <c r="F70" s="144">
        <f t="shared" si="0"/>
        <v>18</v>
      </c>
      <c r="G70" s="145">
        <f t="shared" si="3"/>
        <v>1.0022522522522523</v>
      </c>
      <c r="H70" s="127">
        <v>8209</v>
      </c>
      <c r="I70" s="128">
        <v>0</v>
      </c>
      <c r="J70" s="124">
        <f t="shared" si="1"/>
        <v>8209</v>
      </c>
      <c r="K70" s="144">
        <f t="shared" si="2"/>
        <v>199</v>
      </c>
      <c r="L70" s="150">
        <f t="shared" si="4"/>
        <v>1.0248439450686642</v>
      </c>
    </row>
    <row r="71" spans="1:12" s="101" customFormat="1" ht="13.5">
      <c r="A71" s="514" t="s">
        <v>76</v>
      </c>
      <c r="B71" s="515"/>
      <c r="C71" s="515"/>
      <c r="D71" s="125">
        <v>7958</v>
      </c>
      <c r="E71" s="126">
        <v>7957</v>
      </c>
      <c r="F71" s="144">
        <f t="shared" si="0"/>
        <v>-1</v>
      </c>
      <c r="G71" s="145">
        <f>H700</f>
        <v>0</v>
      </c>
      <c r="H71" s="127">
        <v>8140</v>
      </c>
      <c r="I71" s="128">
        <v>0</v>
      </c>
      <c r="J71" s="124">
        <f t="shared" si="1"/>
        <v>8140</v>
      </c>
      <c r="K71" s="144">
        <f t="shared" si="2"/>
        <v>183</v>
      </c>
      <c r="L71" s="150">
        <f t="shared" si="4"/>
        <v>1.0229986175694357</v>
      </c>
    </row>
    <row r="72" spans="1:12" s="101" customFormat="1" ht="13.5">
      <c r="A72" s="514" t="s">
        <v>172</v>
      </c>
      <c r="B72" s="515"/>
      <c r="C72" s="515"/>
      <c r="D72" s="125">
        <v>7914</v>
      </c>
      <c r="E72" s="126">
        <v>7914</v>
      </c>
      <c r="F72" s="144">
        <f t="shared" si="0"/>
        <v>0</v>
      </c>
      <c r="G72" s="145">
        <f t="shared" si="3"/>
        <v>1</v>
      </c>
      <c r="H72" s="127">
        <v>8114</v>
      </c>
      <c r="I72" s="128">
        <v>0</v>
      </c>
      <c r="J72" s="124">
        <f t="shared" si="1"/>
        <v>8114</v>
      </c>
      <c r="K72" s="144">
        <f t="shared" si="2"/>
        <v>200</v>
      </c>
      <c r="L72" s="150">
        <f t="shared" si="4"/>
        <v>1.0252716704574172</v>
      </c>
    </row>
    <row r="73" spans="1:14" s="101" customFormat="1" ht="13.5">
      <c r="A73" s="514" t="s">
        <v>77</v>
      </c>
      <c r="B73" s="515"/>
      <c r="C73" s="515"/>
      <c r="D73" s="125">
        <v>34</v>
      </c>
      <c r="E73" s="126">
        <v>53</v>
      </c>
      <c r="F73" s="144">
        <f t="shared" si="0"/>
        <v>19</v>
      </c>
      <c r="G73" s="145">
        <f t="shared" si="3"/>
        <v>1.5588235294117647</v>
      </c>
      <c r="H73" s="127">
        <v>50</v>
      </c>
      <c r="I73" s="128">
        <v>0</v>
      </c>
      <c r="J73" s="124">
        <f t="shared" si="1"/>
        <v>50</v>
      </c>
      <c r="K73" s="144">
        <f t="shared" si="2"/>
        <v>-3</v>
      </c>
      <c r="L73" s="150">
        <f t="shared" si="4"/>
        <v>0.9433962264150944</v>
      </c>
      <c r="N73" s="129"/>
    </row>
    <row r="74" spans="1:12" s="101" customFormat="1" ht="13.5">
      <c r="A74" s="514" t="s">
        <v>78</v>
      </c>
      <c r="B74" s="515"/>
      <c r="C74" s="515"/>
      <c r="D74" s="125">
        <v>2821</v>
      </c>
      <c r="E74" s="126">
        <v>2932</v>
      </c>
      <c r="F74" s="144">
        <f t="shared" si="0"/>
        <v>111</v>
      </c>
      <c r="G74" s="145">
        <f t="shared" si="3"/>
        <v>1.0393477490251684</v>
      </c>
      <c r="H74" s="127">
        <v>3012</v>
      </c>
      <c r="I74" s="128">
        <v>0</v>
      </c>
      <c r="J74" s="124">
        <f t="shared" si="1"/>
        <v>3012</v>
      </c>
      <c r="K74" s="144">
        <f t="shared" si="2"/>
        <v>80</v>
      </c>
      <c r="L74" s="150">
        <f t="shared" si="4"/>
        <v>1.0272851296043657</v>
      </c>
    </row>
    <row r="75" spans="1:15" s="101" customFormat="1" ht="13.5">
      <c r="A75" s="526" t="s">
        <v>79</v>
      </c>
      <c r="B75" s="527"/>
      <c r="C75" s="527"/>
      <c r="D75" s="125">
        <v>0</v>
      </c>
      <c r="E75" s="126">
        <v>0</v>
      </c>
      <c r="F75" s="144">
        <f t="shared" si="0"/>
        <v>0</v>
      </c>
      <c r="G75" s="145"/>
      <c r="H75" s="127">
        <v>0</v>
      </c>
      <c r="I75" s="128">
        <v>0</v>
      </c>
      <c r="J75" s="124">
        <f t="shared" si="1"/>
        <v>0</v>
      </c>
      <c r="K75" s="144">
        <f t="shared" si="2"/>
        <v>0</v>
      </c>
      <c r="L75" s="150"/>
      <c r="N75" s="129"/>
      <c r="O75" s="139"/>
    </row>
    <row r="76" spans="1:12" s="101" customFormat="1" ht="13.5">
      <c r="A76" s="514" t="s">
        <v>80</v>
      </c>
      <c r="B76" s="515"/>
      <c r="C76" s="515"/>
      <c r="D76" s="125">
        <v>0</v>
      </c>
      <c r="E76" s="126">
        <v>0</v>
      </c>
      <c r="F76" s="144">
        <f aca="true" t="shared" si="5" ref="F76:F90">E76-D76</f>
        <v>0</v>
      </c>
      <c r="G76" s="145"/>
      <c r="H76" s="127">
        <v>0</v>
      </c>
      <c r="I76" s="128">
        <v>0</v>
      </c>
      <c r="J76" s="124">
        <f aca="true" t="shared" si="6" ref="J76:J92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7"/>
      <c r="D77" s="125">
        <v>117</v>
      </c>
      <c r="E77" s="126">
        <v>60</v>
      </c>
      <c r="F77" s="144">
        <f t="shared" si="5"/>
        <v>-57</v>
      </c>
      <c r="G77" s="145">
        <f>E77/D77</f>
        <v>0.5128205128205128</v>
      </c>
      <c r="H77" s="127">
        <v>60</v>
      </c>
      <c r="I77" s="128">
        <v>0</v>
      </c>
      <c r="J77" s="124">
        <f t="shared" si="6"/>
        <v>60</v>
      </c>
      <c r="K77" s="144">
        <f t="shared" si="7"/>
        <v>0</v>
      </c>
      <c r="L77" s="150">
        <f>J77/E77</f>
        <v>1</v>
      </c>
    </row>
    <row r="78" spans="1:12" s="101" customFormat="1" ht="13.5">
      <c r="A78" s="514" t="s">
        <v>82</v>
      </c>
      <c r="B78" s="515"/>
      <c r="C78" s="515"/>
      <c r="D78" s="138">
        <v>0</v>
      </c>
      <c r="E78" s="130">
        <v>0</v>
      </c>
      <c r="F78" s="144">
        <f t="shared" si="5"/>
        <v>0</v>
      </c>
      <c r="G78" s="145"/>
      <c r="H78" s="122">
        <v>0</v>
      </c>
      <c r="I78" s="123">
        <v>0</v>
      </c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514" t="s">
        <v>83</v>
      </c>
      <c r="B79" s="515"/>
      <c r="C79" s="515"/>
      <c r="D79" s="125">
        <v>0</v>
      </c>
      <c r="E79" s="126">
        <v>0</v>
      </c>
      <c r="F79" s="144">
        <f t="shared" si="5"/>
        <v>0</v>
      </c>
      <c r="G79" s="145"/>
      <c r="H79" s="127">
        <v>0</v>
      </c>
      <c r="I79" s="128">
        <v>0</v>
      </c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7"/>
      <c r="D80" s="125">
        <v>465</v>
      </c>
      <c r="E80" s="126">
        <v>675</v>
      </c>
      <c r="F80" s="144">
        <f t="shared" si="5"/>
        <v>210</v>
      </c>
      <c r="G80" s="145">
        <f>E80/D80</f>
        <v>1.4516129032258065</v>
      </c>
      <c r="H80" s="127">
        <v>658</v>
      </c>
      <c r="I80" s="128">
        <v>0</v>
      </c>
      <c r="J80" s="124">
        <f t="shared" si="6"/>
        <v>658</v>
      </c>
      <c r="K80" s="144">
        <f t="shared" si="7"/>
        <v>-17</v>
      </c>
      <c r="L80" s="150">
        <f>J80/E80</f>
        <v>0.9748148148148148</v>
      </c>
    </row>
    <row r="81" spans="1:12" s="101" customFormat="1" ht="13.5">
      <c r="A81" s="514" t="s">
        <v>85</v>
      </c>
      <c r="B81" s="515"/>
      <c r="C81" s="515"/>
      <c r="D81" s="125">
        <v>465</v>
      </c>
      <c r="E81" s="126">
        <v>418</v>
      </c>
      <c r="F81" s="144">
        <f t="shared" si="5"/>
        <v>-47</v>
      </c>
      <c r="G81" s="145">
        <f>E81/D81</f>
        <v>0.8989247311827957</v>
      </c>
      <c r="H81" s="366">
        <v>458</v>
      </c>
      <c r="I81" s="128">
        <v>0</v>
      </c>
      <c r="J81" s="124">
        <f t="shared" si="6"/>
        <v>458</v>
      </c>
      <c r="K81" s="144">
        <f t="shared" si="7"/>
        <v>40</v>
      </c>
      <c r="L81" s="150">
        <f>J81/E81</f>
        <v>1.0956937799043063</v>
      </c>
    </row>
    <row r="82" spans="1:12" s="101" customFormat="1" ht="13.5">
      <c r="A82" s="514" t="s">
        <v>86</v>
      </c>
      <c r="B82" s="515"/>
      <c r="C82" s="515"/>
      <c r="D82" s="125">
        <v>0</v>
      </c>
      <c r="E82" s="126">
        <v>0</v>
      </c>
      <c r="F82" s="144">
        <f t="shared" si="5"/>
        <v>0</v>
      </c>
      <c r="G82" s="145"/>
      <c r="H82" s="127">
        <v>0</v>
      </c>
      <c r="I82" s="128">
        <v>0</v>
      </c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514" t="s">
        <v>173</v>
      </c>
      <c r="B83" s="515"/>
      <c r="C83" s="515"/>
      <c r="D83" s="125">
        <v>0</v>
      </c>
      <c r="E83" s="126">
        <v>0</v>
      </c>
      <c r="F83" s="144">
        <f t="shared" si="5"/>
        <v>0</v>
      </c>
      <c r="G83" s="145"/>
      <c r="H83" s="127">
        <v>0</v>
      </c>
      <c r="I83" s="128">
        <v>0</v>
      </c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514" t="s">
        <v>87</v>
      </c>
      <c r="B84" s="515"/>
      <c r="C84" s="515"/>
      <c r="D84" s="125">
        <v>0</v>
      </c>
      <c r="E84" s="126">
        <v>257</v>
      </c>
      <c r="F84" s="144">
        <f t="shared" si="5"/>
        <v>257</v>
      </c>
      <c r="G84" s="145"/>
      <c r="H84" s="127">
        <v>200</v>
      </c>
      <c r="I84" s="128">
        <v>0</v>
      </c>
      <c r="J84" s="124">
        <f t="shared" si="6"/>
        <v>200</v>
      </c>
      <c r="K84" s="144">
        <f t="shared" si="7"/>
        <v>-57</v>
      </c>
      <c r="L84" s="150">
        <f>J84/E84</f>
        <v>0.7782101167315175</v>
      </c>
    </row>
    <row r="85" spans="1:12" s="101" customFormat="1" ht="13.5">
      <c r="A85" s="514" t="s">
        <v>174</v>
      </c>
      <c r="B85" s="515"/>
      <c r="C85" s="515"/>
      <c r="D85" s="125">
        <v>0</v>
      </c>
      <c r="E85" s="126">
        <v>227</v>
      </c>
      <c r="F85" s="144">
        <f t="shared" si="5"/>
        <v>227</v>
      </c>
      <c r="G85" s="145"/>
      <c r="H85" s="127">
        <v>200</v>
      </c>
      <c r="I85" s="128">
        <v>0</v>
      </c>
      <c r="J85" s="124">
        <f t="shared" si="6"/>
        <v>200</v>
      </c>
      <c r="K85" s="144">
        <f t="shared" si="7"/>
        <v>-27</v>
      </c>
      <c r="L85" s="150">
        <f>J85/E85</f>
        <v>0.8810572687224669</v>
      </c>
    </row>
    <row r="86" spans="1:14" s="101" customFormat="1" ht="13.5">
      <c r="A86" s="514" t="s">
        <v>175</v>
      </c>
      <c r="B86" s="515"/>
      <c r="C86" s="515"/>
      <c r="D86" s="125">
        <v>0</v>
      </c>
      <c r="E86" s="126">
        <v>0</v>
      </c>
      <c r="F86" s="144">
        <f t="shared" si="5"/>
        <v>0</v>
      </c>
      <c r="G86" s="145"/>
      <c r="H86" s="127">
        <v>0</v>
      </c>
      <c r="I86" s="128">
        <v>0</v>
      </c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526" t="s">
        <v>88</v>
      </c>
      <c r="B87" s="527"/>
      <c r="C87" s="527"/>
      <c r="D87" s="125">
        <v>19</v>
      </c>
      <c r="E87" s="126">
        <v>0</v>
      </c>
      <c r="F87" s="144">
        <f t="shared" si="5"/>
        <v>-19</v>
      </c>
      <c r="G87" s="145">
        <f>E87/D87</f>
        <v>0</v>
      </c>
      <c r="H87" s="127">
        <v>0</v>
      </c>
      <c r="I87" s="128">
        <v>0</v>
      </c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5"/>
      <c r="D88" s="125">
        <v>0</v>
      </c>
      <c r="E88" s="126">
        <v>0</v>
      </c>
      <c r="F88" s="144">
        <f t="shared" si="5"/>
        <v>0</v>
      </c>
      <c r="G88" s="145"/>
      <c r="H88" s="127">
        <v>0</v>
      </c>
      <c r="I88" s="128">
        <v>0</v>
      </c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7"/>
      <c r="D89" s="125">
        <v>0</v>
      </c>
      <c r="E89" s="126">
        <v>0</v>
      </c>
      <c r="F89" s="144">
        <f t="shared" si="5"/>
        <v>0</v>
      </c>
      <c r="G89" s="145"/>
      <c r="H89" s="127">
        <v>0</v>
      </c>
      <c r="I89" s="128">
        <v>0</v>
      </c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15"/>
      <c r="D90" s="245">
        <v>0</v>
      </c>
      <c r="E90" s="140">
        <v>0</v>
      </c>
      <c r="F90" s="144">
        <f t="shared" si="5"/>
        <v>0</v>
      </c>
      <c r="G90" s="145"/>
      <c r="H90" s="127">
        <v>0</v>
      </c>
      <c r="I90" s="128">
        <v>0</v>
      </c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16877</v>
      </c>
      <c r="E91" s="178">
        <v>16741</v>
      </c>
      <c r="F91" s="179"/>
      <c r="G91" s="179"/>
      <c r="H91" s="180">
        <v>17000</v>
      </c>
      <c r="I91" s="180">
        <v>0</v>
      </c>
      <c r="J91" s="181">
        <f t="shared" si="6"/>
        <v>17000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/>
      <c r="E92" s="184">
        <v>68</v>
      </c>
      <c r="F92" s="185"/>
      <c r="G92" s="185"/>
      <c r="H92" s="184">
        <v>0</v>
      </c>
      <c r="I92" s="184">
        <v>0</v>
      </c>
      <c r="J92" s="186">
        <f t="shared" si="6"/>
        <v>0</v>
      </c>
      <c r="K92" s="170"/>
      <c r="L92" s="187"/>
      <c r="M92" s="141"/>
      <c r="N92" s="141"/>
      <c r="O92" s="143"/>
    </row>
    <row r="93" spans="1:15" s="34" customFormat="1" ht="13.5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5" s="34" customFormat="1" ht="13.5">
      <c r="A94" s="35"/>
      <c r="B94" s="36"/>
      <c r="C94" s="36"/>
      <c r="D94" s="37"/>
      <c r="E94" s="38"/>
      <c r="F94" s="36"/>
      <c r="G94" s="36"/>
      <c r="H94" s="39"/>
      <c r="I94" s="40"/>
      <c r="J94" s="41"/>
      <c r="K94" s="35"/>
      <c r="L94" s="36"/>
      <c r="M94" s="36"/>
      <c r="N94" s="36"/>
      <c r="O94" s="39"/>
    </row>
    <row r="95" spans="1:14" ht="14.25" thickBot="1">
      <c r="A95" s="428" t="s">
        <v>178</v>
      </c>
      <c r="B95" s="428"/>
      <c r="C95" s="565" t="s">
        <v>104</v>
      </c>
      <c r="D95" s="42"/>
      <c r="E95" s="600" t="s">
        <v>179</v>
      </c>
      <c r="F95" s="600"/>
      <c r="G95" s="600"/>
      <c r="H95" s="600"/>
      <c r="I95" s="601" t="s">
        <v>104</v>
      </c>
      <c r="J95" s="43"/>
      <c r="K95" s="43"/>
      <c r="L95" s="43"/>
      <c r="M95" s="43"/>
      <c r="N95" s="43"/>
    </row>
    <row r="96" spans="1:14" ht="14.25" thickBot="1">
      <c r="A96" s="428"/>
      <c r="B96" s="428"/>
      <c r="C96" s="565"/>
      <c r="D96" s="42"/>
      <c r="E96" s="428"/>
      <c r="F96" s="428"/>
      <c r="G96" s="428"/>
      <c r="H96" s="428"/>
      <c r="I96" s="601"/>
      <c r="J96" s="43"/>
      <c r="K96" s="43"/>
      <c r="L96" s="43"/>
      <c r="M96" s="43"/>
      <c r="N96" s="43"/>
    </row>
    <row r="97" spans="1:14" ht="14.25" thickBot="1">
      <c r="A97" s="603" t="s">
        <v>234</v>
      </c>
      <c r="B97" s="603"/>
      <c r="C97" s="109">
        <v>250</v>
      </c>
      <c r="D97" s="92"/>
      <c r="E97" s="433" t="s">
        <v>237</v>
      </c>
      <c r="F97" s="434"/>
      <c r="G97" s="434"/>
      <c r="H97" s="612"/>
      <c r="I97" s="258">
        <v>100</v>
      </c>
      <c r="J97" s="43"/>
      <c r="K97" s="43"/>
      <c r="L97" s="43"/>
      <c r="M97" s="43"/>
      <c r="N97" s="38" t="s">
        <v>105</v>
      </c>
    </row>
    <row r="98" spans="1:14" ht="13.5">
      <c r="A98" s="603" t="s">
        <v>235</v>
      </c>
      <c r="B98" s="603"/>
      <c r="C98" s="109">
        <v>70</v>
      </c>
      <c r="D98" s="92"/>
      <c r="E98" s="437" t="s">
        <v>238</v>
      </c>
      <c r="F98" s="438"/>
      <c r="G98" s="438"/>
      <c r="H98" s="613"/>
      <c r="I98" s="259">
        <v>60</v>
      </c>
      <c r="J98" s="43"/>
      <c r="K98" s="44" t="s">
        <v>106</v>
      </c>
      <c r="L98" s="44"/>
      <c r="M98" s="45">
        <v>2011</v>
      </c>
      <c r="N98" s="46">
        <v>2012</v>
      </c>
    </row>
    <row r="99" spans="1:14" ht="13.5">
      <c r="A99" s="603" t="s">
        <v>236</v>
      </c>
      <c r="B99" s="603"/>
      <c r="C99" s="109">
        <v>60</v>
      </c>
      <c r="D99" s="92"/>
      <c r="E99" s="437" t="s">
        <v>239</v>
      </c>
      <c r="F99" s="438"/>
      <c r="G99" s="438"/>
      <c r="H99" s="613"/>
      <c r="I99" s="259">
        <v>100</v>
      </c>
      <c r="J99" s="43"/>
      <c r="K99" s="47" t="s">
        <v>107</v>
      </c>
      <c r="L99" s="47"/>
      <c r="M99" s="48">
        <v>0</v>
      </c>
      <c r="N99" s="49">
        <v>0</v>
      </c>
    </row>
    <row r="100" spans="1:14" ht="13.5">
      <c r="A100" s="603" t="s">
        <v>136</v>
      </c>
      <c r="B100" s="603"/>
      <c r="C100" s="296">
        <v>166</v>
      </c>
      <c r="D100" s="92"/>
      <c r="E100" s="437" t="s">
        <v>240</v>
      </c>
      <c r="F100" s="438"/>
      <c r="G100" s="438"/>
      <c r="H100" s="613"/>
      <c r="I100" s="259">
        <v>5</v>
      </c>
      <c r="J100" s="43"/>
      <c r="K100" s="47" t="s">
        <v>108</v>
      </c>
      <c r="L100" s="50"/>
      <c r="M100" s="51">
        <v>0</v>
      </c>
      <c r="N100" s="52">
        <v>0</v>
      </c>
    </row>
    <row r="101" spans="1:14" ht="14.25" thickBot="1">
      <c r="A101" s="603"/>
      <c r="B101" s="603"/>
      <c r="C101" s="93"/>
      <c r="D101" s="92"/>
      <c r="E101" s="437" t="s">
        <v>241</v>
      </c>
      <c r="F101" s="438"/>
      <c r="G101" s="438"/>
      <c r="H101" s="613"/>
      <c r="I101" s="260">
        <v>25</v>
      </c>
      <c r="J101" s="43"/>
      <c r="K101" s="53" t="s">
        <v>109</v>
      </c>
      <c r="L101" s="54"/>
      <c r="M101" s="55">
        <v>0</v>
      </c>
      <c r="N101" s="56">
        <v>0</v>
      </c>
    </row>
    <row r="102" spans="1:14" ht="13.5">
      <c r="A102" s="614"/>
      <c r="B102" s="614"/>
      <c r="C102" s="93"/>
      <c r="D102" s="92"/>
      <c r="E102" s="437" t="s">
        <v>242</v>
      </c>
      <c r="F102" s="438"/>
      <c r="G102" s="438"/>
      <c r="H102" s="613"/>
      <c r="I102" s="260">
        <v>100</v>
      </c>
      <c r="J102" s="43"/>
      <c r="K102" s="43"/>
      <c r="L102" s="43"/>
      <c r="M102" s="43"/>
      <c r="N102" s="43"/>
    </row>
    <row r="103" spans="1:14" ht="13.5">
      <c r="A103" s="614"/>
      <c r="B103" s="614"/>
      <c r="C103" s="93"/>
      <c r="D103" s="92"/>
      <c r="E103" s="437"/>
      <c r="F103" s="438"/>
      <c r="G103" s="438"/>
      <c r="H103" s="613"/>
      <c r="I103" s="256"/>
      <c r="J103" s="43"/>
      <c r="K103" s="43"/>
      <c r="L103" s="43"/>
      <c r="M103" s="43"/>
      <c r="N103" s="43"/>
    </row>
    <row r="104" spans="1:14" ht="14.25" thickBot="1">
      <c r="A104" s="615"/>
      <c r="B104" s="615"/>
      <c r="C104" s="57"/>
      <c r="D104" s="92"/>
      <c r="E104" s="443"/>
      <c r="F104" s="444"/>
      <c r="G104" s="444"/>
      <c r="H104" s="616"/>
      <c r="I104" s="257"/>
      <c r="J104" s="43"/>
      <c r="K104" s="43"/>
      <c r="L104" s="43"/>
      <c r="M104" s="43"/>
      <c r="N104" s="43"/>
    </row>
    <row r="105" spans="1:14" ht="14.25" thickBot="1">
      <c r="A105" s="607" t="s">
        <v>97</v>
      </c>
      <c r="B105" s="607"/>
      <c r="C105" s="373">
        <f>SUM(C97:C103)</f>
        <v>546</v>
      </c>
      <c r="D105" s="59"/>
      <c r="E105" s="611" t="s">
        <v>97</v>
      </c>
      <c r="F105" s="611"/>
      <c r="G105" s="611"/>
      <c r="H105" s="611"/>
      <c r="I105" s="60">
        <f>SUM(I97:I104)</f>
        <v>390</v>
      </c>
      <c r="J105" s="43"/>
      <c r="K105" s="43"/>
      <c r="L105" s="43"/>
      <c r="M105" s="43"/>
      <c r="N105" s="61"/>
    </row>
    <row r="106" spans="1:5" s="34" customFormat="1" ht="13.5">
      <c r="A106" s="108"/>
      <c r="B106" s="62"/>
      <c r="C106" s="62"/>
      <c r="D106" s="62"/>
      <c r="E106" s="62"/>
    </row>
    <row r="107" spans="1:12" s="34" customFormat="1" ht="14.25" thickBot="1">
      <c r="A107" s="63" t="s">
        <v>181</v>
      </c>
      <c r="B107" s="36"/>
      <c r="C107" s="36"/>
      <c r="D107" s="36"/>
      <c r="E107" s="39"/>
      <c r="F107" s="41"/>
      <c r="G107" s="41"/>
      <c r="H107" s="35"/>
      <c r="I107" s="36"/>
      <c r="J107" s="36" t="s">
        <v>110</v>
      </c>
      <c r="K107" s="36"/>
      <c r="L107" s="39"/>
    </row>
    <row r="108" spans="1:11" s="34" customFormat="1" ht="13.5">
      <c r="A108" s="449" t="s">
        <v>111</v>
      </c>
      <c r="B108" s="452" t="s">
        <v>248</v>
      </c>
      <c r="C108" s="459" t="s">
        <v>182</v>
      </c>
      <c r="D108" s="460"/>
      <c r="E108" s="460"/>
      <c r="F108" s="460"/>
      <c r="G108" s="460"/>
      <c r="H108" s="460"/>
      <c r="I108" s="460"/>
      <c r="J108" s="461"/>
      <c r="K108" s="455" t="s">
        <v>183</v>
      </c>
    </row>
    <row r="109" spans="1:11" s="34" customFormat="1" ht="13.5">
      <c r="A109" s="450"/>
      <c r="B109" s="453"/>
      <c r="C109" s="458" t="s">
        <v>112</v>
      </c>
      <c r="D109" s="462" t="s">
        <v>113</v>
      </c>
      <c r="E109" s="462"/>
      <c r="F109" s="462"/>
      <c r="G109" s="462"/>
      <c r="H109" s="462"/>
      <c r="I109" s="462"/>
      <c r="J109" s="463"/>
      <c r="K109" s="456"/>
    </row>
    <row r="110" spans="1:12" s="34" customFormat="1" ht="14.25" thickBot="1">
      <c r="A110" s="451"/>
      <c r="B110" s="454"/>
      <c r="C110" s="458"/>
      <c r="D110" s="164">
        <v>1</v>
      </c>
      <c r="E110" s="164">
        <v>2</v>
      </c>
      <c r="F110" s="164">
        <v>3</v>
      </c>
      <c r="G110" s="164">
        <v>4</v>
      </c>
      <c r="H110" s="164">
        <v>5</v>
      </c>
      <c r="I110" s="164">
        <v>6</v>
      </c>
      <c r="J110" s="165">
        <v>7</v>
      </c>
      <c r="K110" s="457"/>
      <c r="L110" s="71"/>
    </row>
    <row r="111" spans="1:11" s="34" customFormat="1" ht="14.25" thickBot="1">
      <c r="A111" s="64">
        <v>20441</v>
      </c>
      <c r="B111" s="65">
        <v>3771</v>
      </c>
      <c r="C111" s="364">
        <f>SUM(D111:J111)</f>
        <v>458</v>
      </c>
      <c r="D111" s="167">
        <v>0</v>
      </c>
      <c r="E111" s="167">
        <v>267</v>
      </c>
      <c r="F111" s="167">
        <v>25</v>
      </c>
      <c r="G111" s="167">
        <v>0</v>
      </c>
      <c r="H111" s="167">
        <v>166</v>
      </c>
      <c r="I111" s="168">
        <v>0</v>
      </c>
      <c r="J111" s="225">
        <v>0</v>
      </c>
      <c r="K111" s="163">
        <v>16212</v>
      </c>
    </row>
    <row r="112" spans="1:5" s="34" customFormat="1" ht="13.5">
      <c r="A112" s="59"/>
      <c r="B112" s="62"/>
      <c r="C112" s="62"/>
      <c r="D112" s="62"/>
      <c r="E112" s="62"/>
    </row>
    <row r="113" spans="1:8" s="34" customFormat="1" ht="14.25" thickBot="1">
      <c r="A113" s="63" t="s">
        <v>184</v>
      </c>
      <c r="C113" s="36"/>
      <c r="D113" s="36"/>
      <c r="E113" s="36"/>
      <c r="F113" s="36" t="s">
        <v>110</v>
      </c>
      <c r="G113" s="41"/>
      <c r="H113" s="35"/>
    </row>
    <row r="114" spans="1:6" s="34" customFormat="1" ht="15" customHeight="1" thickBot="1">
      <c r="A114" s="467" t="s">
        <v>114</v>
      </c>
      <c r="B114" s="469" t="s">
        <v>188</v>
      </c>
      <c r="C114" s="188" t="s">
        <v>185</v>
      </c>
      <c r="D114" s="189"/>
      <c r="E114" s="189"/>
      <c r="F114" s="190"/>
    </row>
    <row r="115" spans="1:6" s="34" customFormat="1" ht="27.75" thickBot="1">
      <c r="A115" s="468"/>
      <c r="B115" s="469"/>
      <c r="C115" s="67" t="s">
        <v>186</v>
      </c>
      <c r="D115" s="66" t="s">
        <v>115</v>
      </c>
      <c r="E115" s="67" t="s">
        <v>116</v>
      </c>
      <c r="F115" s="191" t="s">
        <v>187</v>
      </c>
    </row>
    <row r="116" spans="1:6" s="34" customFormat="1" ht="13.5">
      <c r="A116" s="192" t="s">
        <v>117</v>
      </c>
      <c r="B116" s="218">
        <v>2402.7</v>
      </c>
      <c r="C116" s="68" t="s">
        <v>118</v>
      </c>
      <c r="D116" s="69" t="s">
        <v>118</v>
      </c>
      <c r="E116" s="69" t="s">
        <v>118</v>
      </c>
      <c r="F116" s="193" t="s">
        <v>118</v>
      </c>
    </row>
    <row r="117" spans="1:13" s="34" customFormat="1" ht="13.5">
      <c r="A117" s="194" t="s">
        <v>119</v>
      </c>
      <c r="B117" s="219">
        <v>61</v>
      </c>
      <c r="C117" s="197">
        <v>61</v>
      </c>
      <c r="D117" s="106">
        <v>0</v>
      </c>
      <c r="E117" s="106">
        <v>0</v>
      </c>
      <c r="F117" s="198">
        <f>C117+D117-E117</f>
        <v>61</v>
      </c>
      <c r="M117" s="71"/>
    </row>
    <row r="118" spans="1:13" s="34" customFormat="1" ht="13.5">
      <c r="A118" s="194" t="s">
        <v>120</v>
      </c>
      <c r="B118" s="219">
        <v>263</v>
      </c>
      <c r="C118" s="197">
        <f>263+0</f>
        <v>263</v>
      </c>
      <c r="D118" s="106">
        <v>68</v>
      </c>
      <c r="E118" s="106">
        <v>250</v>
      </c>
      <c r="F118" s="198">
        <f>C118+D118-E118</f>
        <v>81</v>
      </c>
      <c r="M118" s="71"/>
    </row>
    <row r="119" spans="1:13" s="34" customFormat="1" ht="13.5">
      <c r="A119" s="194" t="s">
        <v>121</v>
      </c>
      <c r="B119" s="219">
        <v>410</v>
      </c>
      <c r="C119" s="72">
        <v>410</v>
      </c>
      <c r="D119" s="206">
        <v>458</v>
      </c>
      <c r="E119" s="206">
        <v>546</v>
      </c>
      <c r="F119" s="198">
        <f>C119+D119-E119</f>
        <v>322</v>
      </c>
      <c r="M119" s="71"/>
    </row>
    <row r="120" spans="1:13" s="34" customFormat="1" ht="13.5">
      <c r="A120" s="194" t="s">
        <v>122</v>
      </c>
      <c r="B120" s="219">
        <f>B116-B117-B118-B119</f>
        <v>1668.6999999999998</v>
      </c>
      <c r="C120" s="74" t="s">
        <v>118</v>
      </c>
      <c r="D120" s="75" t="s">
        <v>118</v>
      </c>
      <c r="E120" s="76" t="s">
        <v>118</v>
      </c>
      <c r="F120" s="195" t="s">
        <v>118</v>
      </c>
      <c r="M120" s="71"/>
    </row>
    <row r="121" spans="1:13" s="34" customFormat="1" ht="14.25" thickBot="1">
      <c r="A121" s="196" t="s">
        <v>123</v>
      </c>
      <c r="B121" s="220">
        <v>114</v>
      </c>
      <c r="C121" s="199">
        <v>117</v>
      </c>
      <c r="D121" s="200">
        <v>81</v>
      </c>
      <c r="E121" s="207">
        <v>120</v>
      </c>
      <c r="F121" s="201">
        <f>C121+D121-E121</f>
        <v>78</v>
      </c>
      <c r="M121" s="71"/>
    </row>
    <row r="122" spans="1:15" s="34" customFormat="1" ht="13.5">
      <c r="A122" s="35"/>
      <c r="B122" s="36"/>
      <c r="C122" s="36"/>
      <c r="D122" s="37"/>
      <c r="E122" s="38"/>
      <c r="F122" s="36"/>
      <c r="G122" s="36"/>
      <c r="H122" s="39"/>
      <c r="I122" s="40"/>
      <c r="J122" s="41"/>
      <c r="K122" s="35"/>
      <c r="L122" s="36"/>
      <c r="M122" s="36"/>
      <c r="N122" s="36"/>
      <c r="O122" s="39"/>
    </row>
    <row r="123" spans="1:11" ht="13.5">
      <c r="A123" s="63"/>
      <c r="K123" s="36"/>
    </row>
    <row r="124" spans="1:11" ht="14.25" thickBot="1">
      <c r="A124" s="63" t="s">
        <v>189</v>
      </c>
      <c r="K124" s="36" t="s">
        <v>110</v>
      </c>
    </row>
    <row r="125" spans="1:11" ht="13.5">
      <c r="A125" s="464" t="s">
        <v>124</v>
      </c>
      <c r="B125" s="465"/>
      <c r="C125" s="466"/>
      <c r="D125" s="78"/>
      <c r="E125" s="464" t="s">
        <v>125</v>
      </c>
      <c r="F125" s="465"/>
      <c r="G125" s="466"/>
      <c r="I125" s="464" t="s">
        <v>126</v>
      </c>
      <c r="J125" s="465"/>
      <c r="K125" s="466"/>
    </row>
    <row r="126" spans="1:11" ht="14.25" thickBot="1">
      <c r="A126" s="79" t="s">
        <v>127</v>
      </c>
      <c r="B126" s="80" t="s">
        <v>128</v>
      </c>
      <c r="C126" s="81" t="s">
        <v>129</v>
      </c>
      <c r="D126" s="78"/>
      <c r="E126" s="82"/>
      <c r="F126" s="470" t="s">
        <v>130</v>
      </c>
      <c r="G126" s="471"/>
      <c r="I126" s="79"/>
      <c r="J126" s="80" t="s">
        <v>131</v>
      </c>
      <c r="K126" s="81" t="s">
        <v>129</v>
      </c>
    </row>
    <row r="127" spans="1:11" ht="13.5">
      <c r="A127" s="83">
        <v>2012</v>
      </c>
      <c r="B127" s="84">
        <v>34</v>
      </c>
      <c r="C127" s="85">
        <v>33</v>
      </c>
      <c r="D127" s="37"/>
      <c r="E127" s="83">
        <v>2012</v>
      </c>
      <c r="F127" s="472">
        <v>70</v>
      </c>
      <c r="G127" s="473"/>
      <c r="I127" s="83">
        <v>2012</v>
      </c>
      <c r="J127" s="84">
        <v>7914</v>
      </c>
      <c r="K127" s="85">
        <v>7914</v>
      </c>
    </row>
    <row r="128" spans="1:11" ht="14.25" thickBot="1">
      <c r="A128" s="86">
        <v>2013</v>
      </c>
      <c r="B128" s="87">
        <v>35</v>
      </c>
      <c r="C128" s="88" t="s">
        <v>92</v>
      </c>
      <c r="D128" s="37"/>
      <c r="E128" s="86">
        <v>2013</v>
      </c>
      <c r="F128" s="388">
        <v>70</v>
      </c>
      <c r="G128" s="389"/>
      <c r="I128" s="86">
        <v>2013</v>
      </c>
      <c r="J128" s="87">
        <v>8114</v>
      </c>
      <c r="K128" s="88" t="s">
        <v>92</v>
      </c>
    </row>
    <row r="129" ht="13.5">
      <c r="D129" s="37"/>
    </row>
    <row r="130" ht="13.5">
      <c r="D130" s="78"/>
    </row>
    <row r="131" ht="13.5">
      <c r="D131" s="78"/>
    </row>
    <row r="132" ht="13.5">
      <c r="D132" s="37"/>
    </row>
    <row r="133" ht="13.5">
      <c r="D133" s="37"/>
    </row>
  </sheetData>
  <sheetProtection selectLockedCells="1" selectUnlockedCells="1"/>
  <mergeCells count="129">
    <mergeCell ref="K108:K110"/>
    <mergeCell ref="D109:J109"/>
    <mergeCell ref="A125:C125"/>
    <mergeCell ref="E125:G125"/>
    <mergeCell ref="I125:K125"/>
    <mergeCell ref="F126:G126"/>
    <mergeCell ref="F127:G127"/>
    <mergeCell ref="F128:G128"/>
    <mergeCell ref="A114:A115"/>
    <mergeCell ref="B114:B115"/>
    <mergeCell ref="A105:B105"/>
    <mergeCell ref="E105:H105"/>
    <mergeCell ref="A108:A110"/>
    <mergeCell ref="B108:B110"/>
    <mergeCell ref="C109:C110"/>
    <mergeCell ref="C108:J108"/>
    <mergeCell ref="A102:B102"/>
    <mergeCell ref="E102:H102"/>
    <mergeCell ref="A103:B103"/>
    <mergeCell ref="E103:H103"/>
    <mergeCell ref="A104:B104"/>
    <mergeCell ref="E104:H104"/>
    <mergeCell ref="A99:B99"/>
    <mergeCell ref="E99:H99"/>
    <mergeCell ref="A100:B100"/>
    <mergeCell ref="E100:H100"/>
    <mergeCell ref="A101:B101"/>
    <mergeCell ref="E101:H101"/>
    <mergeCell ref="E95:H96"/>
    <mergeCell ref="I95:I96"/>
    <mergeCell ref="A97:B97"/>
    <mergeCell ref="E97:H97"/>
    <mergeCell ref="A98:B98"/>
    <mergeCell ref="E98:H98"/>
    <mergeCell ref="A85:C85"/>
    <mergeCell ref="A86:C86"/>
    <mergeCell ref="A87:C87"/>
    <mergeCell ref="A88:C88"/>
    <mergeCell ref="A95:B96"/>
    <mergeCell ref="C95:C96"/>
    <mergeCell ref="A89:C89"/>
    <mergeCell ref="A90:C90"/>
    <mergeCell ref="A91:C91"/>
    <mergeCell ref="A92:C92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3" r:id="rId1"/>
  <headerFooter alignWithMargins="0">
    <oddFooter>&amp;C&amp;"Arial CE,Běžné"&amp;P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W133"/>
  <sheetViews>
    <sheetView view="pageBreakPreview" zoomScale="70" zoomScaleSheetLayoutView="70" zoomScalePageLayoutView="0" workbookViewId="0" topLeftCell="A85">
      <selection activeCell="C108" sqref="C108:J108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20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152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23" s="338" customFormat="1" ht="13.5" customHeight="1">
      <c r="A4" s="488" t="s">
        <v>156</v>
      </c>
      <c r="B4" s="489"/>
      <c r="C4" s="489"/>
      <c r="D4" s="555" t="s">
        <v>157</v>
      </c>
      <c r="E4" s="558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336"/>
      <c r="N4" s="337"/>
      <c r="O4" s="337"/>
      <c r="P4" s="337"/>
      <c r="Q4" s="337"/>
      <c r="R4" s="337"/>
      <c r="S4" s="337"/>
      <c r="T4" s="337"/>
      <c r="U4" s="337"/>
      <c r="V4" s="337"/>
      <c r="W4" s="337"/>
    </row>
    <row r="5" spans="1:23" s="338" customFormat="1" ht="13.5" customHeight="1">
      <c r="A5" s="491"/>
      <c r="B5" s="492"/>
      <c r="C5" s="492"/>
      <c r="D5" s="556"/>
      <c r="E5" s="559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339"/>
      <c r="N5" s="337"/>
      <c r="O5" s="337"/>
      <c r="P5" s="337"/>
      <c r="Q5" s="337"/>
      <c r="R5" s="337"/>
      <c r="S5" s="337"/>
      <c r="T5" s="337"/>
      <c r="U5" s="337"/>
      <c r="V5" s="337"/>
      <c r="W5" s="337"/>
    </row>
    <row r="6" spans="1:23" s="338" customFormat="1" ht="13.5" customHeight="1" thickBot="1">
      <c r="A6" s="494"/>
      <c r="B6" s="495"/>
      <c r="C6" s="495"/>
      <c r="D6" s="557"/>
      <c r="E6" s="560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339"/>
      <c r="N6" s="337"/>
      <c r="O6" s="337"/>
      <c r="P6" s="337"/>
      <c r="Q6" s="337"/>
      <c r="R6" s="337"/>
      <c r="S6" s="337"/>
      <c r="T6" s="337"/>
      <c r="U6" s="337"/>
      <c r="V6" s="337"/>
      <c r="W6" s="337"/>
    </row>
    <row r="7" spans="1:12" s="338" customFormat="1" ht="13.5">
      <c r="A7" s="508" t="s">
        <v>24</v>
      </c>
      <c r="B7" s="509"/>
      <c r="C7" s="509"/>
      <c r="D7" s="121">
        <v>19609</v>
      </c>
      <c r="E7" s="239">
        <v>19401</v>
      </c>
      <c r="F7" s="154">
        <v>-208</v>
      </c>
      <c r="G7" s="145">
        <v>0.9893926258350757</v>
      </c>
      <c r="H7" s="122">
        <v>20405.8</v>
      </c>
      <c r="I7" s="123">
        <v>0</v>
      </c>
      <c r="J7" s="156">
        <v>20405.8</v>
      </c>
      <c r="K7" s="144">
        <v>1004.7999999999993</v>
      </c>
      <c r="L7" s="150">
        <v>1.0517911447863513</v>
      </c>
    </row>
    <row r="8" spans="1:12" s="338" customFormat="1" ht="13.5">
      <c r="A8" s="511" t="s">
        <v>25</v>
      </c>
      <c r="B8" s="512"/>
      <c r="C8" s="512"/>
      <c r="D8" s="125">
        <v>0</v>
      </c>
      <c r="E8" s="240">
        <v>0</v>
      </c>
      <c r="F8" s="154">
        <v>0</v>
      </c>
      <c r="G8" s="145"/>
      <c r="H8" s="127"/>
      <c r="I8" s="128"/>
      <c r="J8" s="156">
        <v>0</v>
      </c>
      <c r="K8" s="144">
        <v>0</v>
      </c>
      <c r="L8" s="150"/>
    </row>
    <row r="9" spans="1:12" s="338" customFormat="1" ht="13.5">
      <c r="A9" s="511" t="s">
        <v>26</v>
      </c>
      <c r="B9" s="512"/>
      <c r="C9" s="512"/>
      <c r="D9" s="125">
        <v>19609</v>
      </c>
      <c r="E9" s="240">
        <v>19401</v>
      </c>
      <c r="F9" s="154">
        <v>-208</v>
      </c>
      <c r="G9" s="145">
        <v>0.9893926258350757</v>
      </c>
      <c r="H9" s="127">
        <v>20405.8</v>
      </c>
      <c r="I9" s="128"/>
      <c r="J9" s="156">
        <v>20405.8</v>
      </c>
      <c r="K9" s="144">
        <v>1004.7999999999993</v>
      </c>
      <c r="L9" s="150">
        <v>1.0517911447863513</v>
      </c>
    </row>
    <row r="10" spans="1:12" s="338" customFormat="1" ht="13.5">
      <c r="A10" s="514" t="s">
        <v>27</v>
      </c>
      <c r="B10" s="515"/>
      <c r="C10" s="515"/>
      <c r="D10" s="125">
        <v>10476</v>
      </c>
      <c r="E10" s="240">
        <v>10953</v>
      </c>
      <c r="F10" s="154">
        <v>477</v>
      </c>
      <c r="G10" s="145">
        <v>1.04553264604811</v>
      </c>
      <c r="H10" s="127">
        <v>11376</v>
      </c>
      <c r="I10" s="128"/>
      <c r="J10" s="156">
        <v>11376</v>
      </c>
      <c r="K10" s="144">
        <v>423</v>
      </c>
      <c r="L10" s="150">
        <v>1.038619556285949</v>
      </c>
    </row>
    <row r="11" spans="1:12" s="338" customFormat="1" ht="13.5">
      <c r="A11" s="514" t="s">
        <v>28</v>
      </c>
      <c r="B11" s="515"/>
      <c r="C11" s="515"/>
      <c r="D11" s="125">
        <v>7938</v>
      </c>
      <c r="E11" s="240">
        <v>7683</v>
      </c>
      <c r="F11" s="154">
        <v>-255</v>
      </c>
      <c r="G11" s="145">
        <v>0.9678760393046107</v>
      </c>
      <c r="H11" s="127">
        <v>7804.8</v>
      </c>
      <c r="I11" s="128"/>
      <c r="J11" s="156">
        <v>7804.8</v>
      </c>
      <c r="K11" s="144">
        <v>121.80000000000018</v>
      </c>
      <c r="L11" s="150">
        <v>1.0158531823506443</v>
      </c>
    </row>
    <row r="12" spans="1:12" s="338" customFormat="1" ht="13.5">
      <c r="A12" s="514" t="s">
        <v>29</v>
      </c>
      <c r="B12" s="515"/>
      <c r="C12" s="515"/>
      <c r="D12" s="125">
        <v>15</v>
      </c>
      <c r="E12" s="240">
        <v>9</v>
      </c>
      <c r="F12" s="154">
        <v>-6</v>
      </c>
      <c r="G12" s="145">
        <v>0.6</v>
      </c>
      <c r="H12" s="127">
        <v>15</v>
      </c>
      <c r="I12" s="128"/>
      <c r="J12" s="156">
        <v>15</v>
      </c>
      <c r="K12" s="144">
        <v>6</v>
      </c>
      <c r="L12" s="150">
        <v>1.6666666666666667</v>
      </c>
    </row>
    <row r="13" spans="1:12" s="338" customFormat="1" ht="13.5">
      <c r="A13" s="514" t="s">
        <v>30</v>
      </c>
      <c r="B13" s="515"/>
      <c r="C13" s="515"/>
      <c r="D13" s="125">
        <v>1178</v>
      </c>
      <c r="E13" s="240">
        <v>646</v>
      </c>
      <c r="F13" s="154">
        <v>-532</v>
      </c>
      <c r="G13" s="145">
        <v>0.5483870967741935</v>
      </c>
      <c r="H13" s="127">
        <v>1100</v>
      </c>
      <c r="I13" s="128"/>
      <c r="J13" s="156">
        <v>1100</v>
      </c>
      <c r="K13" s="144">
        <v>454</v>
      </c>
      <c r="L13" s="150">
        <v>1.7027863777089782</v>
      </c>
    </row>
    <row r="14" spans="1:12" s="338" customFormat="1" ht="13.5">
      <c r="A14" s="514" t="s">
        <v>31</v>
      </c>
      <c r="B14" s="515"/>
      <c r="C14" s="515"/>
      <c r="D14" s="125">
        <v>0</v>
      </c>
      <c r="E14" s="240">
        <v>106</v>
      </c>
      <c r="F14" s="154">
        <v>106</v>
      </c>
      <c r="G14" s="145"/>
      <c r="H14" s="127">
        <v>110</v>
      </c>
      <c r="I14" s="128"/>
      <c r="J14" s="156">
        <v>110</v>
      </c>
      <c r="K14" s="144">
        <v>4</v>
      </c>
      <c r="L14" s="150">
        <v>1.0377358490566038</v>
      </c>
    </row>
    <row r="15" spans="1:12" s="338" customFormat="1" ht="13.5">
      <c r="A15" s="514" t="s">
        <v>32</v>
      </c>
      <c r="B15" s="515"/>
      <c r="C15" s="515"/>
      <c r="D15" s="125">
        <v>2</v>
      </c>
      <c r="E15" s="240">
        <v>4</v>
      </c>
      <c r="F15" s="154">
        <v>2</v>
      </c>
      <c r="G15" s="145">
        <v>2</v>
      </c>
      <c r="H15" s="127"/>
      <c r="I15" s="128"/>
      <c r="J15" s="156">
        <v>0</v>
      </c>
      <c r="K15" s="144">
        <v>-4</v>
      </c>
      <c r="L15" s="150">
        <v>0</v>
      </c>
    </row>
    <row r="16" spans="1:12" s="338" customFormat="1" ht="13.5">
      <c r="A16" s="511" t="s">
        <v>33</v>
      </c>
      <c r="B16" s="512"/>
      <c r="C16" s="512"/>
      <c r="D16" s="125">
        <v>0</v>
      </c>
      <c r="E16" s="240">
        <v>0</v>
      </c>
      <c r="F16" s="154">
        <v>0</v>
      </c>
      <c r="G16" s="145"/>
      <c r="H16" s="127"/>
      <c r="I16" s="128"/>
      <c r="J16" s="156">
        <v>0</v>
      </c>
      <c r="K16" s="144">
        <v>0</v>
      </c>
      <c r="L16" s="150"/>
    </row>
    <row r="17" spans="1:12" s="338" customFormat="1" ht="13.5">
      <c r="A17" s="511" t="s">
        <v>34</v>
      </c>
      <c r="B17" s="512"/>
      <c r="C17" s="512"/>
      <c r="D17" s="125">
        <v>0</v>
      </c>
      <c r="E17" s="240">
        <v>0</v>
      </c>
      <c r="F17" s="154">
        <v>0</v>
      </c>
      <c r="G17" s="145"/>
      <c r="H17" s="127"/>
      <c r="I17" s="128"/>
      <c r="J17" s="156">
        <v>0</v>
      </c>
      <c r="K17" s="144">
        <v>0</v>
      </c>
      <c r="L17" s="150"/>
    </row>
    <row r="18" spans="1:21" s="338" customFormat="1" ht="13.5">
      <c r="A18" s="517" t="s">
        <v>35</v>
      </c>
      <c r="B18" s="518"/>
      <c r="C18" s="518"/>
      <c r="D18" s="125">
        <v>11</v>
      </c>
      <c r="E18" s="240">
        <v>23</v>
      </c>
      <c r="F18" s="154">
        <v>12</v>
      </c>
      <c r="G18" s="145">
        <v>2.090909090909091</v>
      </c>
      <c r="H18" s="127">
        <v>174</v>
      </c>
      <c r="I18" s="128"/>
      <c r="J18" s="156">
        <v>0</v>
      </c>
      <c r="K18" s="144">
        <v>-23</v>
      </c>
      <c r="L18" s="150">
        <v>0</v>
      </c>
      <c r="Q18" s="340"/>
      <c r="R18" s="340"/>
      <c r="S18" s="340"/>
      <c r="T18" s="340"/>
      <c r="U18" s="340"/>
    </row>
    <row r="19" spans="1:21" s="338" customFormat="1" ht="13.5">
      <c r="A19" s="511" t="s">
        <v>36</v>
      </c>
      <c r="B19" s="512"/>
      <c r="C19" s="512"/>
      <c r="D19" s="125">
        <v>0</v>
      </c>
      <c r="E19" s="240">
        <v>0</v>
      </c>
      <c r="F19" s="154">
        <v>0</v>
      </c>
      <c r="G19" s="145"/>
      <c r="H19" s="127"/>
      <c r="I19" s="128"/>
      <c r="J19" s="156">
        <v>0</v>
      </c>
      <c r="K19" s="144">
        <v>0</v>
      </c>
      <c r="L19" s="150"/>
      <c r="Q19" s="340"/>
      <c r="R19" s="340"/>
      <c r="S19" s="340"/>
      <c r="T19" s="340"/>
      <c r="U19" s="340"/>
    </row>
    <row r="20" spans="1:21" s="338" customFormat="1" ht="13.5">
      <c r="A20" s="511" t="s">
        <v>37</v>
      </c>
      <c r="B20" s="512"/>
      <c r="C20" s="512"/>
      <c r="D20" s="125">
        <v>0</v>
      </c>
      <c r="E20" s="241">
        <v>0</v>
      </c>
      <c r="F20" s="154">
        <v>0</v>
      </c>
      <c r="G20" s="145"/>
      <c r="H20" s="122"/>
      <c r="I20" s="123"/>
      <c r="J20" s="156">
        <v>0</v>
      </c>
      <c r="K20" s="144">
        <v>0</v>
      </c>
      <c r="L20" s="150"/>
      <c r="N20" s="336"/>
      <c r="O20" s="336"/>
      <c r="P20" s="336"/>
      <c r="Q20" s="341"/>
      <c r="R20" s="341"/>
      <c r="S20" s="341"/>
      <c r="T20" s="341"/>
      <c r="U20" s="340"/>
    </row>
    <row r="21" spans="1:21" s="338" customFormat="1" ht="13.5">
      <c r="A21" s="520" t="s">
        <v>38</v>
      </c>
      <c r="B21" s="521"/>
      <c r="C21" s="521"/>
      <c r="D21" s="125">
        <v>11</v>
      </c>
      <c r="E21" s="240">
        <v>23</v>
      </c>
      <c r="F21" s="154">
        <v>12</v>
      </c>
      <c r="G21" s="145">
        <v>2.090909090909091</v>
      </c>
      <c r="H21" s="127">
        <v>174</v>
      </c>
      <c r="I21" s="128"/>
      <c r="J21" s="156">
        <v>0</v>
      </c>
      <c r="K21" s="144">
        <v>-23</v>
      </c>
      <c r="L21" s="150">
        <v>0</v>
      </c>
      <c r="N21" s="339"/>
      <c r="O21" s="339"/>
      <c r="P21" s="339"/>
      <c r="Q21" s="342"/>
      <c r="R21" s="342"/>
      <c r="S21" s="342"/>
      <c r="T21" s="342"/>
      <c r="U21" s="340"/>
    </row>
    <row r="22" spans="1:21" s="338" customFormat="1" ht="13.5">
      <c r="A22" s="520" t="s">
        <v>160</v>
      </c>
      <c r="B22" s="521"/>
      <c r="C22" s="521"/>
      <c r="D22" s="125">
        <v>0</v>
      </c>
      <c r="E22" s="240">
        <v>23</v>
      </c>
      <c r="F22" s="154">
        <v>23</v>
      </c>
      <c r="G22" s="145"/>
      <c r="H22" s="366">
        <v>174</v>
      </c>
      <c r="I22" s="128"/>
      <c r="J22" s="156">
        <v>0</v>
      </c>
      <c r="K22" s="144">
        <v>-23</v>
      </c>
      <c r="L22" s="150">
        <v>0</v>
      </c>
      <c r="N22" s="339"/>
      <c r="O22" s="339"/>
      <c r="P22" s="339"/>
      <c r="Q22" s="342"/>
      <c r="R22" s="342"/>
      <c r="S22" s="342"/>
      <c r="T22" s="342"/>
      <c r="U22" s="340"/>
    </row>
    <row r="23" spans="1:21" s="338" customFormat="1" ht="13.5">
      <c r="A23" s="520" t="s">
        <v>161</v>
      </c>
      <c r="B23" s="521"/>
      <c r="C23" s="521"/>
      <c r="D23" s="125">
        <v>0</v>
      </c>
      <c r="E23" s="240">
        <v>0</v>
      </c>
      <c r="F23" s="154">
        <v>0</v>
      </c>
      <c r="G23" s="145"/>
      <c r="H23" s="127"/>
      <c r="I23" s="128"/>
      <c r="J23" s="156">
        <v>0</v>
      </c>
      <c r="K23" s="144">
        <v>0</v>
      </c>
      <c r="L23" s="150"/>
      <c r="Q23" s="340"/>
      <c r="R23" s="340"/>
      <c r="S23" s="340"/>
      <c r="T23" s="340"/>
      <c r="U23" s="340"/>
    </row>
    <row r="24" spans="1:21" s="338" customFormat="1" ht="13.5">
      <c r="A24" s="520" t="s">
        <v>162</v>
      </c>
      <c r="B24" s="521"/>
      <c r="C24" s="521"/>
      <c r="D24" s="125">
        <v>0</v>
      </c>
      <c r="E24" s="240">
        <v>0</v>
      </c>
      <c r="F24" s="154">
        <v>0</v>
      </c>
      <c r="G24" s="145"/>
      <c r="H24" s="127"/>
      <c r="I24" s="128"/>
      <c r="J24" s="156">
        <v>0</v>
      </c>
      <c r="K24" s="144">
        <v>0</v>
      </c>
      <c r="L24" s="150"/>
      <c r="Q24" s="340"/>
      <c r="R24" s="340"/>
      <c r="S24" s="340"/>
      <c r="T24" s="340"/>
      <c r="U24" s="340"/>
    </row>
    <row r="25" spans="1:21" s="338" customFormat="1" ht="13.5">
      <c r="A25" s="520" t="s">
        <v>163</v>
      </c>
      <c r="B25" s="521"/>
      <c r="C25" s="521"/>
      <c r="D25" s="125">
        <v>0</v>
      </c>
      <c r="E25" s="240">
        <v>1</v>
      </c>
      <c r="F25" s="154">
        <v>1</v>
      </c>
      <c r="G25" s="145"/>
      <c r="H25" s="127"/>
      <c r="I25" s="128"/>
      <c r="J25" s="156">
        <v>0</v>
      </c>
      <c r="K25" s="144">
        <v>-1</v>
      </c>
      <c r="L25" s="150">
        <v>0</v>
      </c>
      <c r="Q25" s="340"/>
      <c r="R25" s="340"/>
      <c r="S25" s="340"/>
      <c r="T25" s="340"/>
      <c r="U25" s="340"/>
    </row>
    <row r="26" spans="1:21" s="338" customFormat="1" ht="13.5">
      <c r="A26" s="517" t="s">
        <v>39</v>
      </c>
      <c r="B26" s="518"/>
      <c r="C26" s="518"/>
      <c r="D26" s="125">
        <v>0</v>
      </c>
      <c r="E26" s="240">
        <v>1</v>
      </c>
      <c r="F26" s="154">
        <v>1</v>
      </c>
      <c r="G26" s="145"/>
      <c r="H26" s="127">
        <v>0</v>
      </c>
      <c r="I26" s="128"/>
      <c r="J26" s="156">
        <v>0</v>
      </c>
      <c r="K26" s="144">
        <v>-1</v>
      </c>
      <c r="L26" s="150">
        <v>0</v>
      </c>
      <c r="Q26" s="340"/>
      <c r="R26" s="340"/>
      <c r="S26" s="340"/>
      <c r="T26" s="340"/>
      <c r="U26" s="340"/>
    </row>
    <row r="27" spans="1:21" s="338" customFormat="1" ht="13.5">
      <c r="A27" s="511" t="s">
        <v>40</v>
      </c>
      <c r="B27" s="512"/>
      <c r="C27" s="512"/>
      <c r="D27" s="125">
        <v>0</v>
      </c>
      <c r="E27" s="240">
        <v>1</v>
      </c>
      <c r="F27" s="154">
        <v>1</v>
      </c>
      <c r="G27" s="145"/>
      <c r="H27" s="127"/>
      <c r="I27" s="128"/>
      <c r="J27" s="156">
        <v>0</v>
      </c>
      <c r="K27" s="144">
        <v>-1</v>
      </c>
      <c r="L27" s="150">
        <v>0</v>
      </c>
      <c r="Q27" s="340"/>
      <c r="R27" s="340"/>
      <c r="S27" s="340"/>
      <c r="T27" s="340"/>
      <c r="U27" s="340"/>
    </row>
    <row r="28" spans="1:21" s="338" customFormat="1" ht="13.5">
      <c r="A28" s="511" t="s">
        <v>41</v>
      </c>
      <c r="B28" s="512"/>
      <c r="C28" s="512"/>
      <c r="D28" s="125">
        <v>0</v>
      </c>
      <c r="E28" s="240">
        <v>0</v>
      </c>
      <c r="F28" s="154">
        <v>0</v>
      </c>
      <c r="G28" s="145"/>
      <c r="H28" s="127"/>
      <c r="I28" s="128"/>
      <c r="J28" s="156">
        <v>0</v>
      </c>
      <c r="K28" s="144">
        <v>0</v>
      </c>
      <c r="L28" s="150"/>
      <c r="Q28" s="340"/>
      <c r="R28" s="340"/>
      <c r="S28" s="340"/>
      <c r="T28" s="340"/>
      <c r="U28" s="340"/>
    </row>
    <row r="29" spans="1:21" s="338" customFormat="1" ht="13.5">
      <c r="A29" s="517" t="s">
        <v>42</v>
      </c>
      <c r="B29" s="518"/>
      <c r="C29" s="518"/>
      <c r="D29" s="125">
        <v>12676</v>
      </c>
      <c r="E29" s="241">
        <v>18068</v>
      </c>
      <c r="F29" s="154">
        <v>5392</v>
      </c>
      <c r="G29" s="145">
        <v>1.4253707794256862</v>
      </c>
      <c r="H29" s="122">
        <v>10223</v>
      </c>
      <c r="I29" s="123"/>
      <c r="J29" s="156">
        <v>10223</v>
      </c>
      <c r="K29" s="144">
        <v>-7845</v>
      </c>
      <c r="L29" s="150">
        <v>0.5658069515164933</v>
      </c>
      <c r="Q29" s="340"/>
      <c r="R29" s="340"/>
      <c r="S29" s="340"/>
      <c r="T29" s="340"/>
      <c r="U29" s="340"/>
    </row>
    <row r="30" spans="1:21" s="338" customFormat="1" ht="13.5">
      <c r="A30" s="514" t="s">
        <v>164</v>
      </c>
      <c r="B30" s="515"/>
      <c r="C30" s="515"/>
      <c r="D30" s="131">
        <v>6078</v>
      </c>
      <c r="E30" s="242">
        <v>9724</v>
      </c>
      <c r="F30" s="155">
        <v>3646</v>
      </c>
      <c r="G30" s="147">
        <v>1.5998683777558407</v>
      </c>
      <c r="H30" s="363">
        <v>1978</v>
      </c>
      <c r="I30" s="133"/>
      <c r="J30" s="157">
        <v>1978</v>
      </c>
      <c r="K30" s="146">
        <v>-7746</v>
      </c>
      <c r="L30" s="151">
        <v>0.20341423282599752</v>
      </c>
      <c r="Q30" s="340"/>
      <c r="R30" s="340"/>
      <c r="S30" s="340"/>
      <c r="T30" s="340"/>
      <c r="U30" s="340"/>
    </row>
    <row r="31" spans="1:21" s="338" customFormat="1" ht="13.5">
      <c r="A31" s="514" t="s">
        <v>43</v>
      </c>
      <c r="B31" s="515"/>
      <c r="C31" s="515"/>
      <c r="D31" s="125">
        <v>6598</v>
      </c>
      <c r="E31" s="240">
        <v>8279</v>
      </c>
      <c r="F31" s="154">
        <v>1681</v>
      </c>
      <c r="G31" s="145">
        <v>1.2547741739921188</v>
      </c>
      <c r="H31" s="127">
        <v>7933</v>
      </c>
      <c r="I31" s="128"/>
      <c r="J31" s="156">
        <v>7933</v>
      </c>
      <c r="K31" s="144">
        <v>-346</v>
      </c>
      <c r="L31" s="150">
        <v>0.95820751298466</v>
      </c>
      <c r="Q31" s="340"/>
      <c r="R31" s="340"/>
      <c r="S31" s="340"/>
      <c r="T31" s="340"/>
      <c r="U31" s="340"/>
    </row>
    <row r="32" spans="1:21" s="338" customFormat="1" ht="13.5">
      <c r="A32" s="511" t="s">
        <v>44</v>
      </c>
      <c r="B32" s="512"/>
      <c r="C32" s="512"/>
      <c r="D32" s="138">
        <v>0</v>
      </c>
      <c r="E32" s="241">
        <v>0</v>
      </c>
      <c r="F32" s="154">
        <v>0</v>
      </c>
      <c r="G32" s="145"/>
      <c r="H32" s="122">
        <v>192</v>
      </c>
      <c r="I32" s="123"/>
      <c r="J32" s="156">
        <v>96</v>
      </c>
      <c r="K32" s="144">
        <v>96</v>
      </c>
      <c r="L32" s="150"/>
      <c r="Q32" s="340"/>
      <c r="R32" s="340"/>
      <c r="S32" s="340"/>
      <c r="T32" s="340"/>
      <c r="U32" s="340"/>
    </row>
    <row r="33" spans="1:21" s="338" customFormat="1" ht="14.25" thickBot="1">
      <c r="A33" s="514" t="s">
        <v>45</v>
      </c>
      <c r="B33" s="515"/>
      <c r="C33" s="515"/>
      <c r="D33" s="153">
        <v>0</v>
      </c>
      <c r="E33" s="243">
        <v>65</v>
      </c>
      <c r="F33" s="154">
        <v>65</v>
      </c>
      <c r="G33" s="145"/>
      <c r="H33" s="158">
        <v>120</v>
      </c>
      <c r="I33" s="159"/>
      <c r="J33" s="160">
        <v>60</v>
      </c>
      <c r="K33" s="161">
        <v>-5</v>
      </c>
      <c r="L33" s="162">
        <v>0.9230769230769231</v>
      </c>
      <c r="Q33" s="340"/>
      <c r="R33" s="340"/>
      <c r="S33" s="340"/>
      <c r="T33" s="340"/>
      <c r="U33" s="340"/>
    </row>
    <row r="34" spans="1:12" s="338" customFormat="1" ht="14.25" thickBot="1">
      <c r="A34" s="523" t="s">
        <v>46</v>
      </c>
      <c r="B34" s="524"/>
      <c r="C34" s="524"/>
      <c r="D34" s="171">
        <v>32296</v>
      </c>
      <c r="E34" s="244">
        <v>37493</v>
      </c>
      <c r="F34" s="173">
        <v>5197</v>
      </c>
      <c r="G34" s="174">
        <v>1.1609177607134011</v>
      </c>
      <c r="H34" s="172">
        <v>30813</v>
      </c>
      <c r="I34" s="172">
        <v>0</v>
      </c>
      <c r="J34" s="175">
        <v>30813</v>
      </c>
      <c r="K34" s="173">
        <v>-6864.200000000001</v>
      </c>
      <c r="L34" s="176">
        <v>0.8169204918251407</v>
      </c>
    </row>
    <row r="35" spans="1:17" s="338" customFormat="1" ht="13.5">
      <c r="A35" s="526" t="s">
        <v>47</v>
      </c>
      <c r="B35" s="527"/>
      <c r="C35" s="527"/>
      <c r="D35" s="135">
        <v>708</v>
      </c>
      <c r="E35" s="136">
        <v>2235</v>
      </c>
      <c r="F35" s="148">
        <v>1527</v>
      </c>
      <c r="G35" s="149">
        <v>3.156779661016949</v>
      </c>
      <c r="H35" s="137">
        <v>3757</v>
      </c>
      <c r="I35" s="137"/>
      <c r="J35" s="134">
        <v>3757</v>
      </c>
      <c r="K35" s="148">
        <v>1522</v>
      </c>
      <c r="L35" s="152">
        <v>1.6809843400447426</v>
      </c>
      <c r="O35" s="343"/>
      <c r="P35" s="343"/>
      <c r="Q35" s="343"/>
    </row>
    <row r="36" spans="1:17" s="338" customFormat="1" ht="13.5">
      <c r="A36" s="514" t="s">
        <v>48</v>
      </c>
      <c r="B36" s="515"/>
      <c r="C36" s="515"/>
      <c r="D36" s="125">
        <v>0</v>
      </c>
      <c r="E36" s="126">
        <v>897</v>
      </c>
      <c r="F36" s="144">
        <v>897</v>
      </c>
      <c r="G36" s="145"/>
      <c r="H36" s="127">
        <v>2200</v>
      </c>
      <c r="I36" s="128"/>
      <c r="J36" s="124">
        <v>2200</v>
      </c>
      <c r="K36" s="144">
        <v>1303</v>
      </c>
      <c r="L36" s="150">
        <v>2.4526198439241917</v>
      </c>
      <c r="O36" s="343"/>
      <c r="P36" s="343"/>
      <c r="Q36" s="343"/>
    </row>
    <row r="37" spans="1:17" s="338" customFormat="1" ht="13.5">
      <c r="A37" s="514" t="s">
        <v>49</v>
      </c>
      <c r="B37" s="515"/>
      <c r="C37" s="515"/>
      <c r="D37" s="125">
        <v>27</v>
      </c>
      <c r="E37" s="126">
        <v>82</v>
      </c>
      <c r="F37" s="144">
        <v>55</v>
      </c>
      <c r="G37" s="145">
        <v>3.037037037037037</v>
      </c>
      <c r="H37" s="127">
        <v>120</v>
      </c>
      <c r="I37" s="128"/>
      <c r="J37" s="124">
        <v>120</v>
      </c>
      <c r="K37" s="144">
        <v>38</v>
      </c>
      <c r="L37" s="150">
        <v>1.4634146341463414</v>
      </c>
      <c r="O37" s="343"/>
      <c r="P37" s="343"/>
      <c r="Q37" s="343"/>
    </row>
    <row r="38" spans="1:12" s="338" customFormat="1" ht="13.5">
      <c r="A38" s="514" t="s">
        <v>50</v>
      </c>
      <c r="B38" s="515"/>
      <c r="C38" s="515"/>
      <c r="D38" s="138"/>
      <c r="E38" s="130">
        <v>168</v>
      </c>
      <c r="F38" s="144">
        <v>168</v>
      </c>
      <c r="G38" s="145"/>
      <c r="H38" s="122">
        <v>230</v>
      </c>
      <c r="I38" s="123"/>
      <c r="J38" s="124">
        <v>200</v>
      </c>
      <c r="K38" s="144">
        <v>32</v>
      </c>
      <c r="L38" s="150">
        <v>1.1904761904761905</v>
      </c>
    </row>
    <row r="39" spans="1:12" s="338" customFormat="1" ht="13.5">
      <c r="A39" s="514" t="s">
        <v>51</v>
      </c>
      <c r="B39" s="515"/>
      <c r="C39" s="515"/>
      <c r="D39" s="125"/>
      <c r="E39" s="126">
        <v>27</v>
      </c>
      <c r="F39" s="144">
        <v>27</v>
      </c>
      <c r="G39" s="145"/>
      <c r="H39" s="127">
        <v>25</v>
      </c>
      <c r="I39" s="128"/>
      <c r="J39" s="124">
        <v>25</v>
      </c>
      <c r="K39" s="144">
        <v>-2</v>
      </c>
      <c r="L39" s="150">
        <v>0.9259259259259259</v>
      </c>
    </row>
    <row r="40" spans="1:12" s="338" customFormat="1" ht="13.5">
      <c r="A40" s="514" t="s">
        <v>52</v>
      </c>
      <c r="B40" s="515"/>
      <c r="C40" s="515"/>
      <c r="D40" s="125"/>
      <c r="E40" s="126">
        <v>32</v>
      </c>
      <c r="F40" s="144">
        <v>32</v>
      </c>
      <c r="G40" s="145"/>
      <c r="H40" s="127">
        <v>32</v>
      </c>
      <c r="I40" s="128"/>
      <c r="J40" s="124">
        <v>32</v>
      </c>
      <c r="K40" s="144">
        <v>0</v>
      </c>
      <c r="L40" s="150">
        <v>1</v>
      </c>
    </row>
    <row r="41" spans="1:12" s="338" customFormat="1" ht="13.5">
      <c r="A41" s="514" t="s">
        <v>53</v>
      </c>
      <c r="B41" s="515"/>
      <c r="C41" s="515"/>
      <c r="D41" s="125"/>
      <c r="E41" s="126">
        <v>48</v>
      </c>
      <c r="F41" s="144">
        <v>48</v>
      </c>
      <c r="G41" s="145"/>
      <c r="H41" s="127">
        <v>70</v>
      </c>
      <c r="I41" s="128"/>
      <c r="J41" s="124">
        <v>70</v>
      </c>
      <c r="K41" s="144">
        <v>22</v>
      </c>
      <c r="L41" s="150">
        <v>1.4583333333333333</v>
      </c>
    </row>
    <row r="42" spans="1:12" s="338" customFormat="1" ht="13.5">
      <c r="A42" s="514" t="s">
        <v>54</v>
      </c>
      <c r="B42" s="515"/>
      <c r="C42" s="515"/>
      <c r="D42" s="125">
        <v>372</v>
      </c>
      <c r="E42" s="126">
        <v>330</v>
      </c>
      <c r="F42" s="144">
        <v>-42</v>
      </c>
      <c r="G42" s="145">
        <v>0.8870967741935484</v>
      </c>
      <c r="H42" s="127">
        <v>330</v>
      </c>
      <c r="I42" s="128"/>
      <c r="J42" s="124">
        <v>330</v>
      </c>
      <c r="K42" s="144">
        <v>0</v>
      </c>
      <c r="L42" s="150">
        <v>1</v>
      </c>
    </row>
    <row r="43" spans="1:12" s="338" customFormat="1" ht="13.5">
      <c r="A43" s="514" t="s">
        <v>166</v>
      </c>
      <c r="B43" s="515"/>
      <c r="C43" s="515"/>
      <c r="D43" s="125">
        <v>231</v>
      </c>
      <c r="E43" s="126"/>
      <c r="F43" s="144">
        <v>-231</v>
      </c>
      <c r="G43" s="145">
        <v>0</v>
      </c>
      <c r="H43" s="127">
        <v>100</v>
      </c>
      <c r="I43" s="128"/>
      <c r="J43" s="124">
        <v>100</v>
      </c>
      <c r="K43" s="144">
        <v>100</v>
      </c>
      <c r="L43" s="150"/>
    </row>
    <row r="44" spans="1:12" s="338" customFormat="1" ht="13.5">
      <c r="A44" s="514" t="s">
        <v>167</v>
      </c>
      <c r="B44" s="515"/>
      <c r="C44" s="515"/>
      <c r="D44" s="125">
        <v>0</v>
      </c>
      <c r="E44" s="126"/>
      <c r="F44" s="144">
        <v>0</v>
      </c>
      <c r="G44" s="145"/>
      <c r="H44" s="127">
        <v>0</v>
      </c>
      <c r="I44" s="128"/>
      <c r="J44" s="124">
        <v>0</v>
      </c>
      <c r="K44" s="144">
        <v>0</v>
      </c>
      <c r="L44" s="150"/>
    </row>
    <row r="45" spans="1:12" s="338" customFormat="1" ht="13.5">
      <c r="A45" s="514" t="s">
        <v>55</v>
      </c>
      <c r="B45" s="515"/>
      <c r="C45" s="515"/>
      <c r="D45" s="125">
        <v>0</v>
      </c>
      <c r="E45" s="126">
        <v>651</v>
      </c>
      <c r="F45" s="144">
        <v>651</v>
      </c>
      <c r="G45" s="145"/>
      <c r="H45" s="127">
        <v>650</v>
      </c>
      <c r="I45" s="128"/>
      <c r="J45" s="124">
        <v>650</v>
      </c>
      <c r="K45" s="144">
        <v>-1</v>
      </c>
      <c r="L45" s="150">
        <v>0.9984639016897081</v>
      </c>
    </row>
    <row r="46" spans="1:12" s="338" customFormat="1" ht="13.5">
      <c r="A46" s="526" t="s">
        <v>56</v>
      </c>
      <c r="B46" s="527"/>
      <c r="C46" s="527"/>
      <c r="D46" s="125">
        <v>2293</v>
      </c>
      <c r="E46" s="126">
        <v>3523</v>
      </c>
      <c r="F46" s="144">
        <v>1230</v>
      </c>
      <c r="G46" s="145">
        <v>1.5364151766245093</v>
      </c>
      <c r="H46" s="127">
        <v>3650</v>
      </c>
      <c r="I46" s="127"/>
      <c r="J46" s="124">
        <v>3650</v>
      </c>
      <c r="K46" s="144">
        <v>127</v>
      </c>
      <c r="L46" s="150">
        <v>1.036048822026682</v>
      </c>
    </row>
    <row r="47" spans="1:12" s="338" customFormat="1" ht="13.5">
      <c r="A47" s="514" t="s">
        <v>57</v>
      </c>
      <c r="B47" s="515"/>
      <c r="C47" s="515"/>
      <c r="D47" s="125">
        <v>572</v>
      </c>
      <c r="E47" s="126">
        <v>1365</v>
      </c>
      <c r="F47" s="144">
        <v>793</v>
      </c>
      <c r="G47" s="145">
        <v>2.3863636363636362</v>
      </c>
      <c r="H47" s="127">
        <v>1550</v>
      </c>
      <c r="I47" s="128"/>
      <c r="J47" s="124">
        <v>1550</v>
      </c>
      <c r="K47" s="144">
        <v>185</v>
      </c>
      <c r="L47" s="150">
        <v>1.1355311355311355</v>
      </c>
    </row>
    <row r="48" spans="1:12" s="338" customFormat="1" ht="13.5">
      <c r="A48" s="514" t="s">
        <v>58</v>
      </c>
      <c r="B48" s="515"/>
      <c r="C48" s="515"/>
      <c r="D48" s="125"/>
      <c r="E48" s="126">
        <v>745</v>
      </c>
      <c r="F48" s="144">
        <v>745</v>
      </c>
      <c r="G48" s="145"/>
      <c r="H48" s="127">
        <v>1250</v>
      </c>
      <c r="I48" s="128"/>
      <c r="J48" s="124">
        <v>1250</v>
      </c>
      <c r="K48" s="144">
        <v>505</v>
      </c>
      <c r="L48" s="150">
        <v>1.6778523489932886</v>
      </c>
    </row>
    <row r="49" spans="1:12" s="338" customFormat="1" ht="13.5">
      <c r="A49" s="514" t="s">
        <v>59</v>
      </c>
      <c r="B49" s="515"/>
      <c r="C49" s="515"/>
      <c r="D49" s="125">
        <v>278</v>
      </c>
      <c r="E49" s="126">
        <v>348</v>
      </c>
      <c r="F49" s="144">
        <v>70</v>
      </c>
      <c r="G49" s="145">
        <v>1.2517985611510791</v>
      </c>
      <c r="H49" s="127">
        <v>350</v>
      </c>
      <c r="I49" s="128"/>
      <c r="J49" s="124">
        <v>350</v>
      </c>
      <c r="K49" s="144">
        <v>2</v>
      </c>
      <c r="L49" s="150">
        <v>1.0057471264367817</v>
      </c>
    </row>
    <row r="50" spans="1:12" s="338" customFormat="1" ht="13.5">
      <c r="A50" s="514" t="s">
        <v>168</v>
      </c>
      <c r="B50" s="515"/>
      <c r="C50" s="515"/>
      <c r="D50" s="125">
        <v>1337</v>
      </c>
      <c r="E50" s="126">
        <v>1065</v>
      </c>
      <c r="F50" s="144">
        <v>-272</v>
      </c>
      <c r="G50" s="145">
        <v>0.7965594614809275</v>
      </c>
      <c r="H50" s="127">
        <v>500</v>
      </c>
      <c r="I50" s="128"/>
      <c r="J50" s="124">
        <v>500</v>
      </c>
      <c r="K50" s="144">
        <v>-565</v>
      </c>
      <c r="L50" s="150">
        <v>0.4694835680751174</v>
      </c>
    </row>
    <row r="51" spans="1:12" s="338" customFormat="1" ht="13.5">
      <c r="A51" s="526" t="s">
        <v>60</v>
      </c>
      <c r="B51" s="527"/>
      <c r="C51" s="527"/>
      <c r="D51" s="125"/>
      <c r="E51" s="126">
        <v>0</v>
      </c>
      <c r="F51" s="144">
        <v>0</v>
      </c>
      <c r="G51" s="145"/>
      <c r="H51" s="127">
        <v>0</v>
      </c>
      <c r="I51" s="128"/>
      <c r="J51" s="124">
        <v>0</v>
      </c>
      <c r="K51" s="144">
        <v>0</v>
      </c>
      <c r="L51" s="150"/>
    </row>
    <row r="52" spans="1:12" s="338" customFormat="1" ht="13.5">
      <c r="A52" s="526" t="s">
        <v>61</v>
      </c>
      <c r="B52" s="527"/>
      <c r="C52" s="527"/>
      <c r="D52" s="125"/>
      <c r="E52" s="126">
        <v>0</v>
      </c>
      <c r="F52" s="144">
        <v>0</v>
      </c>
      <c r="G52" s="145"/>
      <c r="H52" s="127">
        <v>0</v>
      </c>
      <c r="I52" s="128"/>
      <c r="J52" s="124">
        <v>0</v>
      </c>
      <c r="K52" s="144">
        <v>0</v>
      </c>
      <c r="L52" s="150"/>
    </row>
    <row r="53" spans="1:12" s="338" customFormat="1" ht="13.5">
      <c r="A53" s="526" t="s">
        <v>62</v>
      </c>
      <c r="B53" s="527"/>
      <c r="C53" s="527"/>
      <c r="D53" s="125">
        <v>52</v>
      </c>
      <c r="E53" s="126">
        <v>107</v>
      </c>
      <c r="F53" s="144">
        <v>55</v>
      </c>
      <c r="G53" s="145">
        <v>2.0576923076923075</v>
      </c>
      <c r="H53" s="127">
        <v>145</v>
      </c>
      <c r="I53" s="128"/>
      <c r="J53" s="124">
        <v>145</v>
      </c>
      <c r="K53" s="144">
        <v>38</v>
      </c>
      <c r="L53" s="150">
        <v>1.355140186915888</v>
      </c>
    </row>
    <row r="54" spans="1:12" s="338" customFormat="1" ht="13.5">
      <c r="A54" s="529" t="s">
        <v>63</v>
      </c>
      <c r="B54" s="530"/>
      <c r="C54" s="530"/>
      <c r="D54" s="125"/>
      <c r="E54" s="126">
        <v>26</v>
      </c>
      <c r="F54" s="144">
        <v>26</v>
      </c>
      <c r="G54" s="145"/>
      <c r="H54" s="127">
        <v>50</v>
      </c>
      <c r="I54" s="128"/>
      <c r="J54" s="124">
        <v>50</v>
      </c>
      <c r="K54" s="144">
        <v>24</v>
      </c>
      <c r="L54" s="150">
        <v>1.9230769230769231</v>
      </c>
    </row>
    <row r="55" spans="1:12" s="338" customFormat="1" ht="13.5">
      <c r="A55" s="529" t="s">
        <v>169</v>
      </c>
      <c r="B55" s="530"/>
      <c r="C55" s="530"/>
      <c r="D55" s="125"/>
      <c r="E55" s="126">
        <v>67</v>
      </c>
      <c r="F55" s="144">
        <v>67</v>
      </c>
      <c r="G55" s="145"/>
      <c r="H55" s="127">
        <v>80</v>
      </c>
      <c r="I55" s="128"/>
      <c r="J55" s="124">
        <v>80</v>
      </c>
      <c r="K55" s="144">
        <v>13</v>
      </c>
      <c r="L55" s="150">
        <v>1.1940298507462686</v>
      </c>
    </row>
    <row r="56" spans="1:12" s="338" customFormat="1" ht="13.5">
      <c r="A56" s="529" t="s">
        <v>133</v>
      </c>
      <c r="B56" s="530"/>
      <c r="C56" s="530"/>
      <c r="D56" s="125"/>
      <c r="E56" s="126">
        <v>15</v>
      </c>
      <c r="F56" s="144">
        <v>15</v>
      </c>
      <c r="G56" s="145"/>
      <c r="H56" s="127">
        <v>15</v>
      </c>
      <c r="I56" s="128"/>
      <c r="J56" s="124">
        <v>15</v>
      </c>
      <c r="K56" s="144">
        <v>0</v>
      </c>
      <c r="L56" s="150">
        <v>1</v>
      </c>
    </row>
    <row r="57" spans="1:12" s="338" customFormat="1" ht="13.5">
      <c r="A57" s="526" t="s">
        <v>64</v>
      </c>
      <c r="B57" s="527"/>
      <c r="C57" s="527"/>
      <c r="D57" s="125">
        <v>33</v>
      </c>
      <c r="E57" s="126">
        <v>109</v>
      </c>
      <c r="F57" s="144">
        <v>76</v>
      </c>
      <c r="G57" s="145">
        <v>3.303030303030303</v>
      </c>
      <c r="H57" s="127">
        <v>140</v>
      </c>
      <c r="I57" s="128"/>
      <c r="J57" s="124">
        <v>140</v>
      </c>
      <c r="K57" s="144">
        <v>31</v>
      </c>
      <c r="L57" s="150">
        <v>1.2844036697247707</v>
      </c>
    </row>
    <row r="58" spans="1:12" s="338" customFormat="1" ht="13.5">
      <c r="A58" s="526" t="s">
        <v>65</v>
      </c>
      <c r="B58" s="527"/>
      <c r="C58" s="527"/>
      <c r="D58" s="125">
        <v>15</v>
      </c>
      <c r="E58" s="126">
        <v>15</v>
      </c>
      <c r="F58" s="144">
        <v>0</v>
      </c>
      <c r="G58" s="145">
        <v>1</v>
      </c>
      <c r="H58" s="127">
        <v>15</v>
      </c>
      <c r="I58" s="128"/>
      <c r="J58" s="124">
        <v>15</v>
      </c>
      <c r="K58" s="144">
        <v>0</v>
      </c>
      <c r="L58" s="150">
        <v>1</v>
      </c>
    </row>
    <row r="59" spans="1:12" s="338" customFormat="1" ht="13.5">
      <c r="A59" s="526" t="s">
        <v>66</v>
      </c>
      <c r="B59" s="527"/>
      <c r="C59" s="527"/>
      <c r="D59" s="125">
        <v>7367</v>
      </c>
      <c r="E59" s="126">
        <v>5664</v>
      </c>
      <c r="F59" s="144">
        <v>-1703</v>
      </c>
      <c r="G59" s="145">
        <v>0.7688339894122438</v>
      </c>
      <c r="H59" s="127">
        <v>3308</v>
      </c>
      <c r="I59" s="128"/>
      <c r="J59" s="124">
        <v>3308</v>
      </c>
      <c r="K59" s="144">
        <v>-2356</v>
      </c>
      <c r="L59" s="150">
        <v>0.5840395480225988</v>
      </c>
    </row>
    <row r="60" spans="1:12" s="338" customFormat="1" ht="13.5">
      <c r="A60" s="514" t="s">
        <v>67</v>
      </c>
      <c r="B60" s="515"/>
      <c r="C60" s="515"/>
      <c r="D60" s="125">
        <v>31</v>
      </c>
      <c r="E60" s="126">
        <v>68</v>
      </c>
      <c r="F60" s="144">
        <v>37</v>
      </c>
      <c r="G60" s="145">
        <v>2.193548387096774</v>
      </c>
      <c r="H60" s="127">
        <v>68</v>
      </c>
      <c r="I60" s="128"/>
      <c r="J60" s="124">
        <v>68</v>
      </c>
      <c r="K60" s="144">
        <v>0</v>
      </c>
      <c r="L60" s="150">
        <v>1</v>
      </c>
    </row>
    <row r="61" spans="1:12" s="338" customFormat="1" ht="13.5">
      <c r="A61" s="514" t="s">
        <v>68</v>
      </c>
      <c r="B61" s="515"/>
      <c r="C61" s="515"/>
      <c r="D61" s="125"/>
      <c r="E61" s="126">
        <v>0</v>
      </c>
      <c r="F61" s="144">
        <v>0</v>
      </c>
      <c r="G61" s="145"/>
      <c r="H61" s="127">
        <v>0</v>
      </c>
      <c r="I61" s="128"/>
      <c r="J61" s="124">
        <v>0</v>
      </c>
      <c r="K61" s="144">
        <v>0</v>
      </c>
      <c r="L61" s="150"/>
    </row>
    <row r="62" spans="1:12" s="338" customFormat="1" ht="13.5">
      <c r="A62" s="514" t="s">
        <v>69</v>
      </c>
      <c r="B62" s="515"/>
      <c r="C62" s="515"/>
      <c r="D62" s="125"/>
      <c r="E62" s="126">
        <v>0</v>
      </c>
      <c r="F62" s="144">
        <v>0</v>
      </c>
      <c r="G62" s="145"/>
      <c r="H62" s="127">
        <v>0</v>
      </c>
      <c r="I62" s="128"/>
      <c r="J62" s="124">
        <v>0</v>
      </c>
      <c r="K62" s="144">
        <v>0</v>
      </c>
      <c r="L62" s="150"/>
    </row>
    <row r="63" spans="1:12" s="338" customFormat="1" ht="13.5">
      <c r="A63" s="514" t="s">
        <v>70</v>
      </c>
      <c r="B63" s="515"/>
      <c r="C63" s="515"/>
      <c r="D63" s="125">
        <v>1207</v>
      </c>
      <c r="E63" s="126">
        <v>804</v>
      </c>
      <c r="F63" s="144">
        <v>-403</v>
      </c>
      <c r="G63" s="145">
        <v>0.6661143330571665</v>
      </c>
      <c r="H63" s="127">
        <v>360</v>
      </c>
      <c r="I63" s="128"/>
      <c r="J63" s="124">
        <v>360</v>
      </c>
      <c r="K63" s="144">
        <v>-444</v>
      </c>
      <c r="L63" s="150">
        <v>0.44776119402985076</v>
      </c>
    </row>
    <row r="64" spans="1:12" s="338" customFormat="1" ht="13.5">
      <c r="A64" s="514" t="s">
        <v>71</v>
      </c>
      <c r="B64" s="515"/>
      <c r="C64" s="515"/>
      <c r="D64" s="125">
        <v>5485</v>
      </c>
      <c r="E64" s="126">
        <v>3800</v>
      </c>
      <c r="F64" s="144">
        <v>-1685</v>
      </c>
      <c r="G64" s="145">
        <v>0.6927985414767548</v>
      </c>
      <c r="H64" s="127">
        <v>1900</v>
      </c>
      <c r="I64" s="128"/>
      <c r="J64" s="124">
        <v>1900</v>
      </c>
      <c r="K64" s="144">
        <v>-1900</v>
      </c>
      <c r="L64" s="150">
        <v>0.5</v>
      </c>
    </row>
    <row r="65" spans="1:12" s="338" customFormat="1" ht="13.5">
      <c r="A65" s="514" t="s">
        <v>170</v>
      </c>
      <c r="B65" s="515"/>
      <c r="C65" s="515"/>
      <c r="D65" s="125">
        <v>96</v>
      </c>
      <c r="E65" s="126">
        <v>101</v>
      </c>
      <c r="F65" s="144">
        <v>5</v>
      </c>
      <c r="G65" s="145">
        <v>1.0520833333333333</v>
      </c>
      <c r="H65" s="127">
        <v>100</v>
      </c>
      <c r="I65" s="128"/>
      <c r="J65" s="124">
        <v>100</v>
      </c>
      <c r="K65" s="144">
        <v>-1</v>
      </c>
      <c r="L65" s="150">
        <v>0.9900990099009901</v>
      </c>
    </row>
    <row r="66" spans="1:12" s="338" customFormat="1" ht="13.5">
      <c r="A66" s="514" t="s">
        <v>72</v>
      </c>
      <c r="B66" s="515"/>
      <c r="C66" s="515"/>
      <c r="D66" s="125"/>
      <c r="E66" s="126">
        <v>160</v>
      </c>
      <c r="F66" s="144">
        <v>160</v>
      </c>
      <c r="G66" s="145"/>
      <c r="H66" s="127">
        <v>150</v>
      </c>
      <c r="I66" s="128"/>
      <c r="J66" s="124">
        <v>150</v>
      </c>
      <c r="K66" s="144">
        <v>-10</v>
      </c>
      <c r="L66" s="150">
        <v>0.9375</v>
      </c>
    </row>
    <row r="67" spans="1:12" s="338" customFormat="1" ht="13.5">
      <c r="A67" s="514" t="s">
        <v>73</v>
      </c>
      <c r="B67" s="515"/>
      <c r="C67" s="515"/>
      <c r="D67" s="125">
        <v>548</v>
      </c>
      <c r="E67" s="126">
        <v>731</v>
      </c>
      <c r="F67" s="144">
        <v>183</v>
      </c>
      <c r="G67" s="145">
        <v>1.333941605839416</v>
      </c>
      <c r="H67" s="127">
        <v>730</v>
      </c>
      <c r="I67" s="128"/>
      <c r="J67" s="124">
        <v>730</v>
      </c>
      <c r="K67" s="144">
        <v>-1</v>
      </c>
      <c r="L67" s="150">
        <v>0.9986320109439124</v>
      </c>
    </row>
    <row r="68" spans="1:12" s="338" customFormat="1" ht="13.5">
      <c r="A68" s="514" t="s">
        <v>171</v>
      </c>
      <c r="B68" s="515"/>
      <c r="C68" s="515"/>
      <c r="D68" s="125"/>
      <c r="E68" s="126">
        <v>0</v>
      </c>
      <c r="F68" s="144">
        <v>0</v>
      </c>
      <c r="G68" s="145"/>
      <c r="H68" s="127">
        <v>0</v>
      </c>
      <c r="I68" s="128"/>
      <c r="J68" s="124">
        <v>0</v>
      </c>
      <c r="K68" s="144">
        <v>0</v>
      </c>
      <c r="L68" s="150"/>
    </row>
    <row r="69" spans="1:12" s="338" customFormat="1" ht="13.5">
      <c r="A69" s="526" t="s">
        <v>74</v>
      </c>
      <c r="B69" s="527"/>
      <c r="C69" s="527"/>
      <c r="D69" s="125">
        <v>19721</v>
      </c>
      <c r="E69" s="126">
        <v>22377</v>
      </c>
      <c r="F69" s="144">
        <v>2656</v>
      </c>
      <c r="G69" s="145">
        <v>1.1346787688251103</v>
      </c>
      <c r="H69" s="127">
        <v>23556.2</v>
      </c>
      <c r="I69" s="128"/>
      <c r="J69" s="124">
        <v>23556.2</v>
      </c>
      <c r="K69" s="144">
        <v>1179.2000000000007</v>
      </c>
      <c r="L69" s="150">
        <v>1.0526969656343568</v>
      </c>
    </row>
    <row r="70" spans="1:12" s="338" customFormat="1" ht="13.5">
      <c r="A70" s="514" t="s">
        <v>75</v>
      </c>
      <c r="B70" s="515"/>
      <c r="C70" s="515"/>
      <c r="D70" s="125">
        <v>14057</v>
      </c>
      <c r="E70" s="126">
        <v>16242</v>
      </c>
      <c r="F70" s="144">
        <v>2185</v>
      </c>
      <c r="G70" s="145">
        <v>1.1554385715301985</v>
      </c>
      <c r="H70" s="127">
        <v>17430</v>
      </c>
      <c r="I70" s="128"/>
      <c r="J70" s="124">
        <v>17430</v>
      </c>
      <c r="K70" s="144">
        <v>1188</v>
      </c>
      <c r="L70" s="150">
        <v>1.0731437015145917</v>
      </c>
    </row>
    <row r="71" spans="1:12" s="338" customFormat="1" ht="13.5">
      <c r="A71" s="514" t="s">
        <v>76</v>
      </c>
      <c r="B71" s="515"/>
      <c r="C71" s="515"/>
      <c r="D71" s="125">
        <v>13844</v>
      </c>
      <c r="E71" s="126">
        <v>15658</v>
      </c>
      <c r="F71" s="144">
        <v>1814</v>
      </c>
      <c r="G71" s="145">
        <v>1.1310314937879227</v>
      </c>
      <c r="H71" s="127">
        <v>17430</v>
      </c>
      <c r="I71" s="128"/>
      <c r="J71" s="124">
        <v>17430</v>
      </c>
      <c r="K71" s="144">
        <v>1772</v>
      </c>
      <c r="L71" s="150">
        <v>1.1131689870992465</v>
      </c>
    </row>
    <row r="72" spans="1:12" s="338" customFormat="1" ht="13.5">
      <c r="A72" s="514" t="s">
        <v>172</v>
      </c>
      <c r="B72" s="515"/>
      <c r="C72" s="515"/>
      <c r="D72" s="125">
        <v>13844</v>
      </c>
      <c r="E72" s="126">
        <v>15547</v>
      </c>
      <c r="F72" s="144">
        <v>1703</v>
      </c>
      <c r="G72" s="145">
        <v>1.1230135798902052</v>
      </c>
      <c r="H72" s="127">
        <v>17430</v>
      </c>
      <c r="I72" s="128"/>
      <c r="J72" s="124">
        <v>17430</v>
      </c>
      <c r="K72" s="144">
        <v>1883</v>
      </c>
      <c r="L72" s="150">
        <v>1.1211166141377757</v>
      </c>
    </row>
    <row r="73" spans="1:12" s="338" customFormat="1" ht="13.5">
      <c r="A73" s="514" t="s">
        <v>77</v>
      </c>
      <c r="B73" s="515"/>
      <c r="C73" s="515"/>
      <c r="D73" s="125">
        <v>213</v>
      </c>
      <c r="E73" s="126">
        <v>584</v>
      </c>
      <c r="F73" s="144">
        <v>371</v>
      </c>
      <c r="G73" s="145">
        <v>2.7417840375586855</v>
      </c>
      <c r="H73" s="127">
        <v>200</v>
      </c>
      <c r="I73" s="128"/>
      <c r="J73" s="124">
        <v>200</v>
      </c>
      <c r="K73" s="144">
        <v>-384</v>
      </c>
      <c r="L73" s="150">
        <v>0.3424657534246575</v>
      </c>
    </row>
    <row r="74" spans="1:12" s="338" customFormat="1" ht="13.5">
      <c r="A74" s="514" t="s">
        <v>78</v>
      </c>
      <c r="B74" s="515"/>
      <c r="C74" s="515"/>
      <c r="D74" s="125">
        <v>564</v>
      </c>
      <c r="E74" s="126">
        <v>6135</v>
      </c>
      <c r="F74" s="144">
        <v>5571</v>
      </c>
      <c r="G74" s="145">
        <v>10.877659574468085</v>
      </c>
      <c r="H74" s="127">
        <v>5926.200000000001</v>
      </c>
      <c r="I74" s="128"/>
      <c r="J74" s="124">
        <v>5926.200000000001</v>
      </c>
      <c r="K74" s="144">
        <v>-208.79999999999927</v>
      </c>
      <c r="L74" s="150">
        <v>0.9659657701711493</v>
      </c>
    </row>
    <row r="75" spans="1:15" s="338" customFormat="1" ht="13.5">
      <c r="A75" s="526" t="s">
        <v>79</v>
      </c>
      <c r="B75" s="527"/>
      <c r="C75" s="527"/>
      <c r="D75" s="125"/>
      <c r="E75" s="126">
        <v>2</v>
      </c>
      <c r="F75" s="144">
        <v>2</v>
      </c>
      <c r="G75" s="145"/>
      <c r="H75" s="127">
        <v>0</v>
      </c>
      <c r="I75" s="128"/>
      <c r="J75" s="124">
        <v>0</v>
      </c>
      <c r="K75" s="144">
        <v>-2</v>
      </c>
      <c r="L75" s="150">
        <v>0</v>
      </c>
      <c r="O75" s="344"/>
    </row>
    <row r="76" spans="1:12" s="338" customFormat="1" ht="13.5">
      <c r="A76" s="514" t="s">
        <v>80</v>
      </c>
      <c r="B76" s="515"/>
      <c r="C76" s="515"/>
      <c r="D76" s="125"/>
      <c r="E76" s="126">
        <v>0</v>
      </c>
      <c r="F76" s="144">
        <v>0</v>
      </c>
      <c r="G76" s="145"/>
      <c r="H76" s="127"/>
      <c r="I76" s="128"/>
      <c r="J76" s="124">
        <v>0</v>
      </c>
      <c r="K76" s="144">
        <v>0</v>
      </c>
      <c r="L76" s="150"/>
    </row>
    <row r="77" spans="1:12" s="338" customFormat="1" ht="13.5">
      <c r="A77" s="526" t="s">
        <v>81</v>
      </c>
      <c r="B77" s="527"/>
      <c r="C77" s="527"/>
      <c r="D77" s="125">
        <v>145</v>
      </c>
      <c r="E77" s="126">
        <v>64</v>
      </c>
      <c r="F77" s="144">
        <v>-81</v>
      </c>
      <c r="G77" s="145">
        <v>0.4413793103448276</v>
      </c>
      <c r="H77" s="127">
        <v>100</v>
      </c>
      <c r="I77" s="128"/>
      <c r="J77" s="124">
        <v>100</v>
      </c>
      <c r="K77" s="144">
        <v>36</v>
      </c>
      <c r="L77" s="150">
        <v>1.5625</v>
      </c>
    </row>
    <row r="78" spans="1:12" s="338" customFormat="1" ht="13.5">
      <c r="A78" s="514" t="s">
        <v>82</v>
      </c>
      <c r="B78" s="515"/>
      <c r="C78" s="515"/>
      <c r="D78" s="138"/>
      <c r="E78" s="130">
        <v>0</v>
      </c>
      <c r="F78" s="144">
        <v>0</v>
      </c>
      <c r="G78" s="145"/>
      <c r="H78" s="122"/>
      <c r="I78" s="123"/>
      <c r="J78" s="124">
        <v>0</v>
      </c>
      <c r="K78" s="144">
        <v>0</v>
      </c>
      <c r="L78" s="150"/>
    </row>
    <row r="79" spans="1:12" s="338" customFormat="1" ht="13.5">
      <c r="A79" s="514" t="s">
        <v>83</v>
      </c>
      <c r="B79" s="515"/>
      <c r="C79" s="515"/>
      <c r="D79" s="125"/>
      <c r="E79" s="126">
        <v>0</v>
      </c>
      <c r="F79" s="144">
        <v>0</v>
      </c>
      <c r="G79" s="145"/>
      <c r="H79" s="127"/>
      <c r="I79" s="128"/>
      <c r="J79" s="124">
        <v>0</v>
      </c>
      <c r="K79" s="144">
        <v>0</v>
      </c>
      <c r="L79" s="150"/>
    </row>
    <row r="80" spans="1:12" s="338" customFormat="1" ht="13.5">
      <c r="A80" s="526" t="s">
        <v>84</v>
      </c>
      <c r="B80" s="527"/>
      <c r="C80" s="527"/>
      <c r="D80" s="125">
        <v>1809</v>
      </c>
      <c r="E80" s="126">
        <v>3223</v>
      </c>
      <c r="F80" s="144">
        <v>1414</v>
      </c>
      <c r="G80" s="145">
        <v>1.7816473189607518</v>
      </c>
      <c r="H80" s="127">
        <v>4950</v>
      </c>
      <c r="I80" s="128"/>
      <c r="J80" s="124">
        <v>4950</v>
      </c>
      <c r="K80" s="144">
        <v>1727</v>
      </c>
      <c r="L80" s="150">
        <v>1.5358361774744027</v>
      </c>
    </row>
    <row r="81" spans="1:12" s="338" customFormat="1" ht="13.5">
      <c r="A81" s="514" t="s">
        <v>85</v>
      </c>
      <c r="B81" s="515"/>
      <c r="C81" s="515"/>
      <c r="D81" s="125">
        <v>1809</v>
      </c>
      <c r="E81" s="126">
        <v>2498</v>
      </c>
      <c r="F81" s="144">
        <v>689</v>
      </c>
      <c r="G81" s="145">
        <v>1.380873410724157</v>
      </c>
      <c r="H81" s="366">
        <v>3950</v>
      </c>
      <c r="I81" s="128"/>
      <c r="J81" s="124">
        <v>3950</v>
      </c>
      <c r="K81" s="144">
        <v>1452</v>
      </c>
      <c r="L81" s="150">
        <v>1.5812650120096077</v>
      </c>
    </row>
    <row r="82" spans="1:12" s="338" customFormat="1" ht="13.5">
      <c r="A82" s="514" t="s">
        <v>86</v>
      </c>
      <c r="B82" s="515"/>
      <c r="C82" s="515"/>
      <c r="D82" s="125"/>
      <c r="E82" s="126">
        <v>0</v>
      </c>
      <c r="F82" s="144">
        <v>0</v>
      </c>
      <c r="G82" s="145"/>
      <c r="H82" s="127"/>
      <c r="I82" s="128"/>
      <c r="J82" s="124">
        <v>0</v>
      </c>
      <c r="K82" s="144">
        <v>0</v>
      </c>
      <c r="L82" s="150"/>
    </row>
    <row r="83" spans="1:12" s="338" customFormat="1" ht="13.5">
      <c r="A83" s="514" t="s">
        <v>173</v>
      </c>
      <c r="B83" s="515"/>
      <c r="C83" s="515"/>
      <c r="D83" s="125"/>
      <c r="E83" s="126">
        <v>0</v>
      </c>
      <c r="F83" s="144">
        <v>0</v>
      </c>
      <c r="G83" s="145"/>
      <c r="H83" s="127"/>
      <c r="I83" s="128"/>
      <c r="J83" s="124">
        <v>0</v>
      </c>
      <c r="K83" s="144">
        <v>0</v>
      </c>
      <c r="L83" s="150"/>
    </row>
    <row r="84" spans="1:12" s="338" customFormat="1" ht="13.5">
      <c r="A84" s="514" t="s">
        <v>87</v>
      </c>
      <c r="B84" s="515"/>
      <c r="C84" s="515"/>
      <c r="D84" s="125"/>
      <c r="E84" s="126">
        <v>725</v>
      </c>
      <c r="F84" s="144">
        <v>725</v>
      </c>
      <c r="G84" s="145"/>
      <c r="H84" s="127">
        <v>500</v>
      </c>
      <c r="I84" s="128"/>
      <c r="J84" s="124">
        <v>500</v>
      </c>
      <c r="K84" s="144">
        <v>-225</v>
      </c>
      <c r="L84" s="150">
        <v>0.6896551724137931</v>
      </c>
    </row>
    <row r="85" spans="1:12" s="338" customFormat="1" ht="13.5">
      <c r="A85" s="514" t="s">
        <v>174</v>
      </c>
      <c r="B85" s="515"/>
      <c r="C85" s="515"/>
      <c r="D85" s="125"/>
      <c r="E85" s="126">
        <v>725</v>
      </c>
      <c r="F85" s="144">
        <v>725</v>
      </c>
      <c r="G85" s="145"/>
      <c r="H85" s="127">
        <v>500</v>
      </c>
      <c r="I85" s="128"/>
      <c r="J85" s="124">
        <v>500</v>
      </c>
      <c r="K85" s="144">
        <v>-225</v>
      </c>
      <c r="L85" s="150">
        <v>0.6896551724137931</v>
      </c>
    </row>
    <row r="86" spans="1:12" s="338" customFormat="1" ht="13.5">
      <c r="A86" s="514" t="s">
        <v>175</v>
      </c>
      <c r="B86" s="515"/>
      <c r="C86" s="515"/>
      <c r="D86" s="125"/>
      <c r="E86" s="126">
        <v>0</v>
      </c>
      <c r="F86" s="144">
        <v>0</v>
      </c>
      <c r="G86" s="145"/>
      <c r="H86" s="127"/>
      <c r="I86" s="128"/>
      <c r="J86" s="124">
        <v>0</v>
      </c>
      <c r="K86" s="144">
        <v>0</v>
      </c>
      <c r="L86" s="150"/>
    </row>
    <row r="87" spans="1:12" s="338" customFormat="1" ht="13.5">
      <c r="A87" s="526" t="s">
        <v>88</v>
      </c>
      <c r="B87" s="527"/>
      <c r="C87" s="527"/>
      <c r="D87" s="125"/>
      <c r="E87" s="126">
        <v>0</v>
      </c>
      <c r="F87" s="144">
        <v>0</v>
      </c>
      <c r="G87" s="145"/>
      <c r="H87" s="127">
        <v>0</v>
      </c>
      <c r="I87" s="128"/>
      <c r="J87" s="124">
        <v>0</v>
      </c>
      <c r="K87" s="144">
        <v>0</v>
      </c>
      <c r="L87" s="150"/>
    </row>
    <row r="88" spans="1:12" s="338" customFormat="1" ht="13.5">
      <c r="A88" s="514" t="s">
        <v>89</v>
      </c>
      <c r="B88" s="515"/>
      <c r="C88" s="515"/>
      <c r="D88" s="125"/>
      <c r="E88" s="126">
        <v>0</v>
      </c>
      <c r="F88" s="144">
        <v>0</v>
      </c>
      <c r="G88" s="145"/>
      <c r="H88" s="127"/>
      <c r="I88" s="128"/>
      <c r="J88" s="124">
        <v>0</v>
      </c>
      <c r="K88" s="144">
        <v>0</v>
      </c>
      <c r="L88" s="150"/>
    </row>
    <row r="89" spans="1:12" s="338" customFormat="1" ht="13.5">
      <c r="A89" s="526" t="s">
        <v>90</v>
      </c>
      <c r="B89" s="527"/>
      <c r="C89" s="527"/>
      <c r="D89" s="125"/>
      <c r="E89" s="126">
        <v>0</v>
      </c>
      <c r="F89" s="144">
        <v>0</v>
      </c>
      <c r="G89" s="145"/>
      <c r="H89" s="127">
        <v>0</v>
      </c>
      <c r="I89" s="128"/>
      <c r="J89" s="124">
        <v>0</v>
      </c>
      <c r="K89" s="144">
        <v>0</v>
      </c>
      <c r="L89" s="150"/>
    </row>
    <row r="90" spans="1:15" s="254" customFormat="1" ht="14.25" thickBot="1">
      <c r="A90" s="514" t="s">
        <v>176</v>
      </c>
      <c r="B90" s="515"/>
      <c r="C90" s="515"/>
      <c r="D90" s="245"/>
      <c r="E90" s="140">
        <v>0</v>
      </c>
      <c r="F90" s="144">
        <v>0</v>
      </c>
      <c r="G90" s="145"/>
      <c r="H90" s="127"/>
      <c r="I90" s="128"/>
      <c r="J90" s="124">
        <v>0</v>
      </c>
      <c r="K90" s="144">
        <v>0</v>
      </c>
      <c r="L90" s="150"/>
      <c r="M90" s="249"/>
      <c r="N90" s="249"/>
      <c r="O90" s="250"/>
    </row>
    <row r="91" spans="1:15" s="254" customFormat="1" ht="14.25" thickBot="1">
      <c r="A91" s="533" t="s">
        <v>91</v>
      </c>
      <c r="B91" s="534"/>
      <c r="C91" s="535"/>
      <c r="D91" s="177">
        <v>32037</v>
      </c>
      <c r="E91" s="178">
        <v>37319</v>
      </c>
      <c r="F91" s="179"/>
      <c r="G91" s="179"/>
      <c r="H91" s="180">
        <v>39621.2</v>
      </c>
      <c r="I91" s="180">
        <v>0</v>
      </c>
      <c r="J91" s="181">
        <v>39621.2</v>
      </c>
      <c r="K91" s="182"/>
      <c r="L91" s="183"/>
      <c r="M91" s="249"/>
      <c r="N91" s="249"/>
      <c r="O91" s="250"/>
    </row>
    <row r="92" spans="1:15" s="252" customFormat="1" ht="14.25" thickBot="1">
      <c r="A92" s="536" t="s">
        <v>177</v>
      </c>
      <c r="B92" s="537"/>
      <c r="C92" s="538"/>
      <c r="D92" s="184">
        <v>259</v>
      </c>
      <c r="E92" s="184">
        <v>174</v>
      </c>
      <c r="F92" s="185"/>
      <c r="G92" s="185"/>
      <c r="H92" s="184">
        <f>-8992.4+174</f>
        <v>-8818.4</v>
      </c>
      <c r="I92" s="184">
        <v>0</v>
      </c>
      <c r="J92" s="186">
        <f>H92</f>
        <v>-8818.4</v>
      </c>
      <c r="K92" s="170"/>
      <c r="L92" s="187"/>
      <c r="M92" s="345"/>
      <c r="N92" s="345"/>
      <c r="O92" s="250"/>
    </row>
    <row r="93" spans="1:15" s="34" customFormat="1" ht="13.5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5" s="34" customFormat="1" ht="14.25" thickBot="1">
      <c r="A94" s="35"/>
      <c r="B94" s="36"/>
      <c r="C94" s="36"/>
      <c r="D94" s="37"/>
      <c r="E94" s="38"/>
      <c r="F94" s="36"/>
      <c r="G94" s="36"/>
      <c r="H94" s="39"/>
      <c r="I94" s="40"/>
      <c r="J94" s="41"/>
      <c r="K94" s="35"/>
      <c r="L94" s="36"/>
      <c r="M94" s="36"/>
      <c r="N94" s="36"/>
      <c r="O94" s="39"/>
    </row>
    <row r="95" spans="1:14" ht="14.25" thickBot="1">
      <c r="A95" s="428" t="s">
        <v>178</v>
      </c>
      <c r="B95" s="428"/>
      <c r="C95" s="565" t="s">
        <v>104</v>
      </c>
      <c r="D95" s="42"/>
      <c r="E95" s="600" t="s">
        <v>179</v>
      </c>
      <c r="F95" s="600"/>
      <c r="G95" s="600"/>
      <c r="H95" s="600"/>
      <c r="I95" s="601" t="s">
        <v>104</v>
      </c>
      <c r="J95" s="43"/>
      <c r="K95" s="43"/>
      <c r="L95" s="43"/>
      <c r="M95" s="43"/>
      <c r="N95" s="43"/>
    </row>
    <row r="96" spans="1:14" ht="14.25" thickBot="1">
      <c r="A96" s="428"/>
      <c r="B96" s="428"/>
      <c r="C96" s="565"/>
      <c r="D96" s="42"/>
      <c r="E96" s="428"/>
      <c r="F96" s="428"/>
      <c r="G96" s="428"/>
      <c r="H96" s="428"/>
      <c r="I96" s="601"/>
      <c r="J96" s="43"/>
      <c r="K96" s="43"/>
      <c r="L96" s="43"/>
      <c r="M96" s="43"/>
      <c r="N96" s="43"/>
    </row>
    <row r="97" spans="1:14" ht="14.25" thickBot="1">
      <c r="A97" s="617" t="s">
        <v>243</v>
      </c>
      <c r="B97" s="617"/>
      <c r="C97" s="109">
        <v>155</v>
      </c>
      <c r="D97" s="92"/>
      <c r="E97" s="433" t="s">
        <v>315</v>
      </c>
      <c r="F97" s="434"/>
      <c r="G97" s="434"/>
      <c r="H97" s="612"/>
      <c r="I97" s="110">
        <v>145</v>
      </c>
      <c r="J97" s="43"/>
      <c r="K97" s="43"/>
      <c r="L97" s="43"/>
      <c r="M97" s="43"/>
      <c r="N97" s="38" t="s">
        <v>105</v>
      </c>
    </row>
    <row r="98" spans="1:14" ht="13.5">
      <c r="A98" s="617" t="s">
        <v>312</v>
      </c>
      <c r="B98" s="617"/>
      <c r="C98" s="109">
        <v>70</v>
      </c>
      <c r="D98" s="92"/>
      <c r="E98" s="437"/>
      <c r="F98" s="438"/>
      <c r="G98" s="438"/>
      <c r="H98" s="613"/>
      <c r="I98" s="259"/>
      <c r="J98" s="43"/>
      <c r="K98" s="44" t="s">
        <v>106</v>
      </c>
      <c r="L98" s="44"/>
      <c r="M98" s="45">
        <v>2011</v>
      </c>
      <c r="N98" s="46">
        <v>2012</v>
      </c>
    </row>
    <row r="99" spans="1:14" ht="13.5">
      <c r="A99" s="617" t="s">
        <v>313</v>
      </c>
      <c r="B99" s="617"/>
      <c r="C99" s="109">
        <v>80</v>
      </c>
      <c r="D99" s="92"/>
      <c r="E99" s="437"/>
      <c r="F99" s="438"/>
      <c r="G99" s="438"/>
      <c r="H99" s="613"/>
      <c r="I99" s="259"/>
      <c r="J99" s="43"/>
      <c r="K99" s="47" t="s">
        <v>107</v>
      </c>
      <c r="L99" s="47"/>
      <c r="M99" s="48">
        <v>0</v>
      </c>
      <c r="N99" s="49">
        <v>0</v>
      </c>
    </row>
    <row r="100" spans="1:14" ht="13.5">
      <c r="A100" s="617" t="s">
        <v>314</v>
      </c>
      <c r="B100" s="617"/>
      <c r="C100" s="109">
        <v>60</v>
      </c>
      <c r="D100" s="92"/>
      <c r="E100" s="437"/>
      <c r="F100" s="438"/>
      <c r="G100" s="438"/>
      <c r="H100" s="613"/>
      <c r="I100" s="259"/>
      <c r="J100" s="43"/>
      <c r="K100" s="47" t="s">
        <v>108</v>
      </c>
      <c r="L100" s="50"/>
      <c r="M100" s="51">
        <v>0</v>
      </c>
      <c r="N100" s="52">
        <v>0</v>
      </c>
    </row>
    <row r="101" spans="1:14" ht="14.25" thickBot="1">
      <c r="A101" s="618" t="s">
        <v>221</v>
      </c>
      <c r="B101" s="618"/>
      <c r="C101" s="296">
        <v>1635</v>
      </c>
      <c r="D101" s="92"/>
      <c r="E101" s="437"/>
      <c r="F101" s="438"/>
      <c r="G101" s="438"/>
      <c r="H101" s="613"/>
      <c r="I101" s="260"/>
      <c r="J101" s="43"/>
      <c r="K101" s="53" t="s">
        <v>109</v>
      </c>
      <c r="L101" s="54"/>
      <c r="M101" s="55">
        <v>0</v>
      </c>
      <c r="N101" s="56">
        <v>0</v>
      </c>
    </row>
    <row r="102" spans="1:14" ht="13.5">
      <c r="A102" s="617"/>
      <c r="B102" s="617"/>
      <c r="C102" s="296"/>
      <c r="D102" s="92"/>
      <c r="E102" s="437"/>
      <c r="F102" s="438"/>
      <c r="G102" s="438"/>
      <c r="H102" s="613"/>
      <c r="I102" s="260"/>
      <c r="J102" s="43"/>
      <c r="K102" s="43"/>
      <c r="L102" s="43"/>
      <c r="M102" s="43"/>
      <c r="N102" s="43"/>
    </row>
    <row r="103" spans="1:14" ht="13.5">
      <c r="A103" s="617"/>
      <c r="B103" s="617"/>
      <c r="C103" s="296"/>
      <c r="D103" s="92"/>
      <c r="E103" s="437"/>
      <c r="F103" s="438"/>
      <c r="G103" s="438"/>
      <c r="H103" s="613"/>
      <c r="I103" s="256"/>
      <c r="J103" s="43"/>
      <c r="K103" s="43"/>
      <c r="L103" s="43"/>
      <c r="M103" s="43"/>
      <c r="N103" s="43"/>
    </row>
    <row r="104" spans="1:14" ht="14.25" thickBot="1">
      <c r="A104" s="615"/>
      <c r="B104" s="615"/>
      <c r="C104" s="57"/>
      <c r="D104" s="92"/>
      <c r="E104" s="443"/>
      <c r="F104" s="444"/>
      <c r="G104" s="444"/>
      <c r="H104" s="616"/>
      <c r="I104" s="257"/>
      <c r="J104" s="43"/>
      <c r="K104" s="43"/>
      <c r="L104" s="43"/>
      <c r="M104" s="43"/>
      <c r="N104" s="43"/>
    </row>
    <row r="105" spans="1:14" ht="14.25" thickBot="1">
      <c r="A105" s="607" t="s">
        <v>97</v>
      </c>
      <c r="B105" s="607"/>
      <c r="C105" s="58">
        <f>SUM(C97:C103)</f>
        <v>2000</v>
      </c>
      <c r="D105" s="59"/>
      <c r="E105" s="611" t="s">
        <v>97</v>
      </c>
      <c r="F105" s="611"/>
      <c r="G105" s="611"/>
      <c r="H105" s="611"/>
      <c r="I105" s="60">
        <f>SUM(I97:I104)</f>
        <v>145</v>
      </c>
      <c r="J105" s="43"/>
      <c r="K105" s="43"/>
      <c r="L105" s="43"/>
      <c r="M105" s="43"/>
      <c r="N105" s="61"/>
    </row>
    <row r="106" spans="1:5" s="34" customFormat="1" ht="13.5">
      <c r="A106" s="108"/>
      <c r="B106" s="62"/>
      <c r="C106" s="374"/>
      <c r="D106" s="62"/>
      <c r="E106" s="62"/>
    </row>
    <row r="107" spans="1:12" s="34" customFormat="1" ht="14.25" thickBot="1">
      <c r="A107" s="63" t="s">
        <v>181</v>
      </c>
      <c r="B107" s="36"/>
      <c r="C107" s="36"/>
      <c r="D107" s="36"/>
      <c r="E107" s="39"/>
      <c r="F107" s="41"/>
      <c r="G107" s="41"/>
      <c r="H107" s="35"/>
      <c r="I107" s="36"/>
      <c r="J107" s="36" t="s">
        <v>110</v>
      </c>
      <c r="K107" s="36"/>
      <c r="L107" s="39"/>
    </row>
    <row r="108" spans="1:11" s="34" customFormat="1" ht="13.5">
      <c r="A108" s="449" t="s">
        <v>111</v>
      </c>
      <c r="B108" s="452" t="s">
        <v>248</v>
      </c>
      <c r="C108" s="459" t="s">
        <v>182</v>
      </c>
      <c r="D108" s="460"/>
      <c r="E108" s="460"/>
      <c r="F108" s="460"/>
      <c r="G108" s="460"/>
      <c r="H108" s="460"/>
      <c r="I108" s="460"/>
      <c r="J108" s="461"/>
      <c r="K108" s="455" t="s">
        <v>183</v>
      </c>
    </row>
    <row r="109" spans="1:11" s="34" customFormat="1" ht="13.5">
      <c r="A109" s="450"/>
      <c r="B109" s="453"/>
      <c r="C109" s="458" t="s">
        <v>112</v>
      </c>
      <c r="D109" s="462" t="s">
        <v>113</v>
      </c>
      <c r="E109" s="462"/>
      <c r="F109" s="462"/>
      <c r="G109" s="462"/>
      <c r="H109" s="462"/>
      <c r="I109" s="462"/>
      <c r="J109" s="463"/>
      <c r="K109" s="456"/>
    </row>
    <row r="110" spans="1:12" s="34" customFormat="1" ht="14.25" thickBot="1">
      <c r="A110" s="451"/>
      <c r="B110" s="454"/>
      <c r="C110" s="458"/>
      <c r="D110" s="164">
        <v>1</v>
      </c>
      <c r="E110" s="164">
        <v>2</v>
      </c>
      <c r="F110" s="164">
        <v>3</v>
      </c>
      <c r="G110" s="164">
        <v>4</v>
      </c>
      <c r="H110" s="164">
        <v>5</v>
      </c>
      <c r="I110" s="164">
        <v>6</v>
      </c>
      <c r="J110" s="165">
        <v>7</v>
      </c>
      <c r="K110" s="457"/>
      <c r="L110" s="71"/>
    </row>
    <row r="111" spans="1:11" s="34" customFormat="1" ht="14.25" thickBot="1">
      <c r="A111" s="64">
        <v>178987</v>
      </c>
      <c r="B111" s="65">
        <v>9542</v>
      </c>
      <c r="C111" s="364">
        <f>SUM(D111:J111)</f>
        <v>3950</v>
      </c>
      <c r="D111" s="167">
        <v>46</v>
      </c>
      <c r="E111" s="167">
        <v>1239</v>
      </c>
      <c r="F111" s="167">
        <v>11</v>
      </c>
      <c r="G111" s="167">
        <v>0</v>
      </c>
      <c r="H111" s="167">
        <v>2654</v>
      </c>
      <c r="I111" s="168">
        <v>0</v>
      </c>
      <c r="J111" s="225">
        <v>0</v>
      </c>
      <c r="K111" s="163">
        <v>165495</v>
      </c>
    </row>
    <row r="112" spans="1:5" s="34" customFormat="1" ht="13.5">
      <c r="A112" s="59"/>
      <c r="B112" s="62"/>
      <c r="C112" s="62"/>
      <c r="D112" s="62"/>
      <c r="E112" s="62"/>
    </row>
    <row r="113" spans="1:8" s="34" customFormat="1" ht="14.25" thickBot="1">
      <c r="A113" s="63" t="s">
        <v>184</v>
      </c>
      <c r="C113" s="36"/>
      <c r="D113" s="36"/>
      <c r="E113" s="36"/>
      <c r="F113" s="36" t="s">
        <v>110</v>
      </c>
      <c r="G113" s="41"/>
      <c r="H113" s="35"/>
    </row>
    <row r="114" spans="1:13" s="34" customFormat="1" ht="15" customHeight="1" thickBot="1">
      <c r="A114" s="467" t="s">
        <v>114</v>
      </c>
      <c r="B114" s="469" t="s">
        <v>188</v>
      </c>
      <c r="C114" s="188" t="s">
        <v>185</v>
      </c>
      <c r="D114" s="189"/>
      <c r="E114" s="288"/>
      <c r="F114" s="289"/>
      <c r="G114" s="232"/>
      <c r="H114" s="232"/>
      <c r="I114" s="232"/>
      <c r="J114" s="232"/>
      <c r="K114" s="232"/>
      <c r="L114" s="232"/>
      <c r="M114" s="232"/>
    </row>
    <row r="115" spans="1:13" s="34" customFormat="1" ht="27.75" thickBot="1">
      <c r="A115" s="468"/>
      <c r="B115" s="469"/>
      <c r="C115" s="67" t="s">
        <v>186</v>
      </c>
      <c r="D115" s="66" t="s">
        <v>115</v>
      </c>
      <c r="E115" s="290" t="s">
        <v>116</v>
      </c>
      <c r="F115" s="291" t="s">
        <v>187</v>
      </c>
      <c r="G115" s="232"/>
      <c r="H115" s="232"/>
      <c r="I115" s="232"/>
      <c r="J115" s="232"/>
      <c r="K115" s="232"/>
      <c r="L115" s="232"/>
      <c r="M115" s="232"/>
    </row>
    <row r="116" spans="1:13" s="34" customFormat="1" ht="13.5">
      <c r="A116" s="192" t="s">
        <v>117</v>
      </c>
      <c r="B116" s="218">
        <v>3370</v>
      </c>
      <c r="C116" s="68" t="s">
        <v>118</v>
      </c>
      <c r="D116" s="69" t="s">
        <v>118</v>
      </c>
      <c r="E116" s="270" t="s">
        <v>118</v>
      </c>
      <c r="F116" s="271" t="s">
        <v>118</v>
      </c>
      <c r="G116" s="232"/>
      <c r="H116" s="232"/>
      <c r="I116" s="232"/>
      <c r="J116" s="232"/>
      <c r="K116" s="232"/>
      <c r="L116" s="232"/>
      <c r="M116" s="232"/>
    </row>
    <row r="117" spans="1:13" s="34" customFormat="1" ht="13.5">
      <c r="A117" s="194" t="s">
        <v>119</v>
      </c>
      <c r="B117" s="219">
        <v>0</v>
      </c>
      <c r="C117" s="197">
        <v>0</v>
      </c>
      <c r="D117" s="51">
        <v>0</v>
      </c>
      <c r="E117" s="106">
        <v>0</v>
      </c>
      <c r="F117" s="272">
        <f>C117+D117-E117</f>
        <v>0</v>
      </c>
      <c r="G117" s="232"/>
      <c r="H117" s="232"/>
      <c r="I117" s="232"/>
      <c r="J117" s="232"/>
      <c r="K117" s="232"/>
      <c r="L117" s="232"/>
      <c r="M117" s="273"/>
    </row>
    <row r="118" spans="1:13" s="34" customFormat="1" ht="13.5">
      <c r="A118" s="194" t="s">
        <v>120</v>
      </c>
      <c r="B118" s="219">
        <v>0</v>
      </c>
      <c r="C118" s="197">
        <v>12</v>
      </c>
      <c r="D118" s="51">
        <v>174</v>
      </c>
      <c r="E118" s="106">
        <v>174</v>
      </c>
      <c r="F118" s="272">
        <f>C118+D118-E118</f>
        <v>12</v>
      </c>
      <c r="G118" s="232"/>
      <c r="H118" s="232"/>
      <c r="I118" s="232"/>
      <c r="J118" s="232"/>
      <c r="K118" s="232"/>
      <c r="L118" s="232"/>
      <c r="M118" s="273"/>
    </row>
    <row r="119" spans="1:13" s="34" customFormat="1" ht="13.5">
      <c r="A119" s="194" t="s">
        <v>121</v>
      </c>
      <c r="B119" s="219">
        <v>108</v>
      </c>
      <c r="C119" s="72">
        <v>108</v>
      </c>
      <c r="D119" s="206">
        <v>3950</v>
      </c>
      <c r="E119" s="206">
        <v>2000</v>
      </c>
      <c r="F119" s="272">
        <f>C119+D119-E119</f>
        <v>2058</v>
      </c>
      <c r="G119" s="232"/>
      <c r="H119" s="232"/>
      <c r="I119" s="232"/>
      <c r="J119" s="232"/>
      <c r="K119" s="232"/>
      <c r="L119" s="232"/>
      <c r="M119" s="273"/>
    </row>
    <row r="120" spans="1:13" s="34" customFormat="1" ht="13.5">
      <c r="A120" s="194" t="s">
        <v>122</v>
      </c>
      <c r="B120" s="219">
        <f>B116-B117-B118-B119</f>
        <v>3262</v>
      </c>
      <c r="C120" s="74" t="s">
        <v>118</v>
      </c>
      <c r="D120" s="75" t="s">
        <v>118</v>
      </c>
      <c r="E120" s="274" t="s">
        <v>118</v>
      </c>
      <c r="F120" s="275" t="s">
        <v>118</v>
      </c>
      <c r="G120" s="232"/>
      <c r="H120" s="232"/>
      <c r="I120" s="232"/>
      <c r="J120" s="232"/>
      <c r="K120" s="232"/>
      <c r="L120" s="232"/>
      <c r="M120" s="273"/>
    </row>
    <row r="121" spans="1:13" s="34" customFormat="1" ht="14.25" thickBot="1">
      <c r="A121" s="196" t="s">
        <v>123</v>
      </c>
      <c r="B121" s="220">
        <v>95</v>
      </c>
      <c r="C121" s="199">
        <v>213</v>
      </c>
      <c r="D121" s="200">
        <v>175</v>
      </c>
      <c r="E121" s="207">
        <v>0</v>
      </c>
      <c r="F121" s="276">
        <f>C121+D121-E121</f>
        <v>388</v>
      </c>
      <c r="G121" s="232"/>
      <c r="H121" s="232"/>
      <c r="I121" s="232"/>
      <c r="J121" s="232"/>
      <c r="K121" s="232"/>
      <c r="L121" s="232"/>
      <c r="M121" s="273"/>
    </row>
    <row r="122" spans="1:15" s="34" customFormat="1" ht="13.5">
      <c r="A122" s="35"/>
      <c r="B122" s="36"/>
      <c r="C122" s="36"/>
      <c r="D122" s="37"/>
      <c r="E122" s="277"/>
      <c r="F122" s="278"/>
      <c r="G122" s="278"/>
      <c r="H122" s="279"/>
      <c r="I122" s="280"/>
      <c r="J122" s="281"/>
      <c r="K122" s="282"/>
      <c r="L122" s="278"/>
      <c r="M122" s="278"/>
      <c r="N122" s="36"/>
      <c r="O122" s="39"/>
    </row>
    <row r="123" spans="1:13" ht="13.5">
      <c r="A123" s="63"/>
      <c r="E123" s="283"/>
      <c r="F123" s="284"/>
      <c r="G123" s="284"/>
      <c r="H123" s="284"/>
      <c r="I123" s="284"/>
      <c r="J123" s="284"/>
      <c r="K123" s="278"/>
      <c r="L123" s="284"/>
      <c r="M123" s="284"/>
    </row>
    <row r="124" spans="1:13" ht="14.25" thickBot="1">
      <c r="A124" s="63" t="s">
        <v>189</v>
      </c>
      <c r="E124" s="283"/>
      <c r="F124" s="284"/>
      <c r="G124" s="284"/>
      <c r="H124" s="284"/>
      <c r="I124" s="284"/>
      <c r="J124" s="284"/>
      <c r="K124" s="278" t="s">
        <v>110</v>
      </c>
      <c r="L124" s="284"/>
      <c r="M124" s="284"/>
    </row>
    <row r="125" spans="1:13" ht="13.5">
      <c r="A125" s="464" t="s">
        <v>124</v>
      </c>
      <c r="B125" s="465"/>
      <c r="C125" s="466"/>
      <c r="D125" s="78"/>
      <c r="E125" s="619" t="s">
        <v>125</v>
      </c>
      <c r="F125" s="620"/>
      <c r="G125" s="621"/>
      <c r="H125" s="284"/>
      <c r="I125" s="619" t="s">
        <v>126</v>
      </c>
      <c r="J125" s="620"/>
      <c r="K125" s="621"/>
      <c r="L125" s="284"/>
      <c r="M125" s="284"/>
    </row>
    <row r="126" spans="1:13" ht="14.25" thickBot="1">
      <c r="A126" s="79" t="s">
        <v>127</v>
      </c>
      <c r="B126" s="80" t="s">
        <v>128</v>
      </c>
      <c r="C126" s="81" t="s">
        <v>129</v>
      </c>
      <c r="D126" s="78"/>
      <c r="E126" s="292"/>
      <c r="F126" s="622" t="s">
        <v>130</v>
      </c>
      <c r="G126" s="623"/>
      <c r="H126" s="284"/>
      <c r="I126" s="293"/>
      <c r="J126" s="294" t="s">
        <v>131</v>
      </c>
      <c r="K126" s="295" t="s">
        <v>129</v>
      </c>
      <c r="L126" s="284"/>
      <c r="M126" s="284"/>
    </row>
    <row r="127" spans="1:13" ht="13.5">
      <c r="A127" s="83">
        <v>2012</v>
      </c>
      <c r="B127" s="84">
        <v>70</v>
      </c>
      <c r="C127" s="85">
        <v>67</v>
      </c>
      <c r="D127" s="37"/>
      <c r="E127" s="285">
        <v>2012</v>
      </c>
      <c r="F127" s="624">
        <v>113</v>
      </c>
      <c r="G127" s="625"/>
      <c r="H127" s="284"/>
      <c r="I127" s="285">
        <v>2012</v>
      </c>
      <c r="J127" s="286">
        <v>15550</v>
      </c>
      <c r="K127" s="287">
        <v>15547</v>
      </c>
      <c r="L127" s="284"/>
      <c r="M127" s="284"/>
    </row>
    <row r="128" spans="1:11" ht="14.25" thickBot="1">
      <c r="A128" s="86">
        <v>2013</v>
      </c>
      <c r="B128" s="87">
        <v>78</v>
      </c>
      <c r="C128" s="88" t="s">
        <v>92</v>
      </c>
      <c r="D128" s="37"/>
      <c r="E128" s="86">
        <v>2013</v>
      </c>
      <c r="F128" s="388">
        <v>114</v>
      </c>
      <c r="G128" s="389"/>
      <c r="I128" s="86">
        <v>2013</v>
      </c>
      <c r="J128" s="87">
        <v>17430</v>
      </c>
      <c r="K128" s="88" t="s">
        <v>92</v>
      </c>
    </row>
    <row r="129" ht="13.5">
      <c r="D129" s="37"/>
    </row>
    <row r="130" ht="13.5">
      <c r="D130" s="78"/>
    </row>
    <row r="131" ht="13.5">
      <c r="D131" s="78"/>
    </row>
    <row r="132" ht="13.5">
      <c r="D132" s="37"/>
    </row>
    <row r="133" ht="13.5">
      <c r="D133" s="37"/>
    </row>
  </sheetData>
  <sheetProtection selectLockedCells="1" selectUnlockedCells="1"/>
  <mergeCells count="129">
    <mergeCell ref="K108:K110"/>
    <mergeCell ref="D109:J109"/>
    <mergeCell ref="A89:C89"/>
    <mergeCell ref="A90:C90"/>
    <mergeCell ref="A91:C91"/>
    <mergeCell ref="A92:C92"/>
    <mergeCell ref="A102:B102"/>
    <mergeCell ref="E102:H102"/>
    <mergeCell ref="A103:B103"/>
    <mergeCell ref="E103:H103"/>
    <mergeCell ref="A125:C125"/>
    <mergeCell ref="E125:G125"/>
    <mergeCell ref="I125:K125"/>
    <mergeCell ref="F126:G126"/>
    <mergeCell ref="F127:G127"/>
    <mergeCell ref="F128:G128"/>
    <mergeCell ref="A114:A115"/>
    <mergeCell ref="B114:B115"/>
    <mergeCell ref="A105:B105"/>
    <mergeCell ref="E105:H105"/>
    <mergeCell ref="A108:A110"/>
    <mergeCell ref="B108:B110"/>
    <mergeCell ref="C109:C110"/>
    <mergeCell ref="C108:J108"/>
    <mergeCell ref="A104:B104"/>
    <mergeCell ref="E104:H104"/>
    <mergeCell ref="A99:B99"/>
    <mergeCell ref="E99:H99"/>
    <mergeCell ref="A100:B100"/>
    <mergeCell ref="E100:H100"/>
    <mergeCell ref="A101:B101"/>
    <mergeCell ref="E101:H101"/>
    <mergeCell ref="E95:H96"/>
    <mergeCell ref="I95:I96"/>
    <mergeCell ref="A97:B97"/>
    <mergeCell ref="E97:H97"/>
    <mergeCell ref="A98:B98"/>
    <mergeCell ref="E98:H98"/>
    <mergeCell ref="A85:C85"/>
    <mergeCell ref="A86:C86"/>
    <mergeCell ref="A87:C87"/>
    <mergeCell ref="A88:C88"/>
    <mergeCell ref="A95:B96"/>
    <mergeCell ref="C95:C9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2" r:id="rId1"/>
  <headerFooter alignWithMargins="0">
    <oddFooter>&amp;C&amp;"Arial CE,Běžné"&amp;P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33"/>
  <sheetViews>
    <sheetView view="pageBreakPreview" zoomScale="70" zoomScaleSheetLayoutView="70" zoomScalePageLayoutView="0" workbookViewId="0" topLeftCell="A1">
      <selection activeCell="I46" sqref="I46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17.2812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132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 thickBot="1">
      <c r="A4" s="391" t="s">
        <v>156</v>
      </c>
      <c r="B4" s="391"/>
      <c r="C4" s="391"/>
      <c r="D4" s="392" t="s">
        <v>157</v>
      </c>
      <c r="E4" s="393">
        <v>2012</v>
      </c>
      <c r="F4" s="394" t="s">
        <v>96</v>
      </c>
      <c r="G4" s="395"/>
      <c r="H4" s="396" t="s">
        <v>158</v>
      </c>
      <c r="I4" s="397"/>
      <c r="J4" s="398"/>
      <c r="K4" s="396" t="s">
        <v>159</v>
      </c>
      <c r="L4" s="398"/>
      <c r="M4" s="112"/>
      <c r="N4" s="112"/>
      <c r="O4" s="112"/>
    </row>
    <row r="5" spans="1:15" s="101" customFormat="1" ht="13.5" customHeight="1" thickBot="1">
      <c r="A5" s="391"/>
      <c r="B5" s="391"/>
      <c r="C5" s="391"/>
      <c r="D5" s="392"/>
      <c r="E5" s="393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391"/>
      <c r="B6" s="391"/>
      <c r="C6" s="391"/>
      <c r="D6" s="392"/>
      <c r="E6" s="393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399" t="s">
        <v>24</v>
      </c>
      <c r="B7" s="400"/>
      <c r="C7" s="400"/>
      <c r="D7" s="121">
        <v>11393</v>
      </c>
      <c r="E7" s="121">
        <v>11434</v>
      </c>
      <c r="F7" s="154">
        <f>E7-D7</f>
        <v>41</v>
      </c>
      <c r="G7" s="145">
        <f>E7/D7</f>
        <v>1.0035987009567278</v>
      </c>
      <c r="H7" s="122">
        <v>11339</v>
      </c>
      <c r="I7" s="123">
        <v>0</v>
      </c>
      <c r="J7" s="156">
        <f>H7+I7</f>
        <v>11339</v>
      </c>
      <c r="K7" s="144">
        <f>J7-E7</f>
        <v>-95</v>
      </c>
      <c r="L7" s="150">
        <f>J7/E7</f>
        <v>0.9916914465628827</v>
      </c>
    </row>
    <row r="8" spans="1:12" s="101" customFormat="1" ht="13.5">
      <c r="A8" s="401" t="s">
        <v>25</v>
      </c>
      <c r="B8" s="402"/>
      <c r="C8" s="402"/>
      <c r="D8" s="125"/>
      <c r="E8" s="125">
        <v>25</v>
      </c>
      <c r="F8" s="154">
        <f aca="true" t="shared" si="0" ref="F8:F75">E8-D8</f>
        <v>25</v>
      </c>
      <c r="G8" s="145"/>
      <c r="H8" s="127">
        <v>25</v>
      </c>
      <c r="I8" s="128">
        <v>0</v>
      </c>
      <c r="J8" s="156">
        <f aca="true" t="shared" si="1" ref="J8:J75">H8+I8</f>
        <v>25</v>
      </c>
      <c r="K8" s="144">
        <f aca="true" t="shared" si="2" ref="K8:K75">J8-E8</f>
        <v>0</v>
      </c>
      <c r="L8" s="150">
        <f aca="true" t="shared" si="3" ref="L8:L74">J8/E8</f>
        <v>1</v>
      </c>
    </row>
    <row r="9" spans="1:12" s="101" customFormat="1" ht="13.5">
      <c r="A9" s="401" t="s">
        <v>26</v>
      </c>
      <c r="B9" s="402"/>
      <c r="C9" s="402"/>
      <c r="D9" s="125">
        <v>11393</v>
      </c>
      <c r="E9" s="125">
        <v>11409</v>
      </c>
      <c r="F9" s="154">
        <f t="shared" si="0"/>
        <v>16</v>
      </c>
      <c r="G9" s="145">
        <f aca="true" t="shared" si="4" ref="G9:G74">E9/D9</f>
        <v>1.0014043711050644</v>
      </c>
      <c r="H9" s="127">
        <v>11314</v>
      </c>
      <c r="I9" s="128">
        <v>0</v>
      </c>
      <c r="J9" s="156">
        <f t="shared" si="1"/>
        <v>11314</v>
      </c>
      <c r="K9" s="144">
        <f t="shared" si="2"/>
        <v>-95</v>
      </c>
      <c r="L9" s="150">
        <f t="shared" si="3"/>
        <v>0.9916732404242264</v>
      </c>
    </row>
    <row r="10" spans="1:12" s="101" customFormat="1" ht="13.5">
      <c r="A10" s="403" t="s">
        <v>27</v>
      </c>
      <c r="B10" s="404"/>
      <c r="C10" s="404"/>
      <c r="D10" s="125">
        <v>5347</v>
      </c>
      <c r="E10" s="125">
        <v>5497</v>
      </c>
      <c r="F10" s="154">
        <f t="shared" si="0"/>
        <v>150</v>
      </c>
      <c r="G10" s="145">
        <f t="shared" si="4"/>
        <v>1.0280531138956424</v>
      </c>
      <c r="H10" s="127">
        <v>5535</v>
      </c>
      <c r="I10" s="128">
        <v>0</v>
      </c>
      <c r="J10" s="156">
        <f t="shared" si="1"/>
        <v>5535</v>
      </c>
      <c r="K10" s="144">
        <f t="shared" si="2"/>
        <v>38</v>
      </c>
      <c r="L10" s="150">
        <f t="shared" si="3"/>
        <v>1.0069128615608514</v>
      </c>
    </row>
    <row r="11" spans="1:12" s="101" customFormat="1" ht="13.5">
      <c r="A11" s="403" t="s">
        <v>28</v>
      </c>
      <c r="B11" s="404"/>
      <c r="C11" s="404"/>
      <c r="D11" s="125">
        <v>5218</v>
      </c>
      <c r="E11" s="125">
        <v>5246</v>
      </c>
      <c r="F11" s="154">
        <f t="shared" si="0"/>
        <v>28</v>
      </c>
      <c r="G11" s="145">
        <f t="shared" si="4"/>
        <v>1.0053660406285934</v>
      </c>
      <c r="H11" s="127">
        <v>5142</v>
      </c>
      <c r="I11" s="128">
        <v>0</v>
      </c>
      <c r="J11" s="156">
        <f t="shared" si="1"/>
        <v>5142</v>
      </c>
      <c r="K11" s="144">
        <f t="shared" si="2"/>
        <v>-104</v>
      </c>
      <c r="L11" s="150">
        <f t="shared" si="3"/>
        <v>0.9801753717117804</v>
      </c>
    </row>
    <row r="12" spans="1:12" s="101" customFormat="1" ht="13.5">
      <c r="A12" s="403" t="s">
        <v>29</v>
      </c>
      <c r="B12" s="404"/>
      <c r="C12" s="404"/>
      <c r="D12" s="125">
        <v>62</v>
      </c>
      <c r="E12" s="125">
        <v>54</v>
      </c>
      <c r="F12" s="154">
        <f t="shared" si="0"/>
        <v>-8</v>
      </c>
      <c r="G12" s="145">
        <f t="shared" si="4"/>
        <v>0.8709677419354839</v>
      </c>
      <c r="H12" s="127">
        <v>57</v>
      </c>
      <c r="I12" s="128">
        <v>0</v>
      </c>
      <c r="J12" s="156">
        <f t="shared" si="1"/>
        <v>57</v>
      </c>
      <c r="K12" s="144">
        <f t="shared" si="2"/>
        <v>3</v>
      </c>
      <c r="L12" s="150">
        <f t="shared" si="3"/>
        <v>1.0555555555555556</v>
      </c>
    </row>
    <row r="13" spans="1:12" s="101" customFormat="1" ht="13.5">
      <c r="A13" s="403" t="s">
        <v>30</v>
      </c>
      <c r="B13" s="404"/>
      <c r="C13" s="404"/>
      <c r="D13" s="125">
        <v>314</v>
      </c>
      <c r="E13" s="125">
        <v>245</v>
      </c>
      <c r="F13" s="154">
        <f t="shared" si="0"/>
        <v>-69</v>
      </c>
      <c r="G13" s="145">
        <f t="shared" si="4"/>
        <v>0.7802547770700637</v>
      </c>
      <c r="H13" s="127">
        <v>300</v>
      </c>
      <c r="I13" s="128">
        <v>0</v>
      </c>
      <c r="J13" s="156">
        <f t="shared" si="1"/>
        <v>300</v>
      </c>
      <c r="K13" s="144">
        <f t="shared" si="2"/>
        <v>55</v>
      </c>
      <c r="L13" s="150">
        <f t="shared" si="3"/>
        <v>1.2244897959183674</v>
      </c>
    </row>
    <row r="14" spans="1:12" s="101" customFormat="1" ht="13.5">
      <c r="A14" s="403" t="s">
        <v>31</v>
      </c>
      <c r="B14" s="404"/>
      <c r="C14" s="404"/>
      <c r="D14" s="125">
        <v>452</v>
      </c>
      <c r="E14" s="125">
        <v>357</v>
      </c>
      <c r="F14" s="154">
        <f t="shared" si="0"/>
        <v>-95</v>
      </c>
      <c r="G14" s="145">
        <f t="shared" si="4"/>
        <v>0.7898230088495575</v>
      </c>
      <c r="H14" s="127">
        <v>274</v>
      </c>
      <c r="I14" s="128">
        <v>0</v>
      </c>
      <c r="J14" s="156">
        <f t="shared" si="1"/>
        <v>274</v>
      </c>
      <c r="K14" s="144">
        <f t="shared" si="2"/>
        <v>-83</v>
      </c>
      <c r="L14" s="150">
        <f t="shared" si="3"/>
        <v>0.7675070028011205</v>
      </c>
    </row>
    <row r="15" spans="1:14" s="101" customFormat="1" ht="13.5">
      <c r="A15" s="403" t="s">
        <v>32</v>
      </c>
      <c r="B15" s="404"/>
      <c r="C15" s="404"/>
      <c r="D15" s="125">
        <v>0</v>
      </c>
      <c r="E15" s="125">
        <v>10</v>
      </c>
      <c r="F15" s="154">
        <f t="shared" si="0"/>
        <v>10</v>
      </c>
      <c r="G15" s="145"/>
      <c r="H15" s="127">
        <v>6</v>
      </c>
      <c r="I15" s="128">
        <v>0</v>
      </c>
      <c r="J15" s="156">
        <f t="shared" si="1"/>
        <v>6</v>
      </c>
      <c r="K15" s="144">
        <f t="shared" si="2"/>
        <v>-4</v>
      </c>
      <c r="L15" s="150">
        <f t="shared" si="3"/>
        <v>0.6</v>
      </c>
      <c r="N15" s="129"/>
    </row>
    <row r="16" spans="1:12" s="101" customFormat="1" ht="13.5">
      <c r="A16" s="401" t="s">
        <v>33</v>
      </c>
      <c r="B16" s="402"/>
      <c r="C16" s="402"/>
      <c r="D16" s="125">
        <v>0</v>
      </c>
      <c r="E16" s="125">
        <v>0</v>
      </c>
      <c r="F16" s="154">
        <f t="shared" si="0"/>
        <v>0</v>
      </c>
      <c r="G16" s="145"/>
      <c r="H16" s="127">
        <v>0</v>
      </c>
      <c r="I16" s="128">
        <v>0</v>
      </c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401" t="s">
        <v>34</v>
      </c>
      <c r="B17" s="402"/>
      <c r="C17" s="402"/>
      <c r="D17" s="125">
        <v>0</v>
      </c>
      <c r="E17" s="125">
        <v>0</v>
      </c>
      <c r="F17" s="154">
        <f t="shared" si="0"/>
        <v>0</v>
      </c>
      <c r="G17" s="145"/>
      <c r="H17" s="127">
        <v>0</v>
      </c>
      <c r="I17" s="128">
        <v>0</v>
      </c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405" t="s">
        <v>35</v>
      </c>
      <c r="B18" s="406"/>
      <c r="C18" s="406"/>
      <c r="D18" s="125">
        <v>428</v>
      </c>
      <c r="E18" s="125">
        <v>573</v>
      </c>
      <c r="F18" s="154">
        <f t="shared" si="0"/>
        <v>145</v>
      </c>
      <c r="G18" s="145">
        <f t="shared" si="4"/>
        <v>1.338785046728972</v>
      </c>
      <c r="H18" s="127">
        <v>391</v>
      </c>
      <c r="I18" s="128">
        <v>0</v>
      </c>
      <c r="J18" s="156">
        <f t="shared" si="1"/>
        <v>391</v>
      </c>
      <c r="K18" s="144">
        <f t="shared" si="2"/>
        <v>-182</v>
      </c>
      <c r="L18" s="150">
        <f t="shared" si="3"/>
        <v>0.6823734729493892</v>
      </c>
    </row>
    <row r="19" spans="1:12" s="101" customFormat="1" ht="13.5">
      <c r="A19" s="401" t="s">
        <v>36</v>
      </c>
      <c r="B19" s="402"/>
      <c r="C19" s="402"/>
      <c r="D19" s="125">
        <v>0</v>
      </c>
      <c r="E19" s="125"/>
      <c r="F19" s="154">
        <f t="shared" si="0"/>
        <v>0</v>
      </c>
      <c r="G19" s="145"/>
      <c r="H19" s="127">
        <v>0</v>
      </c>
      <c r="I19" s="128">
        <v>0</v>
      </c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401" t="s">
        <v>37</v>
      </c>
      <c r="B20" s="402"/>
      <c r="C20" s="402"/>
      <c r="D20" s="125">
        <v>0</v>
      </c>
      <c r="E20" s="138"/>
      <c r="F20" s="154">
        <f t="shared" si="0"/>
        <v>0</v>
      </c>
      <c r="G20" s="145"/>
      <c r="H20" s="122">
        <v>0</v>
      </c>
      <c r="I20" s="123">
        <v>0</v>
      </c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407" t="s">
        <v>38</v>
      </c>
      <c r="B21" s="408"/>
      <c r="C21" s="408"/>
      <c r="D21" s="125">
        <v>425</v>
      </c>
      <c r="E21" s="125">
        <v>573</v>
      </c>
      <c r="F21" s="154">
        <f t="shared" si="0"/>
        <v>148</v>
      </c>
      <c r="G21" s="145">
        <f t="shared" si="4"/>
        <v>1.348235294117647</v>
      </c>
      <c r="H21" s="127">
        <v>391</v>
      </c>
      <c r="I21" s="128">
        <v>0</v>
      </c>
      <c r="J21" s="156">
        <f t="shared" si="1"/>
        <v>391</v>
      </c>
      <c r="K21" s="144">
        <f t="shared" si="2"/>
        <v>-182</v>
      </c>
      <c r="L21" s="150">
        <f t="shared" si="3"/>
        <v>0.6823734729493892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407" t="s">
        <v>160</v>
      </c>
      <c r="B22" s="409"/>
      <c r="C22" s="409"/>
      <c r="D22" s="125">
        <v>34</v>
      </c>
      <c r="E22" s="125">
        <v>198</v>
      </c>
      <c r="F22" s="154">
        <f t="shared" si="0"/>
        <v>164</v>
      </c>
      <c r="G22" s="145">
        <f t="shared" si="4"/>
        <v>5.823529411764706</v>
      </c>
      <c r="H22" s="366">
        <v>31</v>
      </c>
      <c r="I22" s="128">
        <v>0</v>
      </c>
      <c r="J22" s="156">
        <f t="shared" si="1"/>
        <v>31</v>
      </c>
      <c r="K22" s="144">
        <f t="shared" si="2"/>
        <v>-167</v>
      </c>
      <c r="L22" s="150">
        <f t="shared" si="3"/>
        <v>0.15656565656565657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407" t="s">
        <v>161</v>
      </c>
      <c r="B23" s="409"/>
      <c r="C23" s="409"/>
      <c r="D23" s="125">
        <v>101</v>
      </c>
      <c r="E23" s="125">
        <v>375</v>
      </c>
      <c r="F23" s="154">
        <f t="shared" si="0"/>
        <v>274</v>
      </c>
      <c r="G23" s="145">
        <f t="shared" si="4"/>
        <v>3.712871287128713</v>
      </c>
      <c r="H23" s="366">
        <v>360</v>
      </c>
      <c r="I23" s="128">
        <v>0</v>
      </c>
      <c r="J23" s="156">
        <f t="shared" si="1"/>
        <v>360</v>
      </c>
      <c r="K23" s="144">
        <f t="shared" si="2"/>
        <v>-15</v>
      </c>
      <c r="L23" s="150">
        <f t="shared" si="3"/>
        <v>0.96</v>
      </c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407" t="s">
        <v>162</v>
      </c>
      <c r="B24" s="409"/>
      <c r="C24" s="409"/>
      <c r="D24" s="125">
        <v>293</v>
      </c>
      <c r="E24" s="125">
        <v>0</v>
      </c>
      <c r="F24" s="154">
        <f t="shared" si="0"/>
        <v>-293</v>
      </c>
      <c r="G24" s="145">
        <f t="shared" si="4"/>
        <v>0</v>
      </c>
      <c r="H24" s="366">
        <v>0</v>
      </c>
      <c r="I24" s="128">
        <v>0</v>
      </c>
      <c r="J24" s="156">
        <f t="shared" si="1"/>
        <v>0</v>
      </c>
      <c r="K24" s="144">
        <f t="shared" si="2"/>
        <v>0</v>
      </c>
      <c r="L24" s="150"/>
    </row>
    <row r="25" spans="1:12" s="101" customFormat="1" ht="13.5">
      <c r="A25" s="407" t="s">
        <v>163</v>
      </c>
      <c r="B25" s="409"/>
      <c r="C25" s="409"/>
      <c r="D25" s="125">
        <v>0</v>
      </c>
      <c r="E25" s="125">
        <v>0</v>
      </c>
      <c r="F25" s="154">
        <f t="shared" si="0"/>
        <v>0</v>
      </c>
      <c r="G25" s="145"/>
      <c r="H25" s="366">
        <v>0</v>
      </c>
      <c r="I25" s="128">
        <v>0</v>
      </c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405" t="s">
        <v>39</v>
      </c>
      <c r="B26" s="406"/>
      <c r="C26" s="406"/>
      <c r="D26" s="125">
        <v>1</v>
      </c>
      <c r="E26" s="125">
        <v>1</v>
      </c>
      <c r="F26" s="154">
        <f t="shared" si="0"/>
        <v>0</v>
      </c>
      <c r="G26" s="145">
        <f t="shared" si="4"/>
        <v>1</v>
      </c>
      <c r="H26" s="366">
        <v>1</v>
      </c>
      <c r="I26" s="128">
        <v>0</v>
      </c>
      <c r="J26" s="156">
        <f t="shared" si="1"/>
        <v>1</v>
      </c>
      <c r="K26" s="144">
        <f t="shared" si="2"/>
        <v>0</v>
      </c>
      <c r="L26" s="150">
        <f t="shared" si="3"/>
        <v>1</v>
      </c>
    </row>
    <row r="27" spans="1:12" s="101" customFormat="1" ht="13.5">
      <c r="A27" s="401" t="s">
        <v>40</v>
      </c>
      <c r="B27" s="402"/>
      <c r="C27" s="402"/>
      <c r="D27" s="125">
        <v>1</v>
      </c>
      <c r="E27" s="125">
        <v>1</v>
      </c>
      <c r="F27" s="154">
        <f t="shared" si="0"/>
        <v>0</v>
      </c>
      <c r="G27" s="145">
        <f t="shared" si="4"/>
        <v>1</v>
      </c>
      <c r="H27" s="366">
        <v>1</v>
      </c>
      <c r="I27" s="128">
        <v>0</v>
      </c>
      <c r="J27" s="156">
        <f t="shared" si="1"/>
        <v>1</v>
      </c>
      <c r="K27" s="144">
        <f t="shared" si="2"/>
        <v>0</v>
      </c>
      <c r="L27" s="150">
        <f t="shared" si="3"/>
        <v>1</v>
      </c>
    </row>
    <row r="28" spans="1:12" s="101" customFormat="1" ht="13.5">
      <c r="A28" s="401" t="s">
        <v>41</v>
      </c>
      <c r="B28" s="402"/>
      <c r="C28" s="402"/>
      <c r="D28" s="125">
        <v>0</v>
      </c>
      <c r="E28" s="125"/>
      <c r="F28" s="154">
        <f t="shared" si="0"/>
        <v>0</v>
      </c>
      <c r="G28" s="145"/>
      <c r="H28" s="366">
        <v>0</v>
      </c>
      <c r="I28" s="128">
        <v>0</v>
      </c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405" t="s">
        <v>42</v>
      </c>
      <c r="B29" s="406"/>
      <c r="C29" s="406"/>
      <c r="D29" s="125">
        <v>11192</v>
      </c>
      <c r="E29" s="138">
        <v>10347</v>
      </c>
      <c r="F29" s="154">
        <f t="shared" si="0"/>
        <v>-845</v>
      </c>
      <c r="G29" s="145">
        <f t="shared" si="4"/>
        <v>0.9244996426018585</v>
      </c>
      <c r="H29" s="367">
        <v>7924</v>
      </c>
      <c r="I29" s="123">
        <v>0</v>
      </c>
      <c r="J29" s="156">
        <f t="shared" si="1"/>
        <v>7924</v>
      </c>
      <c r="K29" s="144">
        <f t="shared" si="2"/>
        <v>-2423</v>
      </c>
      <c r="L29" s="150">
        <f t="shared" si="3"/>
        <v>0.7658258432395864</v>
      </c>
    </row>
    <row r="30" spans="1:14" s="101" customFormat="1" ht="13.5">
      <c r="A30" s="403" t="s">
        <v>164</v>
      </c>
      <c r="B30" s="404"/>
      <c r="C30" s="404"/>
      <c r="D30" s="131">
        <v>4842</v>
      </c>
      <c r="E30" s="131">
        <v>4950</v>
      </c>
      <c r="F30" s="155">
        <f t="shared" si="0"/>
        <v>108</v>
      </c>
      <c r="G30" s="147">
        <f t="shared" si="4"/>
        <v>1.0223048327137547</v>
      </c>
      <c r="H30" s="363">
        <v>1050</v>
      </c>
      <c r="I30" s="133">
        <v>0</v>
      </c>
      <c r="J30" s="157">
        <f t="shared" si="1"/>
        <v>1050</v>
      </c>
      <c r="K30" s="146">
        <f t="shared" si="2"/>
        <v>-3900</v>
      </c>
      <c r="L30" s="151">
        <f t="shared" si="3"/>
        <v>0.21212121212121213</v>
      </c>
      <c r="N30" s="129"/>
    </row>
    <row r="31" spans="1:12" s="101" customFormat="1" ht="13.5">
      <c r="A31" s="403" t="s">
        <v>43</v>
      </c>
      <c r="B31" s="404"/>
      <c r="C31" s="404"/>
      <c r="D31" s="125">
        <v>6350</v>
      </c>
      <c r="E31" s="125">
        <v>5397</v>
      </c>
      <c r="F31" s="154">
        <f t="shared" si="0"/>
        <v>-953</v>
      </c>
      <c r="G31" s="145">
        <f t="shared" si="4"/>
        <v>0.8499212598425196</v>
      </c>
      <c r="H31" s="127">
        <v>5194</v>
      </c>
      <c r="I31" s="128">
        <v>0</v>
      </c>
      <c r="J31" s="156">
        <f t="shared" si="1"/>
        <v>5194</v>
      </c>
      <c r="K31" s="144">
        <f t="shared" si="2"/>
        <v>-203</v>
      </c>
      <c r="L31" s="150">
        <f t="shared" si="3"/>
        <v>0.9623865110246433</v>
      </c>
    </row>
    <row r="32" spans="1:12" s="101" customFormat="1" ht="13.5">
      <c r="A32" s="401" t="s">
        <v>44</v>
      </c>
      <c r="B32" s="402"/>
      <c r="C32" s="402"/>
      <c r="D32" s="138">
        <v>0</v>
      </c>
      <c r="E32" s="138">
        <v>0</v>
      </c>
      <c r="F32" s="154">
        <f t="shared" si="0"/>
        <v>0</v>
      </c>
      <c r="G32" s="145"/>
      <c r="H32" s="122">
        <v>0</v>
      </c>
      <c r="I32" s="123">
        <v>0</v>
      </c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403" t="s">
        <v>165</v>
      </c>
      <c r="B33" s="404"/>
      <c r="C33" s="404"/>
      <c r="D33" s="153">
        <v>0</v>
      </c>
      <c r="E33" s="153">
        <v>0</v>
      </c>
      <c r="F33" s="154">
        <f t="shared" si="0"/>
        <v>0</v>
      </c>
      <c r="G33" s="145"/>
      <c r="H33" s="158">
        <v>1680</v>
      </c>
      <c r="I33" s="159">
        <v>0</v>
      </c>
      <c r="J33" s="160">
        <f t="shared" si="1"/>
        <v>1680</v>
      </c>
      <c r="K33" s="161">
        <f t="shared" si="2"/>
        <v>1680</v>
      </c>
      <c r="L33" s="162"/>
      <c r="N33" s="129"/>
    </row>
    <row r="34" spans="1:12" s="101" customFormat="1" ht="14.25" thickBot="1">
      <c r="A34" s="410" t="s">
        <v>46</v>
      </c>
      <c r="B34" s="411"/>
      <c r="C34" s="411"/>
      <c r="D34" s="171">
        <v>23014</v>
      </c>
      <c r="E34" s="172">
        <v>22355</v>
      </c>
      <c r="F34" s="173">
        <f t="shared" si="0"/>
        <v>-659</v>
      </c>
      <c r="G34" s="174">
        <f t="shared" si="4"/>
        <v>0.9713652559311723</v>
      </c>
      <c r="H34" s="172">
        <v>19655</v>
      </c>
      <c r="I34" s="172"/>
      <c r="J34" s="175">
        <f t="shared" si="1"/>
        <v>19655</v>
      </c>
      <c r="K34" s="173">
        <f t="shared" si="2"/>
        <v>-2700</v>
      </c>
      <c r="L34" s="176">
        <f t="shared" si="3"/>
        <v>0.8792216506374413</v>
      </c>
    </row>
    <row r="35" spans="1:12" s="101" customFormat="1" ht="13.5">
      <c r="A35" s="412" t="s">
        <v>47</v>
      </c>
      <c r="B35" s="413"/>
      <c r="C35" s="413"/>
      <c r="D35" s="135">
        <v>2915</v>
      </c>
      <c r="E35" s="136">
        <v>2501</v>
      </c>
      <c r="F35" s="148">
        <f t="shared" si="0"/>
        <v>-414</v>
      </c>
      <c r="G35" s="149">
        <f t="shared" si="4"/>
        <v>0.8579759862778731</v>
      </c>
      <c r="H35" s="137">
        <v>2628</v>
      </c>
      <c r="I35" s="137"/>
      <c r="J35" s="134">
        <f t="shared" si="1"/>
        <v>2628</v>
      </c>
      <c r="K35" s="148">
        <f t="shared" si="2"/>
        <v>127</v>
      </c>
      <c r="L35" s="152">
        <f t="shared" si="3"/>
        <v>1.0507796881247502</v>
      </c>
    </row>
    <row r="36" spans="1:12" s="101" customFormat="1" ht="13.5">
      <c r="A36" s="403" t="s">
        <v>48</v>
      </c>
      <c r="B36" s="404"/>
      <c r="C36" s="404"/>
      <c r="D36" s="125">
        <v>1869</v>
      </c>
      <c r="E36" s="126">
        <v>1877</v>
      </c>
      <c r="F36" s="144">
        <f t="shared" si="0"/>
        <v>8</v>
      </c>
      <c r="G36" s="145">
        <f t="shared" si="4"/>
        <v>1.0042803638309257</v>
      </c>
      <c r="H36" s="127">
        <v>1885</v>
      </c>
      <c r="I36" s="128"/>
      <c r="J36" s="124">
        <f t="shared" si="1"/>
        <v>1885</v>
      </c>
      <c r="K36" s="144">
        <f t="shared" si="2"/>
        <v>8</v>
      </c>
      <c r="L36" s="150">
        <f t="shared" si="3"/>
        <v>1.0042621204049014</v>
      </c>
    </row>
    <row r="37" spans="1:12" s="101" customFormat="1" ht="13.5">
      <c r="A37" s="403" t="s">
        <v>49</v>
      </c>
      <c r="B37" s="404"/>
      <c r="C37" s="404"/>
      <c r="D37" s="125">
        <v>119</v>
      </c>
      <c r="E37" s="126">
        <v>115</v>
      </c>
      <c r="F37" s="144">
        <f t="shared" si="0"/>
        <v>-4</v>
      </c>
      <c r="G37" s="145">
        <f t="shared" si="4"/>
        <v>0.9663865546218487</v>
      </c>
      <c r="H37" s="127">
        <v>115</v>
      </c>
      <c r="I37" s="128"/>
      <c r="J37" s="124">
        <f t="shared" si="1"/>
        <v>115</v>
      </c>
      <c r="K37" s="144">
        <f t="shared" si="2"/>
        <v>0</v>
      </c>
      <c r="L37" s="150">
        <f t="shared" si="3"/>
        <v>1</v>
      </c>
    </row>
    <row r="38" spans="1:12" s="101" customFormat="1" ht="13.5">
      <c r="A38" s="403" t="s">
        <v>50</v>
      </c>
      <c r="B38" s="404"/>
      <c r="C38" s="404"/>
      <c r="D38" s="138">
        <v>115</v>
      </c>
      <c r="E38" s="130">
        <v>2</v>
      </c>
      <c r="F38" s="144">
        <f t="shared" si="0"/>
        <v>-113</v>
      </c>
      <c r="G38" s="145">
        <f t="shared" si="4"/>
        <v>0.017391304347826087</v>
      </c>
      <c r="H38" s="122">
        <v>37</v>
      </c>
      <c r="I38" s="123"/>
      <c r="J38" s="124">
        <f t="shared" si="1"/>
        <v>37</v>
      </c>
      <c r="K38" s="144">
        <f t="shared" si="2"/>
        <v>35</v>
      </c>
      <c r="L38" s="150">
        <f t="shared" si="3"/>
        <v>18.5</v>
      </c>
    </row>
    <row r="39" spans="1:12" s="101" customFormat="1" ht="13.5">
      <c r="A39" s="403" t="s">
        <v>51</v>
      </c>
      <c r="B39" s="404"/>
      <c r="C39" s="404"/>
      <c r="D39" s="125">
        <v>0</v>
      </c>
      <c r="E39" s="126">
        <v>14</v>
      </c>
      <c r="F39" s="144">
        <f t="shared" si="0"/>
        <v>14</v>
      </c>
      <c r="G39" s="145"/>
      <c r="H39" s="127">
        <v>14</v>
      </c>
      <c r="I39" s="128"/>
      <c r="J39" s="124">
        <f t="shared" si="1"/>
        <v>14</v>
      </c>
      <c r="K39" s="144">
        <f t="shared" si="2"/>
        <v>0</v>
      </c>
      <c r="L39" s="150">
        <f t="shared" si="3"/>
        <v>1</v>
      </c>
    </row>
    <row r="40" spans="1:14" s="101" customFormat="1" ht="13.5">
      <c r="A40" s="403" t="s">
        <v>52</v>
      </c>
      <c r="B40" s="404"/>
      <c r="C40" s="404"/>
      <c r="D40" s="125">
        <v>110</v>
      </c>
      <c r="E40" s="126">
        <v>63</v>
      </c>
      <c r="F40" s="144">
        <f t="shared" si="0"/>
        <v>-47</v>
      </c>
      <c r="G40" s="145">
        <f t="shared" si="4"/>
        <v>0.5727272727272728</v>
      </c>
      <c r="H40" s="127">
        <v>68</v>
      </c>
      <c r="I40" s="128"/>
      <c r="J40" s="124">
        <f t="shared" si="1"/>
        <v>68</v>
      </c>
      <c r="K40" s="144">
        <f t="shared" si="2"/>
        <v>5</v>
      </c>
      <c r="L40" s="150">
        <f t="shared" si="3"/>
        <v>1.0793650793650793</v>
      </c>
      <c r="N40" s="101">
        <v>3</v>
      </c>
    </row>
    <row r="41" spans="1:14" s="101" customFormat="1" ht="13.5">
      <c r="A41" s="403" t="s">
        <v>53</v>
      </c>
      <c r="B41" s="404"/>
      <c r="C41" s="404"/>
      <c r="D41" s="125">
        <v>105</v>
      </c>
      <c r="E41" s="126">
        <v>19</v>
      </c>
      <c r="F41" s="144">
        <f t="shared" si="0"/>
        <v>-86</v>
      </c>
      <c r="G41" s="145">
        <f t="shared" si="4"/>
        <v>0.18095238095238095</v>
      </c>
      <c r="H41" s="127">
        <v>19</v>
      </c>
      <c r="I41" s="128"/>
      <c r="J41" s="124">
        <f t="shared" si="1"/>
        <v>19</v>
      </c>
      <c r="K41" s="144">
        <f t="shared" si="2"/>
        <v>0</v>
      </c>
      <c r="L41" s="150">
        <f t="shared" si="3"/>
        <v>1</v>
      </c>
      <c r="N41" s="129"/>
    </row>
    <row r="42" spans="1:12" s="101" customFormat="1" ht="13.5">
      <c r="A42" s="403" t="s">
        <v>54</v>
      </c>
      <c r="B42" s="404"/>
      <c r="C42" s="404"/>
      <c r="D42" s="125">
        <v>121</v>
      </c>
      <c r="E42" s="126">
        <v>253</v>
      </c>
      <c r="F42" s="144">
        <f t="shared" si="0"/>
        <v>132</v>
      </c>
      <c r="G42" s="145">
        <f t="shared" si="4"/>
        <v>2.090909090909091</v>
      </c>
      <c r="H42" s="127">
        <v>280</v>
      </c>
      <c r="I42" s="128"/>
      <c r="J42" s="124">
        <f t="shared" si="1"/>
        <v>280</v>
      </c>
      <c r="K42" s="144">
        <f t="shared" si="2"/>
        <v>27</v>
      </c>
      <c r="L42" s="150">
        <f t="shared" si="3"/>
        <v>1.1067193675889329</v>
      </c>
    </row>
    <row r="43" spans="1:14" s="101" customFormat="1" ht="13.5">
      <c r="A43" s="403" t="s">
        <v>166</v>
      </c>
      <c r="B43" s="404"/>
      <c r="C43" s="404"/>
      <c r="D43" s="125">
        <v>0</v>
      </c>
      <c r="E43" s="126">
        <v>0</v>
      </c>
      <c r="F43" s="144">
        <f t="shared" si="0"/>
        <v>0</v>
      </c>
      <c r="G43" s="145"/>
      <c r="H43" s="127">
        <v>0</v>
      </c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403" t="s">
        <v>167</v>
      </c>
      <c r="B44" s="404"/>
      <c r="C44" s="404"/>
      <c r="D44" s="125">
        <v>0</v>
      </c>
      <c r="E44" s="126">
        <v>0</v>
      </c>
      <c r="F44" s="144">
        <f t="shared" si="0"/>
        <v>0</v>
      </c>
      <c r="G44" s="145"/>
      <c r="H44" s="127">
        <v>50</v>
      </c>
      <c r="I44" s="128"/>
      <c r="J44" s="124">
        <f t="shared" si="1"/>
        <v>50</v>
      </c>
      <c r="K44" s="144">
        <f t="shared" si="2"/>
        <v>50</v>
      </c>
      <c r="L44" s="150"/>
    </row>
    <row r="45" spans="1:12" s="101" customFormat="1" ht="13.5">
      <c r="A45" s="403" t="s">
        <v>55</v>
      </c>
      <c r="B45" s="404"/>
      <c r="C45" s="404"/>
      <c r="D45" s="125">
        <v>476</v>
      </c>
      <c r="E45" s="126">
        <v>158</v>
      </c>
      <c r="F45" s="144">
        <f t="shared" si="0"/>
        <v>-318</v>
      </c>
      <c r="G45" s="145">
        <f t="shared" si="4"/>
        <v>0.3319327731092437</v>
      </c>
      <c r="H45" s="127">
        <v>160</v>
      </c>
      <c r="I45" s="128"/>
      <c r="J45" s="124">
        <f t="shared" si="1"/>
        <v>160</v>
      </c>
      <c r="K45" s="144">
        <f t="shared" si="2"/>
        <v>2</v>
      </c>
      <c r="L45" s="150">
        <f t="shared" si="3"/>
        <v>1.0126582278481013</v>
      </c>
    </row>
    <row r="46" spans="1:14" s="101" customFormat="1" ht="13.5">
      <c r="A46" s="412" t="s">
        <v>56</v>
      </c>
      <c r="B46" s="413"/>
      <c r="C46" s="413"/>
      <c r="D46" s="125">
        <v>1378</v>
      </c>
      <c r="E46" s="126">
        <v>1487</v>
      </c>
      <c r="F46" s="144">
        <f t="shared" si="0"/>
        <v>109</v>
      </c>
      <c r="G46" s="145">
        <f t="shared" si="4"/>
        <v>1.079100145137881</v>
      </c>
      <c r="H46" s="127">
        <v>1487</v>
      </c>
      <c r="I46" s="127"/>
      <c r="J46" s="124">
        <f t="shared" si="1"/>
        <v>1487</v>
      </c>
      <c r="K46" s="144">
        <f t="shared" si="2"/>
        <v>0</v>
      </c>
      <c r="L46" s="150">
        <f t="shared" si="3"/>
        <v>1</v>
      </c>
      <c r="N46" s="129"/>
    </row>
    <row r="47" spans="1:12" s="101" customFormat="1" ht="13.5">
      <c r="A47" s="403" t="s">
        <v>57</v>
      </c>
      <c r="B47" s="404"/>
      <c r="C47" s="404"/>
      <c r="D47" s="125">
        <v>938</v>
      </c>
      <c r="E47" s="126">
        <v>985</v>
      </c>
      <c r="F47" s="144">
        <f t="shared" si="0"/>
        <v>47</v>
      </c>
      <c r="G47" s="145">
        <f t="shared" si="4"/>
        <v>1.0501066098081024</v>
      </c>
      <c r="H47" s="127">
        <v>986</v>
      </c>
      <c r="I47" s="128"/>
      <c r="J47" s="124">
        <f t="shared" si="1"/>
        <v>986</v>
      </c>
      <c r="K47" s="144">
        <f t="shared" si="2"/>
        <v>1</v>
      </c>
      <c r="L47" s="150">
        <f t="shared" si="3"/>
        <v>1.001015228426396</v>
      </c>
    </row>
    <row r="48" spans="1:12" s="101" customFormat="1" ht="13.5">
      <c r="A48" s="403" t="s">
        <v>58</v>
      </c>
      <c r="B48" s="404"/>
      <c r="C48" s="404"/>
      <c r="D48" s="125">
        <v>391</v>
      </c>
      <c r="E48" s="126">
        <v>445</v>
      </c>
      <c r="F48" s="144">
        <f t="shared" si="0"/>
        <v>54</v>
      </c>
      <c r="G48" s="145">
        <f t="shared" si="4"/>
        <v>1.1381074168797953</v>
      </c>
      <c r="H48" s="127">
        <v>445</v>
      </c>
      <c r="I48" s="128"/>
      <c r="J48" s="124">
        <f t="shared" si="1"/>
        <v>445</v>
      </c>
      <c r="K48" s="144">
        <f t="shared" si="2"/>
        <v>0</v>
      </c>
      <c r="L48" s="150">
        <f t="shared" si="3"/>
        <v>1</v>
      </c>
    </row>
    <row r="49" spans="1:12" s="101" customFormat="1" ht="13.5">
      <c r="A49" s="403" t="s">
        <v>59</v>
      </c>
      <c r="B49" s="404"/>
      <c r="C49" s="404"/>
      <c r="D49" s="125">
        <v>50</v>
      </c>
      <c r="E49" s="126">
        <v>55</v>
      </c>
      <c r="F49" s="144">
        <f t="shared" si="0"/>
        <v>5</v>
      </c>
      <c r="G49" s="145">
        <f t="shared" si="4"/>
        <v>1.1</v>
      </c>
      <c r="H49" s="127">
        <v>56</v>
      </c>
      <c r="I49" s="128"/>
      <c r="J49" s="124">
        <f t="shared" si="1"/>
        <v>56</v>
      </c>
      <c r="K49" s="144">
        <f t="shared" si="2"/>
        <v>1</v>
      </c>
      <c r="L49" s="150">
        <f t="shared" si="3"/>
        <v>1.018181818181818</v>
      </c>
    </row>
    <row r="50" spans="1:12" s="101" customFormat="1" ht="13.5">
      <c r="A50" s="403" t="s">
        <v>168</v>
      </c>
      <c r="B50" s="404"/>
      <c r="C50" s="404"/>
      <c r="D50" s="125">
        <v>0</v>
      </c>
      <c r="E50" s="126">
        <v>0</v>
      </c>
      <c r="F50" s="144">
        <f t="shared" si="0"/>
        <v>0</v>
      </c>
      <c r="G50" s="145"/>
      <c r="H50" s="127">
        <v>0</v>
      </c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412" t="s">
        <v>60</v>
      </c>
      <c r="B51" s="413"/>
      <c r="C51" s="413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412" t="s">
        <v>61</v>
      </c>
      <c r="B52" s="413"/>
      <c r="C52" s="413"/>
      <c r="D52" s="125">
        <v>0</v>
      </c>
      <c r="E52" s="126">
        <v>-26</v>
      </c>
      <c r="F52" s="144">
        <f t="shared" si="0"/>
        <v>-26</v>
      </c>
      <c r="G52" s="145"/>
      <c r="H52" s="127">
        <v>0</v>
      </c>
      <c r="I52" s="128"/>
      <c r="J52" s="124">
        <f t="shared" si="1"/>
        <v>0</v>
      </c>
      <c r="K52" s="144">
        <f t="shared" si="2"/>
        <v>26</v>
      </c>
      <c r="L52" s="150">
        <f t="shared" si="3"/>
        <v>0</v>
      </c>
    </row>
    <row r="53" spans="1:12" s="101" customFormat="1" ht="13.5">
      <c r="A53" s="412" t="s">
        <v>62</v>
      </c>
      <c r="B53" s="413"/>
      <c r="C53" s="413"/>
      <c r="D53" s="125">
        <v>367</v>
      </c>
      <c r="E53" s="126">
        <v>497</v>
      </c>
      <c r="F53" s="144">
        <f t="shared" si="0"/>
        <v>130</v>
      </c>
      <c r="G53" s="145">
        <f t="shared" si="4"/>
        <v>1.3542234332425067</v>
      </c>
      <c r="H53" s="127">
        <v>575</v>
      </c>
      <c r="I53" s="128"/>
      <c r="J53" s="124">
        <f t="shared" si="1"/>
        <v>575</v>
      </c>
      <c r="K53" s="144">
        <f t="shared" si="2"/>
        <v>78</v>
      </c>
      <c r="L53" s="150">
        <f t="shared" si="3"/>
        <v>1.1569416498993963</v>
      </c>
    </row>
    <row r="54" spans="1:12" s="101" customFormat="1" ht="13.5">
      <c r="A54" s="414" t="s">
        <v>63</v>
      </c>
      <c r="B54" s="415"/>
      <c r="C54" s="415"/>
      <c r="D54" s="125">
        <v>101</v>
      </c>
      <c r="E54" s="126">
        <v>394</v>
      </c>
      <c r="F54" s="144">
        <f t="shared" si="0"/>
        <v>293</v>
      </c>
      <c r="G54" s="145">
        <f t="shared" si="4"/>
        <v>3.900990099009901</v>
      </c>
      <c r="H54" s="127">
        <v>410</v>
      </c>
      <c r="I54" s="128"/>
      <c r="J54" s="124">
        <f t="shared" si="1"/>
        <v>410</v>
      </c>
      <c r="K54" s="144">
        <f t="shared" si="2"/>
        <v>16</v>
      </c>
      <c r="L54" s="150">
        <f t="shared" si="3"/>
        <v>1.0406091370558375</v>
      </c>
    </row>
    <row r="55" spans="1:12" s="101" customFormat="1" ht="13.5">
      <c r="A55" s="414" t="s">
        <v>169</v>
      </c>
      <c r="B55" s="415"/>
      <c r="C55" s="415"/>
      <c r="D55" s="125">
        <v>251</v>
      </c>
      <c r="E55" s="126">
        <v>97</v>
      </c>
      <c r="F55" s="144">
        <f t="shared" si="0"/>
        <v>-154</v>
      </c>
      <c r="G55" s="145">
        <f t="shared" si="4"/>
        <v>0.38645418326693226</v>
      </c>
      <c r="H55" s="127">
        <v>145</v>
      </c>
      <c r="I55" s="128"/>
      <c r="J55" s="124">
        <f t="shared" si="1"/>
        <v>145</v>
      </c>
      <c r="K55" s="144">
        <f t="shared" si="2"/>
        <v>48</v>
      </c>
      <c r="L55" s="150">
        <f t="shared" si="3"/>
        <v>1.4948453608247423</v>
      </c>
    </row>
    <row r="56" spans="1:12" s="101" customFormat="1" ht="13.5">
      <c r="A56" s="414" t="s">
        <v>133</v>
      </c>
      <c r="B56" s="415"/>
      <c r="C56" s="415"/>
      <c r="D56" s="125">
        <v>15</v>
      </c>
      <c r="E56" s="126">
        <v>6</v>
      </c>
      <c r="F56" s="144">
        <f t="shared" si="0"/>
        <v>-9</v>
      </c>
      <c r="G56" s="145">
        <f t="shared" si="4"/>
        <v>0.4</v>
      </c>
      <c r="H56" s="127">
        <v>20</v>
      </c>
      <c r="I56" s="128"/>
      <c r="J56" s="124">
        <f t="shared" si="1"/>
        <v>20</v>
      </c>
      <c r="K56" s="144">
        <f t="shared" si="2"/>
        <v>14</v>
      </c>
      <c r="L56" s="150">
        <f t="shared" si="3"/>
        <v>3.3333333333333335</v>
      </c>
    </row>
    <row r="57" spans="1:12" s="101" customFormat="1" ht="13.5">
      <c r="A57" s="412" t="s">
        <v>64</v>
      </c>
      <c r="B57" s="413"/>
      <c r="C57" s="413"/>
      <c r="D57" s="125">
        <v>64</v>
      </c>
      <c r="E57" s="126">
        <v>46</v>
      </c>
      <c r="F57" s="144">
        <f t="shared" si="0"/>
        <v>-18</v>
      </c>
      <c r="G57" s="145">
        <f t="shared" si="4"/>
        <v>0.71875</v>
      </c>
      <c r="H57" s="127">
        <v>73</v>
      </c>
      <c r="I57" s="128"/>
      <c r="J57" s="124">
        <f t="shared" si="1"/>
        <v>73</v>
      </c>
      <c r="K57" s="144">
        <f t="shared" si="2"/>
        <v>27</v>
      </c>
      <c r="L57" s="150">
        <f t="shared" si="3"/>
        <v>1.5869565217391304</v>
      </c>
    </row>
    <row r="58" spans="1:12" s="101" customFormat="1" ht="13.5">
      <c r="A58" s="412" t="s">
        <v>65</v>
      </c>
      <c r="B58" s="413"/>
      <c r="C58" s="413"/>
      <c r="D58" s="125">
        <v>1</v>
      </c>
      <c r="E58" s="126">
        <v>1</v>
      </c>
      <c r="F58" s="144">
        <f t="shared" si="0"/>
        <v>0</v>
      </c>
      <c r="G58" s="145">
        <f t="shared" si="4"/>
        <v>1</v>
      </c>
      <c r="H58" s="127">
        <v>5</v>
      </c>
      <c r="I58" s="128"/>
      <c r="J58" s="124">
        <f t="shared" si="1"/>
        <v>5</v>
      </c>
      <c r="K58" s="144">
        <f t="shared" si="2"/>
        <v>4</v>
      </c>
      <c r="L58" s="150">
        <f t="shared" si="3"/>
        <v>5</v>
      </c>
    </row>
    <row r="59" spans="1:14" s="101" customFormat="1" ht="13.5">
      <c r="A59" s="412" t="s">
        <v>66</v>
      </c>
      <c r="B59" s="413"/>
      <c r="C59" s="413"/>
      <c r="D59" s="125">
        <v>809</v>
      </c>
      <c r="E59" s="126">
        <v>645</v>
      </c>
      <c r="F59" s="144">
        <f t="shared" si="0"/>
        <v>-164</v>
      </c>
      <c r="G59" s="145">
        <f t="shared" si="4"/>
        <v>0.7972805933250927</v>
      </c>
      <c r="H59" s="127">
        <v>668</v>
      </c>
      <c r="I59" s="128"/>
      <c r="J59" s="124">
        <f t="shared" si="1"/>
        <v>668</v>
      </c>
      <c r="K59" s="144">
        <f t="shared" si="2"/>
        <v>23</v>
      </c>
      <c r="L59" s="150">
        <f t="shared" si="3"/>
        <v>1.035658914728682</v>
      </c>
      <c r="N59" s="129"/>
    </row>
    <row r="60" spans="1:12" s="101" customFormat="1" ht="13.5">
      <c r="A60" s="403" t="s">
        <v>67</v>
      </c>
      <c r="B60" s="404"/>
      <c r="C60" s="404"/>
      <c r="D60" s="125">
        <v>120</v>
      </c>
      <c r="E60" s="126">
        <v>132</v>
      </c>
      <c r="F60" s="144">
        <f t="shared" si="0"/>
        <v>12</v>
      </c>
      <c r="G60" s="145">
        <f t="shared" si="4"/>
        <v>1.1</v>
      </c>
      <c r="H60" s="127">
        <v>132</v>
      </c>
      <c r="I60" s="128"/>
      <c r="J60" s="124">
        <f t="shared" si="1"/>
        <v>132</v>
      </c>
      <c r="K60" s="144">
        <f t="shared" si="2"/>
        <v>0</v>
      </c>
      <c r="L60" s="150">
        <f t="shared" si="3"/>
        <v>1</v>
      </c>
    </row>
    <row r="61" spans="1:12" s="101" customFormat="1" ht="13.5">
      <c r="A61" s="403" t="s">
        <v>68</v>
      </c>
      <c r="B61" s="404"/>
      <c r="C61" s="404"/>
      <c r="D61" s="125">
        <v>30</v>
      </c>
      <c r="E61" s="126">
        <v>30</v>
      </c>
      <c r="F61" s="144">
        <f t="shared" si="0"/>
        <v>0</v>
      </c>
      <c r="G61" s="145">
        <f t="shared" si="4"/>
        <v>1</v>
      </c>
      <c r="H61" s="127">
        <v>30</v>
      </c>
      <c r="I61" s="128"/>
      <c r="J61" s="124">
        <f t="shared" si="1"/>
        <v>30</v>
      </c>
      <c r="K61" s="144">
        <f t="shared" si="2"/>
        <v>0</v>
      </c>
      <c r="L61" s="150">
        <f t="shared" si="3"/>
        <v>1</v>
      </c>
    </row>
    <row r="62" spans="1:12" s="101" customFormat="1" ht="13.5">
      <c r="A62" s="403" t="s">
        <v>69</v>
      </c>
      <c r="B62" s="404"/>
      <c r="C62" s="404"/>
      <c r="D62" s="125">
        <v>0</v>
      </c>
      <c r="E62" s="126">
        <v>0</v>
      </c>
      <c r="F62" s="144">
        <f t="shared" si="0"/>
        <v>0</v>
      </c>
      <c r="G62" s="145"/>
      <c r="H62" s="127">
        <v>0</v>
      </c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403" t="s">
        <v>70</v>
      </c>
      <c r="B63" s="404"/>
      <c r="C63" s="404"/>
      <c r="D63" s="125">
        <v>0</v>
      </c>
      <c r="E63" s="126">
        <v>0</v>
      </c>
      <c r="F63" s="144">
        <f t="shared" si="0"/>
        <v>0</v>
      </c>
      <c r="G63" s="145"/>
      <c r="H63" s="127">
        <v>0</v>
      </c>
      <c r="I63" s="128"/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403" t="s">
        <v>71</v>
      </c>
      <c r="B64" s="404"/>
      <c r="C64" s="404"/>
      <c r="D64" s="125">
        <v>0</v>
      </c>
      <c r="E64" s="126">
        <v>0</v>
      </c>
      <c r="F64" s="144">
        <f t="shared" si="0"/>
        <v>0</v>
      </c>
      <c r="G64" s="145"/>
      <c r="H64" s="127">
        <v>0</v>
      </c>
      <c r="I64" s="128"/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403" t="s">
        <v>170</v>
      </c>
      <c r="B65" s="404"/>
      <c r="C65" s="404"/>
      <c r="D65" s="125">
        <v>52</v>
      </c>
      <c r="E65" s="126">
        <v>36</v>
      </c>
      <c r="F65" s="144">
        <f t="shared" si="0"/>
        <v>-16</v>
      </c>
      <c r="G65" s="145">
        <f t="shared" si="4"/>
        <v>0.6923076923076923</v>
      </c>
      <c r="H65" s="127">
        <v>36</v>
      </c>
      <c r="I65" s="128"/>
      <c r="J65" s="124">
        <f t="shared" si="1"/>
        <v>36</v>
      </c>
      <c r="K65" s="144">
        <f t="shared" si="2"/>
        <v>0</v>
      </c>
      <c r="L65" s="150">
        <f t="shared" si="3"/>
        <v>1</v>
      </c>
    </row>
    <row r="66" spans="1:12" s="101" customFormat="1" ht="13.5">
      <c r="A66" s="403" t="s">
        <v>72</v>
      </c>
      <c r="B66" s="404"/>
      <c r="C66" s="404"/>
      <c r="D66" s="125">
        <v>119</v>
      </c>
      <c r="E66" s="126">
        <v>111</v>
      </c>
      <c r="F66" s="144">
        <f t="shared" si="0"/>
        <v>-8</v>
      </c>
      <c r="G66" s="145">
        <f t="shared" si="4"/>
        <v>0.9327731092436975</v>
      </c>
      <c r="H66" s="127">
        <v>135</v>
      </c>
      <c r="I66" s="128"/>
      <c r="J66" s="124">
        <f t="shared" si="1"/>
        <v>135</v>
      </c>
      <c r="K66" s="144">
        <f t="shared" si="2"/>
        <v>24</v>
      </c>
      <c r="L66" s="150">
        <f t="shared" si="3"/>
        <v>1.2162162162162162</v>
      </c>
    </row>
    <row r="67" spans="1:12" s="101" customFormat="1" ht="13.5">
      <c r="A67" s="403" t="s">
        <v>73</v>
      </c>
      <c r="B67" s="404"/>
      <c r="C67" s="404"/>
      <c r="D67" s="125">
        <v>488</v>
      </c>
      <c r="E67" s="126">
        <v>336</v>
      </c>
      <c r="F67" s="144">
        <f t="shared" si="0"/>
        <v>-152</v>
      </c>
      <c r="G67" s="145">
        <f>E67/D67</f>
        <v>0.6885245901639344</v>
      </c>
      <c r="H67" s="127">
        <v>335</v>
      </c>
      <c r="I67" s="128"/>
      <c r="J67" s="124">
        <f t="shared" si="1"/>
        <v>335</v>
      </c>
      <c r="K67" s="144">
        <f t="shared" si="2"/>
        <v>-1</v>
      </c>
      <c r="L67" s="150">
        <f t="shared" si="3"/>
        <v>0.9970238095238095</v>
      </c>
    </row>
    <row r="68" spans="1:12" s="101" customFormat="1" ht="13.5">
      <c r="A68" s="403" t="s">
        <v>171</v>
      </c>
      <c r="B68" s="404"/>
      <c r="C68" s="404"/>
      <c r="D68" s="125">
        <v>0</v>
      </c>
      <c r="E68" s="126">
        <v>0</v>
      </c>
      <c r="F68" s="144">
        <f t="shared" si="0"/>
        <v>0</v>
      </c>
      <c r="G68" s="145"/>
      <c r="H68" s="127">
        <v>0</v>
      </c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412" t="s">
        <v>74</v>
      </c>
      <c r="B69" s="413"/>
      <c r="C69" s="413"/>
      <c r="D69" s="125">
        <v>14053</v>
      </c>
      <c r="E69" s="126">
        <v>13841</v>
      </c>
      <c r="F69" s="144">
        <f t="shared" si="0"/>
        <v>-212</v>
      </c>
      <c r="G69" s="145">
        <f t="shared" si="4"/>
        <v>0.9849142531843734</v>
      </c>
      <c r="H69" s="127">
        <v>13914</v>
      </c>
      <c r="I69" s="128"/>
      <c r="J69" s="124">
        <f t="shared" si="1"/>
        <v>13914</v>
      </c>
      <c r="K69" s="144">
        <f t="shared" si="2"/>
        <v>73</v>
      </c>
      <c r="L69" s="150">
        <f t="shared" si="3"/>
        <v>1.005274185391229</v>
      </c>
      <c r="N69" s="129"/>
    </row>
    <row r="70" spans="1:12" s="101" customFormat="1" ht="13.5">
      <c r="A70" s="403" t="s">
        <v>75</v>
      </c>
      <c r="B70" s="404"/>
      <c r="C70" s="404"/>
      <c r="D70" s="125">
        <v>10392</v>
      </c>
      <c r="E70" s="126">
        <v>10134</v>
      </c>
      <c r="F70" s="144">
        <f t="shared" si="0"/>
        <v>-258</v>
      </c>
      <c r="G70" s="145">
        <f t="shared" si="4"/>
        <v>0.9751732101616628</v>
      </c>
      <c r="H70" s="127">
        <v>10144</v>
      </c>
      <c r="I70" s="128"/>
      <c r="J70" s="124">
        <f t="shared" si="1"/>
        <v>10144</v>
      </c>
      <c r="K70" s="144">
        <f t="shared" si="2"/>
        <v>10</v>
      </c>
      <c r="L70" s="150">
        <f t="shared" si="3"/>
        <v>1.0009867771857115</v>
      </c>
    </row>
    <row r="71" spans="1:12" s="101" customFormat="1" ht="13.5">
      <c r="A71" s="403" t="s">
        <v>76</v>
      </c>
      <c r="B71" s="404"/>
      <c r="C71" s="404"/>
      <c r="D71" s="125">
        <v>10349</v>
      </c>
      <c r="E71" s="126">
        <v>10104</v>
      </c>
      <c r="F71" s="144">
        <f t="shared" si="0"/>
        <v>-245</v>
      </c>
      <c r="G71" s="145">
        <f t="shared" si="4"/>
        <v>0.9763262150932457</v>
      </c>
      <c r="H71" s="127">
        <v>10104</v>
      </c>
      <c r="I71" s="128"/>
      <c r="J71" s="124">
        <f t="shared" si="1"/>
        <v>10104</v>
      </c>
      <c r="K71" s="144">
        <f t="shared" si="2"/>
        <v>0</v>
      </c>
      <c r="L71" s="150">
        <f t="shared" si="3"/>
        <v>1</v>
      </c>
    </row>
    <row r="72" spans="1:12" s="101" customFormat="1" ht="13.5">
      <c r="A72" s="403" t="s">
        <v>172</v>
      </c>
      <c r="B72" s="404"/>
      <c r="C72" s="404"/>
      <c r="D72" s="125">
        <v>10056</v>
      </c>
      <c r="E72" s="126">
        <v>10056</v>
      </c>
      <c r="F72" s="144">
        <f t="shared" si="0"/>
        <v>0</v>
      </c>
      <c r="G72" s="145">
        <f t="shared" si="4"/>
        <v>1</v>
      </c>
      <c r="H72" s="127">
        <v>10056</v>
      </c>
      <c r="I72" s="128"/>
      <c r="J72" s="124">
        <f t="shared" si="1"/>
        <v>10056</v>
      </c>
      <c r="K72" s="144">
        <f t="shared" si="2"/>
        <v>0</v>
      </c>
      <c r="L72" s="150">
        <f t="shared" si="3"/>
        <v>1</v>
      </c>
    </row>
    <row r="73" spans="1:14" s="101" customFormat="1" ht="13.5">
      <c r="A73" s="403" t="s">
        <v>77</v>
      </c>
      <c r="B73" s="404"/>
      <c r="C73" s="404"/>
      <c r="D73" s="125">
        <v>43</v>
      </c>
      <c r="E73" s="126">
        <v>30</v>
      </c>
      <c r="F73" s="144">
        <f t="shared" si="0"/>
        <v>-13</v>
      </c>
      <c r="G73" s="145">
        <f t="shared" si="4"/>
        <v>0.6976744186046512</v>
      </c>
      <c r="H73" s="127">
        <v>40</v>
      </c>
      <c r="I73" s="128"/>
      <c r="J73" s="124">
        <f t="shared" si="1"/>
        <v>40</v>
      </c>
      <c r="K73" s="144">
        <f t="shared" si="2"/>
        <v>10</v>
      </c>
      <c r="L73" s="150">
        <f t="shared" si="3"/>
        <v>1.3333333333333333</v>
      </c>
      <c r="N73" s="129"/>
    </row>
    <row r="74" spans="1:12" s="101" customFormat="1" ht="13.5">
      <c r="A74" s="403" t="s">
        <v>78</v>
      </c>
      <c r="B74" s="404"/>
      <c r="C74" s="404"/>
      <c r="D74" s="125">
        <v>3661</v>
      </c>
      <c r="E74" s="126">
        <v>3707</v>
      </c>
      <c r="F74" s="144">
        <f t="shared" si="0"/>
        <v>46</v>
      </c>
      <c r="G74" s="145">
        <f t="shared" si="4"/>
        <v>1.012564872985523</v>
      </c>
      <c r="H74" s="127">
        <v>3770</v>
      </c>
      <c r="I74" s="128"/>
      <c r="J74" s="124">
        <f t="shared" si="1"/>
        <v>3770</v>
      </c>
      <c r="K74" s="144">
        <f t="shared" si="2"/>
        <v>63</v>
      </c>
      <c r="L74" s="150">
        <f t="shared" si="3"/>
        <v>1.0169948745616402</v>
      </c>
    </row>
    <row r="75" spans="1:15" s="101" customFormat="1" ht="13.5">
      <c r="A75" s="412" t="s">
        <v>79</v>
      </c>
      <c r="B75" s="413"/>
      <c r="C75" s="413"/>
      <c r="D75" s="125">
        <v>0</v>
      </c>
      <c r="E75" s="126">
        <v>0</v>
      </c>
      <c r="F75" s="144">
        <f t="shared" si="0"/>
        <v>0</v>
      </c>
      <c r="G75" s="145"/>
      <c r="H75" s="127">
        <v>0</v>
      </c>
      <c r="I75" s="128"/>
      <c r="J75" s="124">
        <f t="shared" si="1"/>
        <v>0</v>
      </c>
      <c r="K75" s="144">
        <f t="shared" si="2"/>
        <v>0</v>
      </c>
      <c r="L75" s="150"/>
      <c r="N75" s="129"/>
      <c r="O75" s="139"/>
    </row>
    <row r="76" spans="1:12" s="101" customFormat="1" ht="13.5">
      <c r="A76" s="403" t="s">
        <v>80</v>
      </c>
      <c r="B76" s="404"/>
      <c r="C76" s="404"/>
      <c r="D76" s="125">
        <v>0</v>
      </c>
      <c r="E76" s="126">
        <v>0</v>
      </c>
      <c r="F76" s="144">
        <f aca="true" t="shared" si="5" ref="F76:F90">E76-D76</f>
        <v>0</v>
      </c>
      <c r="G76" s="145"/>
      <c r="H76" s="127">
        <v>0</v>
      </c>
      <c r="I76" s="128"/>
      <c r="J76" s="124">
        <f aca="true" t="shared" si="6" ref="J76:J91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412" t="s">
        <v>81</v>
      </c>
      <c r="B77" s="413"/>
      <c r="C77" s="413"/>
      <c r="D77" s="125">
        <v>112</v>
      </c>
      <c r="E77" s="126">
        <v>67</v>
      </c>
      <c r="F77" s="144">
        <f t="shared" si="5"/>
        <v>-45</v>
      </c>
      <c r="G77" s="145">
        <f>E77/D77</f>
        <v>0.5982142857142857</v>
      </c>
      <c r="H77" s="127">
        <v>67</v>
      </c>
      <c r="I77" s="128"/>
      <c r="J77" s="124">
        <f t="shared" si="6"/>
        <v>67</v>
      </c>
      <c r="K77" s="144">
        <f t="shared" si="7"/>
        <v>0</v>
      </c>
      <c r="L77" s="150">
        <f>J77/E77</f>
        <v>1</v>
      </c>
    </row>
    <row r="78" spans="1:12" s="101" customFormat="1" ht="13.5">
      <c r="A78" s="403" t="s">
        <v>82</v>
      </c>
      <c r="B78" s="404"/>
      <c r="C78" s="404"/>
      <c r="D78" s="138">
        <v>0</v>
      </c>
      <c r="E78" s="130">
        <v>0</v>
      </c>
      <c r="F78" s="144">
        <f t="shared" si="5"/>
        <v>0</v>
      </c>
      <c r="G78" s="145"/>
      <c r="H78" s="122">
        <v>0</v>
      </c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403" t="s">
        <v>83</v>
      </c>
      <c r="B79" s="404"/>
      <c r="C79" s="404"/>
      <c r="D79" s="125">
        <v>0</v>
      </c>
      <c r="E79" s="126">
        <v>0</v>
      </c>
      <c r="F79" s="144">
        <f t="shared" si="5"/>
        <v>0</v>
      </c>
      <c r="G79" s="145"/>
      <c r="H79" s="127">
        <v>0</v>
      </c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412" t="s">
        <v>84</v>
      </c>
      <c r="B80" s="413"/>
      <c r="C80" s="413"/>
      <c r="D80" s="125">
        <v>3152</v>
      </c>
      <c r="E80" s="126">
        <v>3296</v>
      </c>
      <c r="F80" s="144">
        <f t="shared" si="5"/>
        <v>144</v>
      </c>
      <c r="G80" s="145">
        <f>E80/D80</f>
        <v>1.0456852791878173</v>
      </c>
      <c r="H80" s="127">
        <v>3258</v>
      </c>
      <c r="I80" s="128"/>
      <c r="J80" s="124">
        <f t="shared" si="6"/>
        <v>3258</v>
      </c>
      <c r="K80" s="144">
        <f t="shared" si="7"/>
        <v>-38</v>
      </c>
      <c r="L80" s="150">
        <f>J80/E80</f>
        <v>0.9884708737864077</v>
      </c>
    </row>
    <row r="81" spans="1:12" s="101" customFormat="1" ht="13.5">
      <c r="A81" s="403" t="s">
        <v>85</v>
      </c>
      <c r="B81" s="404"/>
      <c r="C81" s="404"/>
      <c r="D81" s="125">
        <v>3128</v>
      </c>
      <c r="E81" s="126">
        <v>3098</v>
      </c>
      <c r="F81" s="144">
        <f t="shared" si="5"/>
        <v>-30</v>
      </c>
      <c r="G81" s="145">
        <f>E81/D81</f>
        <v>0.9904092071611253</v>
      </c>
      <c r="H81" s="127">
        <v>3058</v>
      </c>
      <c r="I81" s="128"/>
      <c r="J81" s="124">
        <f t="shared" si="6"/>
        <v>3058</v>
      </c>
      <c r="K81" s="144">
        <f t="shared" si="7"/>
        <v>-40</v>
      </c>
      <c r="L81" s="150">
        <f>J81/E81</f>
        <v>0.987088444157521</v>
      </c>
    </row>
    <row r="82" spans="1:12" s="101" customFormat="1" ht="13.5">
      <c r="A82" s="403" t="s">
        <v>86</v>
      </c>
      <c r="B82" s="404"/>
      <c r="C82" s="404"/>
      <c r="D82" s="125">
        <v>0</v>
      </c>
      <c r="E82" s="126">
        <v>0</v>
      </c>
      <c r="F82" s="144">
        <f t="shared" si="5"/>
        <v>0</v>
      </c>
      <c r="G82" s="145"/>
      <c r="H82" s="127">
        <v>0</v>
      </c>
      <c r="I82" s="128"/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403" t="s">
        <v>173</v>
      </c>
      <c r="B83" s="404"/>
      <c r="C83" s="404"/>
      <c r="D83" s="125">
        <v>0</v>
      </c>
      <c r="E83" s="126">
        <v>0</v>
      </c>
      <c r="F83" s="144">
        <f t="shared" si="5"/>
        <v>0</v>
      </c>
      <c r="G83" s="145"/>
      <c r="H83" s="127">
        <v>0</v>
      </c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403" t="s">
        <v>87</v>
      </c>
      <c r="B84" s="404"/>
      <c r="C84" s="404"/>
      <c r="D84" s="125">
        <v>0</v>
      </c>
      <c r="E84" s="126">
        <v>198</v>
      </c>
      <c r="F84" s="144">
        <f t="shared" si="5"/>
        <v>198</v>
      </c>
      <c r="G84" s="145"/>
      <c r="H84" s="127">
        <v>200</v>
      </c>
      <c r="I84" s="128"/>
      <c r="J84" s="124">
        <f t="shared" si="6"/>
        <v>200</v>
      </c>
      <c r="K84" s="144">
        <f t="shared" si="7"/>
        <v>2</v>
      </c>
      <c r="L84" s="150">
        <f>J84/E84</f>
        <v>1.0101010101010102</v>
      </c>
    </row>
    <row r="85" spans="1:12" s="101" customFormat="1" ht="13.5">
      <c r="A85" s="403" t="s">
        <v>174</v>
      </c>
      <c r="B85" s="404"/>
      <c r="C85" s="404"/>
      <c r="D85" s="125">
        <v>0</v>
      </c>
      <c r="E85" s="126">
        <v>167</v>
      </c>
      <c r="F85" s="144">
        <f t="shared" si="5"/>
        <v>167</v>
      </c>
      <c r="G85" s="145"/>
      <c r="H85" s="127">
        <v>200</v>
      </c>
      <c r="I85" s="128"/>
      <c r="J85" s="124">
        <f t="shared" si="6"/>
        <v>200</v>
      </c>
      <c r="K85" s="144">
        <f t="shared" si="7"/>
        <v>33</v>
      </c>
      <c r="L85" s="150">
        <f>J85/E85</f>
        <v>1.1976047904191616</v>
      </c>
    </row>
    <row r="86" spans="1:14" s="101" customFormat="1" ht="13.5">
      <c r="A86" s="403" t="s">
        <v>175</v>
      </c>
      <c r="B86" s="404"/>
      <c r="C86" s="404"/>
      <c r="D86" s="125">
        <v>0</v>
      </c>
      <c r="E86" s="126">
        <v>0</v>
      </c>
      <c r="F86" s="144">
        <f t="shared" si="5"/>
        <v>0</v>
      </c>
      <c r="G86" s="145"/>
      <c r="H86" s="127">
        <v>0</v>
      </c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412" t="s">
        <v>88</v>
      </c>
      <c r="B87" s="413"/>
      <c r="C87" s="413"/>
      <c r="D87" s="125">
        <v>24</v>
      </c>
      <c r="E87" s="126">
        <v>0</v>
      </c>
      <c r="F87" s="144">
        <f t="shared" si="5"/>
        <v>-24</v>
      </c>
      <c r="G87" s="145">
        <f>E87/D87</f>
        <v>0</v>
      </c>
      <c r="H87" s="127">
        <v>0</v>
      </c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403" t="s">
        <v>89</v>
      </c>
      <c r="B88" s="404"/>
      <c r="C88" s="404"/>
      <c r="D88" s="125">
        <v>24</v>
      </c>
      <c r="E88" s="126">
        <v>0</v>
      </c>
      <c r="F88" s="144">
        <f t="shared" si="5"/>
        <v>-24</v>
      </c>
      <c r="G88" s="145">
        <f>E88/D88</f>
        <v>0</v>
      </c>
      <c r="H88" s="127">
        <v>0</v>
      </c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412" t="s">
        <v>90</v>
      </c>
      <c r="B89" s="413"/>
      <c r="C89" s="413"/>
      <c r="D89" s="125">
        <v>0</v>
      </c>
      <c r="E89" s="126">
        <v>0</v>
      </c>
      <c r="F89" s="144">
        <f t="shared" si="5"/>
        <v>0</v>
      </c>
      <c r="G89" s="145"/>
      <c r="H89" s="127">
        <v>0</v>
      </c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403" t="s">
        <v>176</v>
      </c>
      <c r="B90" s="404"/>
      <c r="C90" s="404"/>
      <c r="D90" s="102">
        <v>0</v>
      </c>
      <c r="E90" s="140">
        <v>0</v>
      </c>
      <c r="F90" s="144">
        <f t="shared" si="5"/>
        <v>0</v>
      </c>
      <c r="G90" s="145"/>
      <c r="H90" s="127">
        <v>0</v>
      </c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422" t="s">
        <v>91</v>
      </c>
      <c r="B91" s="423"/>
      <c r="C91" s="424"/>
      <c r="D91" s="177">
        <v>22851</v>
      </c>
      <c r="E91" s="178">
        <v>22355</v>
      </c>
      <c r="F91" s="179"/>
      <c r="G91" s="179"/>
      <c r="H91" s="180">
        <v>22675</v>
      </c>
      <c r="I91" s="180"/>
      <c r="J91" s="181">
        <f t="shared" si="6"/>
        <v>22675</v>
      </c>
      <c r="K91" s="182"/>
      <c r="L91" s="183"/>
      <c r="M91" s="141"/>
      <c r="N91" s="142"/>
      <c r="O91" s="143"/>
    </row>
    <row r="92" spans="1:15" s="100" customFormat="1" ht="14.25" thickBot="1">
      <c r="A92" s="422" t="s">
        <v>177</v>
      </c>
      <c r="B92" s="423"/>
      <c r="C92" s="424"/>
      <c r="D92" s="184">
        <v>163</v>
      </c>
      <c r="E92" s="184">
        <v>0</v>
      </c>
      <c r="F92" s="185"/>
      <c r="G92" s="185"/>
      <c r="H92" s="184">
        <v>-3020</v>
      </c>
      <c r="I92" s="184"/>
      <c r="J92" s="186">
        <v>-3020</v>
      </c>
      <c r="K92" s="170"/>
      <c r="L92" s="187"/>
      <c r="M92" s="141"/>
      <c r="N92" s="141"/>
      <c r="O92" s="143"/>
    </row>
    <row r="93" spans="1:15" s="34" customFormat="1" ht="13.5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5" s="34" customFormat="1" ht="14.25" thickBot="1">
      <c r="A94" s="35"/>
      <c r="B94" s="36"/>
      <c r="C94" s="36"/>
      <c r="D94" s="37"/>
      <c r="E94" s="38"/>
      <c r="F94" s="36"/>
      <c r="G94" s="36"/>
      <c r="H94" s="39"/>
      <c r="I94" s="40"/>
      <c r="J94" s="41"/>
      <c r="K94" s="35"/>
      <c r="L94" s="36"/>
      <c r="M94" s="36"/>
      <c r="N94" s="36"/>
      <c r="O94" s="39"/>
    </row>
    <row r="95" spans="1:14" ht="14.25" customHeight="1" thickBot="1">
      <c r="A95" s="416" t="s">
        <v>178</v>
      </c>
      <c r="B95" s="417"/>
      <c r="C95" s="420" t="s">
        <v>104</v>
      </c>
      <c r="D95" s="42"/>
      <c r="E95" s="425" t="s">
        <v>179</v>
      </c>
      <c r="F95" s="426"/>
      <c r="G95" s="426"/>
      <c r="H95" s="426"/>
      <c r="I95" s="429" t="s">
        <v>104</v>
      </c>
      <c r="J95" s="43"/>
      <c r="K95" s="43"/>
      <c r="L95" s="43"/>
      <c r="M95" s="43"/>
      <c r="N95" s="43"/>
    </row>
    <row r="96" spans="1:14" ht="14.25" thickBot="1">
      <c r="A96" s="418"/>
      <c r="B96" s="419"/>
      <c r="C96" s="421"/>
      <c r="D96" s="42"/>
      <c r="E96" s="427"/>
      <c r="F96" s="428"/>
      <c r="G96" s="428"/>
      <c r="H96" s="428"/>
      <c r="I96" s="430"/>
      <c r="J96" s="43"/>
      <c r="K96" s="43"/>
      <c r="L96" s="43"/>
      <c r="M96" s="43"/>
      <c r="N96" s="43"/>
    </row>
    <row r="97" spans="1:14" ht="14.25" thickBot="1">
      <c r="A97" s="431" t="s">
        <v>249</v>
      </c>
      <c r="B97" s="432"/>
      <c r="C97" s="204">
        <v>95</v>
      </c>
      <c r="D97" s="35"/>
      <c r="E97" s="433" t="s">
        <v>257</v>
      </c>
      <c r="F97" s="434"/>
      <c r="G97" s="434"/>
      <c r="H97" s="434"/>
      <c r="I97" s="104">
        <v>410</v>
      </c>
      <c r="J97" s="43"/>
      <c r="K97" s="43"/>
      <c r="L97" s="43"/>
      <c r="M97" s="43"/>
      <c r="N97" s="38" t="s">
        <v>105</v>
      </c>
    </row>
    <row r="98" spans="1:14" ht="13.5">
      <c r="A98" s="435" t="s">
        <v>250</v>
      </c>
      <c r="B98" s="436"/>
      <c r="C98" s="205">
        <v>150</v>
      </c>
      <c r="D98" s="35"/>
      <c r="E98" s="437" t="s">
        <v>258</v>
      </c>
      <c r="F98" s="438"/>
      <c r="G98" s="438"/>
      <c r="H98" s="438"/>
      <c r="I98" s="105"/>
      <c r="J98" s="43"/>
      <c r="K98" s="44" t="s">
        <v>106</v>
      </c>
      <c r="L98" s="44"/>
      <c r="M98" s="45">
        <v>2011</v>
      </c>
      <c r="N98" s="46">
        <v>2012</v>
      </c>
    </row>
    <row r="99" spans="1:14" ht="13.5">
      <c r="A99" s="435" t="s">
        <v>136</v>
      </c>
      <c r="B99" s="436"/>
      <c r="C99" s="205">
        <v>2453</v>
      </c>
      <c r="D99" s="35"/>
      <c r="E99" s="437" t="s">
        <v>255</v>
      </c>
      <c r="F99" s="438"/>
      <c r="G99" s="438"/>
      <c r="H99" s="438"/>
      <c r="I99" s="105">
        <v>65</v>
      </c>
      <c r="J99" s="43"/>
      <c r="K99" s="47" t="s">
        <v>107</v>
      </c>
      <c r="L99" s="47"/>
      <c r="M99" s="48">
        <v>0</v>
      </c>
      <c r="N99" s="49">
        <v>0</v>
      </c>
    </row>
    <row r="100" spans="1:14" ht="13.5">
      <c r="A100" s="435" t="s">
        <v>251</v>
      </c>
      <c r="B100" s="436"/>
      <c r="C100" s="205">
        <v>50</v>
      </c>
      <c r="D100" s="35"/>
      <c r="E100" s="437" t="s">
        <v>256</v>
      </c>
      <c r="F100" s="438"/>
      <c r="G100" s="438"/>
      <c r="H100" s="438"/>
      <c r="I100" s="105">
        <v>100</v>
      </c>
      <c r="J100" s="43"/>
      <c r="K100" s="47" t="s">
        <v>108</v>
      </c>
      <c r="L100" s="50"/>
      <c r="M100" s="51">
        <v>0</v>
      </c>
      <c r="N100" s="52">
        <v>0</v>
      </c>
    </row>
    <row r="101" spans="1:14" ht="14.25" thickBot="1">
      <c r="A101" s="435" t="s">
        <v>252</v>
      </c>
      <c r="B101" s="436"/>
      <c r="C101" s="205">
        <v>240</v>
      </c>
      <c r="D101" s="35"/>
      <c r="E101" s="439"/>
      <c r="F101" s="440"/>
      <c r="G101" s="440"/>
      <c r="H101" s="440"/>
      <c r="I101" s="107"/>
      <c r="J101" s="43"/>
      <c r="K101" s="53" t="s">
        <v>109</v>
      </c>
      <c r="L101" s="54"/>
      <c r="M101" s="55">
        <v>0</v>
      </c>
      <c r="N101" s="56">
        <v>0</v>
      </c>
    </row>
    <row r="102" spans="1:14" ht="13.5">
      <c r="A102" s="435" t="s">
        <v>253</v>
      </c>
      <c r="B102" s="436"/>
      <c r="C102" s="107">
        <v>240</v>
      </c>
      <c r="D102" s="35"/>
      <c r="E102" s="437"/>
      <c r="F102" s="438"/>
      <c r="G102" s="438"/>
      <c r="H102" s="438"/>
      <c r="I102" s="97"/>
      <c r="J102" s="43"/>
      <c r="K102" s="43"/>
      <c r="L102" s="43"/>
      <c r="M102" s="43"/>
      <c r="N102" s="43"/>
    </row>
    <row r="103" spans="1:14" ht="13.5">
      <c r="A103" s="435" t="s">
        <v>254</v>
      </c>
      <c r="B103" s="436"/>
      <c r="C103" s="107">
        <v>120</v>
      </c>
      <c r="D103" s="35"/>
      <c r="E103" s="437"/>
      <c r="F103" s="438"/>
      <c r="G103" s="438"/>
      <c r="H103" s="438"/>
      <c r="I103" s="97"/>
      <c r="J103" s="43"/>
      <c r="K103" s="43"/>
      <c r="L103" s="43"/>
      <c r="M103" s="43"/>
      <c r="N103" s="43"/>
    </row>
    <row r="104" spans="1:14" ht="14.25" thickBot="1">
      <c r="A104" s="441"/>
      <c r="B104" s="442"/>
      <c r="C104" s="96"/>
      <c r="D104" s="35"/>
      <c r="E104" s="443"/>
      <c r="F104" s="444"/>
      <c r="G104" s="444"/>
      <c r="H104" s="444"/>
      <c r="I104" s="99"/>
      <c r="J104" s="43"/>
      <c r="K104" s="43"/>
      <c r="L104" s="43"/>
      <c r="M104" s="43"/>
      <c r="N104" s="43"/>
    </row>
    <row r="105" spans="1:14" ht="14.25" thickBot="1">
      <c r="A105" s="445" t="s">
        <v>97</v>
      </c>
      <c r="B105" s="446"/>
      <c r="C105" s="202">
        <f>SUM(C97:C103)</f>
        <v>3348</v>
      </c>
      <c r="D105" s="59"/>
      <c r="E105" s="447" t="s">
        <v>97</v>
      </c>
      <c r="F105" s="448"/>
      <c r="G105" s="448"/>
      <c r="H105" s="448"/>
      <c r="I105" s="203">
        <f>SUM(I97:I104)</f>
        <v>575</v>
      </c>
      <c r="J105" s="43"/>
      <c r="K105" s="43"/>
      <c r="L105" s="43"/>
      <c r="M105" s="43"/>
      <c r="N105" s="61"/>
    </row>
    <row r="106" spans="1:5" s="34" customFormat="1" ht="13.5" customHeight="1">
      <c r="A106" s="59"/>
      <c r="B106" s="62"/>
      <c r="C106" s="62"/>
      <c r="D106" s="62"/>
      <c r="E106" s="62"/>
    </row>
    <row r="107" spans="1:12" s="34" customFormat="1" ht="14.25" thickBot="1">
      <c r="A107" s="63" t="s">
        <v>181</v>
      </c>
      <c r="B107" s="36"/>
      <c r="C107" s="36"/>
      <c r="D107" s="36"/>
      <c r="E107" s="39"/>
      <c r="F107" s="41"/>
      <c r="G107" s="41"/>
      <c r="H107" s="35"/>
      <c r="I107" s="36"/>
      <c r="J107" s="36" t="s">
        <v>110</v>
      </c>
      <c r="K107" s="36"/>
      <c r="L107" s="39"/>
    </row>
    <row r="108" spans="1:11" s="34" customFormat="1" ht="13.5">
      <c r="A108" s="449" t="s">
        <v>111</v>
      </c>
      <c r="B108" s="452" t="s">
        <v>248</v>
      </c>
      <c r="C108" s="459" t="s">
        <v>182</v>
      </c>
      <c r="D108" s="460"/>
      <c r="E108" s="460"/>
      <c r="F108" s="460"/>
      <c r="G108" s="460"/>
      <c r="H108" s="460"/>
      <c r="I108" s="460"/>
      <c r="J108" s="461"/>
      <c r="K108" s="455" t="s">
        <v>183</v>
      </c>
    </row>
    <row r="109" spans="1:11" s="34" customFormat="1" ht="13.5">
      <c r="A109" s="450"/>
      <c r="B109" s="453"/>
      <c r="C109" s="458" t="s">
        <v>112</v>
      </c>
      <c r="D109" s="462" t="s">
        <v>113</v>
      </c>
      <c r="E109" s="462"/>
      <c r="F109" s="462"/>
      <c r="G109" s="462"/>
      <c r="H109" s="462"/>
      <c r="I109" s="462"/>
      <c r="J109" s="463"/>
      <c r="K109" s="456"/>
    </row>
    <row r="110" spans="1:12" s="34" customFormat="1" ht="14.25" thickBot="1">
      <c r="A110" s="451"/>
      <c r="B110" s="454"/>
      <c r="C110" s="458"/>
      <c r="D110" s="164">
        <v>1</v>
      </c>
      <c r="E110" s="164">
        <v>2</v>
      </c>
      <c r="F110" s="164">
        <v>3</v>
      </c>
      <c r="G110" s="164">
        <v>4</v>
      </c>
      <c r="H110" s="164">
        <v>5</v>
      </c>
      <c r="I110" s="164">
        <v>6</v>
      </c>
      <c r="J110" s="165">
        <v>7</v>
      </c>
      <c r="K110" s="457"/>
      <c r="L110" s="71"/>
    </row>
    <row r="111" spans="1:11" s="34" customFormat="1" ht="14.25" thickBot="1">
      <c r="A111" s="64">
        <v>88628</v>
      </c>
      <c r="B111" s="65">
        <v>8819</v>
      </c>
      <c r="C111" s="364">
        <f>SUM(D111:J111)</f>
        <v>3058</v>
      </c>
      <c r="D111" s="167">
        <v>203</v>
      </c>
      <c r="E111" s="167">
        <v>401</v>
      </c>
      <c r="F111" s="167">
        <v>0</v>
      </c>
      <c r="G111" s="167">
        <v>0</v>
      </c>
      <c r="H111" s="167">
        <v>2023</v>
      </c>
      <c r="I111" s="168">
        <v>50</v>
      </c>
      <c r="J111" s="169">
        <v>381</v>
      </c>
      <c r="K111" s="163">
        <v>76751</v>
      </c>
    </row>
    <row r="112" spans="1:5" s="34" customFormat="1" ht="13.5">
      <c r="A112" s="59"/>
      <c r="B112" s="62"/>
      <c r="C112" s="62"/>
      <c r="D112" s="62"/>
      <c r="E112" s="62"/>
    </row>
    <row r="113" spans="1:8" s="34" customFormat="1" ht="14.25" thickBot="1">
      <c r="A113" s="63" t="s">
        <v>184</v>
      </c>
      <c r="C113" s="36"/>
      <c r="D113" s="36"/>
      <c r="E113" s="36"/>
      <c r="F113" s="36" t="s">
        <v>110</v>
      </c>
      <c r="G113" s="41"/>
      <c r="H113" s="35"/>
    </row>
    <row r="114" spans="1:6" s="34" customFormat="1" ht="15" customHeight="1" thickBot="1">
      <c r="A114" s="467" t="s">
        <v>114</v>
      </c>
      <c r="B114" s="469" t="s">
        <v>188</v>
      </c>
      <c r="C114" s="474" t="s">
        <v>185</v>
      </c>
      <c r="D114" s="475"/>
      <c r="E114" s="475"/>
      <c r="F114" s="476"/>
    </row>
    <row r="115" spans="1:6" s="34" customFormat="1" ht="27.75" thickBot="1">
      <c r="A115" s="468"/>
      <c r="B115" s="469"/>
      <c r="C115" s="67" t="s">
        <v>186</v>
      </c>
      <c r="D115" s="66" t="s">
        <v>115</v>
      </c>
      <c r="E115" s="67" t="s">
        <v>116</v>
      </c>
      <c r="F115" s="191" t="s">
        <v>187</v>
      </c>
    </row>
    <row r="116" spans="1:6" s="34" customFormat="1" ht="13.5">
      <c r="A116" s="192" t="s">
        <v>117</v>
      </c>
      <c r="B116" s="89">
        <v>1850.4</v>
      </c>
      <c r="C116" s="68" t="s">
        <v>118</v>
      </c>
      <c r="D116" s="69" t="s">
        <v>118</v>
      </c>
      <c r="E116" s="69" t="s">
        <v>118</v>
      </c>
      <c r="F116" s="193" t="s">
        <v>118</v>
      </c>
    </row>
    <row r="117" spans="1:13" s="34" customFormat="1" ht="13.5">
      <c r="A117" s="194" t="s">
        <v>119</v>
      </c>
      <c r="B117" s="70">
        <v>0</v>
      </c>
      <c r="C117" s="197">
        <v>0</v>
      </c>
      <c r="D117" s="51">
        <v>0</v>
      </c>
      <c r="E117" s="51">
        <v>0</v>
      </c>
      <c r="F117" s="198">
        <f>C117-E117</f>
        <v>0</v>
      </c>
      <c r="M117" s="71"/>
    </row>
    <row r="118" spans="1:13" s="34" customFormat="1" ht="13.5">
      <c r="A118" s="194" t="s">
        <v>120</v>
      </c>
      <c r="B118" s="70">
        <v>200</v>
      </c>
      <c r="C118" s="197">
        <f>200</f>
        <v>200</v>
      </c>
      <c r="D118" s="51">
        <v>0</v>
      </c>
      <c r="E118" s="51">
        <v>31</v>
      </c>
      <c r="F118" s="198">
        <f>C118+D118-E118</f>
        <v>169</v>
      </c>
      <c r="M118" s="71"/>
    </row>
    <row r="119" spans="1:13" s="34" customFormat="1" ht="13.5">
      <c r="A119" s="194" t="s">
        <v>121</v>
      </c>
      <c r="B119" s="70">
        <v>313</v>
      </c>
      <c r="C119" s="72">
        <v>313</v>
      </c>
      <c r="D119" s="206">
        <v>3058</v>
      </c>
      <c r="E119" s="206">
        <v>3348</v>
      </c>
      <c r="F119" s="198">
        <f>C119+D119-E119</f>
        <v>23</v>
      </c>
      <c r="M119" s="71"/>
    </row>
    <row r="120" spans="1:13" s="34" customFormat="1" ht="13.5">
      <c r="A120" s="194" t="s">
        <v>122</v>
      </c>
      <c r="B120" s="70">
        <f>B116-B117-B118-B119</f>
        <v>1337.4</v>
      </c>
      <c r="C120" s="74" t="s">
        <v>118</v>
      </c>
      <c r="D120" s="75" t="s">
        <v>118</v>
      </c>
      <c r="E120" s="76" t="s">
        <v>118</v>
      </c>
      <c r="F120" s="195" t="s">
        <v>118</v>
      </c>
      <c r="M120" s="71"/>
    </row>
    <row r="121" spans="1:13" s="34" customFormat="1" ht="14.25" thickBot="1">
      <c r="A121" s="196" t="s">
        <v>123</v>
      </c>
      <c r="B121" s="77">
        <v>99.1</v>
      </c>
      <c r="C121" s="199">
        <v>103</v>
      </c>
      <c r="D121" s="200">
        <v>101</v>
      </c>
      <c r="E121" s="207">
        <v>123</v>
      </c>
      <c r="F121" s="201">
        <f>C121+D121-E121</f>
        <v>81</v>
      </c>
      <c r="M121" s="71"/>
    </row>
    <row r="122" spans="1:15" s="34" customFormat="1" ht="13.5">
      <c r="A122" s="35"/>
      <c r="B122" s="36"/>
      <c r="C122" s="36"/>
      <c r="D122" s="37"/>
      <c r="E122" s="38"/>
      <c r="F122" s="36"/>
      <c r="G122" s="36"/>
      <c r="H122" s="39"/>
      <c r="I122" s="40"/>
      <c r="J122" s="41"/>
      <c r="K122" s="35"/>
      <c r="L122" s="36"/>
      <c r="M122" s="36"/>
      <c r="N122" s="36"/>
      <c r="O122" s="39"/>
    </row>
    <row r="123" spans="1:11" ht="13.5">
      <c r="A123" s="63"/>
      <c r="K123" s="36"/>
    </row>
    <row r="124" spans="1:11" ht="14.25" thickBot="1">
      <c r="A124" s="63" t="s">
        <v>189</v>
      </c>
      <c r="K124" s="36" t="s">
        <v>110</v>
      </c>
    </row>
    <row r="125" spans="1:11" ht="13.5">
      <c r="A125" s="464" t="s">
        <v>124</v>
      </c>
      <c r="B125" s="465"/>
      <c r="C125" s="466"/>
      <c r="D125" s="78"/>
      <c r="E125" s="464" t="s">
        <v>125</v>
      </c>
      <c r="F125" s="465"/>
      <c r="G125" s="466"/>
      <c r="I125" s="464" t="s">
        <v>126</v>
      </c>
      <c r="J125" s="465"/>
      <c r="K125" s="466"/>
    </row>
    <row r="126" spans="1:11" ht="14.25" thickBot="1">
      <c r="A126" s="79" t="s">
        <v>127</v>
      </c>
      <c r="B126" s="80" t="s">
        <v>128</v>
      </c>
      <c r="C126" s="81" t="s">
        <v>129</v>
      </c>
      <c r="D126" s="78"/>
      <c r="E126" s="82"/>
      <c r="F126" s="470" t="s">
        <v>130</v>
      </c>
      <c r="G126" s="471"/>
      <c r="I126" s="79"/>
      <c r="J126" s="80" t="s">
        <v>131</v>
      </c>
      <c r="K126" s="81" t="s">
        <v>129</v>
      </c>
    </row>
    <row r="127" spans="1:11" ht="13.5">
      <c r="A127" s="83">
        <v>2012</v>
      </c>
      <c r="B127" s="84">
        <v>43</v>
      </c>
      <c r="C127" s="85">
        <v>42</v>
      </c>
      <c r="D127" s="37"/>
      <c r="E127" s="83">
        <v>2012</v>
      </c>
      <c r="F127" s="472">
        <v>60</v>
      </c>
      <c r="G127" s="473"/>
      <c r="I127" s="83">
        <v>2012</v>
      </c>
      <c r="J127" s="84">
        <v>10056</v>
      </c>
      <c r="K127" s="85">
        <v>10056</v>
      </c>
    </row>
    <row r="128" spans="1:11" ht="14.25" thickBot="1">
      <c r="A128" s="86">
        <v>2013</v>
      </c>
      <c r="B128" s="87">
        <v>43</v>
      </c>
      <c r="C128" s="88" t="s">
        <v>92</v>
      </c>
      <c r="D128" s="37"/>
      <c r="E128" s="86">
        <v>2013</v>
      </c>
      <c r="F128" s="388">
        <v>60</v>
      </c>
      <c r="G128" s="389"/>
      <c r="I128" s="86">
        <v>2013</v>
      </c>
      <c r="J128" s="87">
        <v>10056</v>
      </c>
      <c r="K128" s="88" t="s">
        <v>92</v>
      </c>
    </row>
    <row r="129" ht="13.5">
      <c r="D129" s="37"/>
    </row>
    <row r="130" ht="13.5">
      <c r="D130" s="78"/>
    </row>
    <row r="131" ht="13.5">
      <c r="D131" s="78"/>
    </row>
    <row r="132" ht="13.5">
      <c r="D132" s="37"/>
    </row>
    <row r="133" ht="13.5">
      <c r="D133" s="37"/>
    </row>
  </sheetData>
  <sheetProtection selectLockedCells="1" selectUnlockedCells="1"/>
  <mergeCells count="130">
    <mergeCell ref="I125:K125"/>
    <mergeCell ref="A114:A115"/>
    <mergeCell ref="B114:B115"/>
    <mergeCell ref="F126:G126"/>
    <mergeCell ref="F127:G127"/>
    <mergeCell ref="A125:C125"/>
    <mergeCell ref="E125:G125"/>
    <mergeCell ref="C114:F114"/>
    <mergeCell ref="A105:B105"/>
    <mergeCell ref="E105:H105"/>
    <mergeCell ref="A108:A110"/>
    <mergeCell ref="B108:B110"/>
    <mergeCell ref="K108:K110"/>
    <mergeCell ref="C109:C110"/>
    <mergeCell ref="C108:J108"/>
    <mergeCell ref="D109:J109"/>
    <mergeCell ref="A102:B102"/>
    <mergeCell ref="E102:H102"/>
    <mergeCell ref="A103:B103"/>
    <mergeCell ref="E103:H103"/>
    <mergeCell ref="A104:B104"/>
    <mergeCell ref="E104:H104"/>
    <mergeCell ref="A99:B99"/>
    <mergeCell ref="E99:H99"/>
    <mergeCell ref="A100:B100"/>
    <mergeCell ref="E100:H100"/>
    <mergeCell ref="A101:B101"/>
    <mergeCell ref="E101:H101"/>
    <mergeCell ref="E95:H96"/>
    <mergeCell ref="I95:I96"/>
    <mergeCell ref="A97:B97"/>
    <mergeCell ref="E97:H97"/>
    <mergeCell ref="A98:B98"/>
    <mergeCell ref="E98:H98"/>
    <mergeCell ref="A87:C87"/>
    <mergeCell ref="A88:C88"/>
    <mergeCell ref="A95:B96"/>
    <mergeCell ref="C95:C96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F128:G128"/>
    <mergeCell ref="A2:L2"/>
    <mergeCell ref="A4:C6"/>
    <mergeCell ref="D4:D6"/>
    <mergeCell ref="E4:E6"/>
    <mergeCell ref="F4:G4"/>
    <mergeCell ref="H4:J4"/>
    <mergeCell ref="K4:L4"/>
    <mergeCell ref="A7:C7"/>
    <mergeCell ref="A8:C8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3" r:id="rId1"/>
  <headerFooter alignWithMargins="0">
    <oddFooter>&amp;C&amp;"Arial CE,Běžné"&amp;P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132"/>
  <sheetViews>
    <sheetView view="pageBreakPreview" zoomScale="70" zoomScaleSheetLayoutView="70" zoomScalePageLayoutView="0" workbookViewId="0" topLeftCell="A1">
      <selection activeCell="H22" sqref="H22:H30"/>
    </sheetView>
  </sheetViews>
  <sheetFormatPr defaultColWidth="9.140625" defaultRowHeight="12.75"/>
  <cols>
    <col min="1" max="1" width="27.8515625" style="1" customWidth="1"/>
    <col min="2" max="2" width="14.28125" style="1" customWidth="1"/>
    <col min="3" max="3" width="13.281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16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20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 thickBot="1">
      <c r="A4" s="391" t="s">
        <v>156</v>
      </c>
      <c r="B4" s="391"/>
      <c r="C4" s="391"/>
      <c r="D4" s="392" t="s">
        <v>157</v>
      </c>
      <c r="E4" s="393">
        <v>2012</v>
      </c>
      <c r="F4" s="394" t="s">
        <v>96</v>
      </c>
      <c r="G4" s="395"/>
      <c r="H4" s="396" t="s">
        <v>158</v>
      </c>
      <c r="I4" s="397"/>
      <c r="J4" s="398"/>
      <c r="K4" s="396" t="s">
        <v>159</v>
      </c>
      <c r="L4" s="398"/>
      <c r="M4" s="112"/>
      <c r="N4" s="112"/>
      <c r="O4" s="112"/>
    </row>
    <row r="5" spans="1:15" s="101" customFormat="1" ht="13.5" customHeight="1" thickBot="1">
      <c r="A5" s="391"/>
      <c r="B5" s="391"/>
      <c r="C5" s="391"/>
      <c r="D5" s="392"/>
      <c r="E5" s="393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391"/>
      <c r="B6" s="391"/>
      <c r="C6" s="391"/>
      <c r="D6" s="392"/>
      <c r="E6" s="393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399" t="s">
        <v>24</v>
      </c>
      <c r="B7" s="400"/>
      <c r="C7" s="400"/>
      <c r="D7" s="121">
        <v>13194</v>
      </c>
      <c r="E7" s="121">
        <f>E9+E8+E16</f>
        <v>13048</v>
      </c>
      <c r="F7" s="154">
        <f>E7-D7</f>
        <v>-146</v>
      </c>
      <c r="G7" s="145">
        <f>E7/D7</f>
        <v>0.9889343641048962</v>
      </c>
      <c r="H7" s="122">
        <f>H9+H8</f>
        <v>12974</v>
      </c>
      <c r="I7" s="123"/>
      <c r="J7" s="156">
        <f>H7+I7</f>
        <v>12974</v>
      </c>
      <c r="K7" s="144">
        <f>J7-E7</f>
        <v>-74</v>
      </c>
      <c r="L7" s="150">
        <f>J7/E7</f>
        <v>0.9943286327406499</v>
      </c>
    </row>
    <row r="8" spans="1:12" s="101" customFormat="1" ht="13.5">
      <c r="A8" s="401" t="s">
        <v>25</v>
      </c>
      <c r="B8" s="402"/>
      <c r="C8" s="402"/>
      <c r="D8" s="125">
        <v>0</v>
      </c>
      <c r="E8" s="125">
        <v>10</v>
      </c>
      <c r="F8" s="154">
        <f aca="true" t="shared" si="0" ref="F8:F75">E8-D8</f>
        <v>10</v>
      </c>
      <c r="G8" s="145"/>
      <c r="H8" s="127">
        <v>15</v>
      </c>
      <c r="I8" s="128"/>
      <c r="J8" s="156">
        <f aca="true" t="shared" si="1" ref="J8:J75">H8+I8</f>
        <v>15</v>
      </c>
      <c r="K8" s="144">
        <f aca="true" t="shared" si="2" ref="K8:K75">J8-E8</f>
        <v>5</v>
      </c>
      <c r="L8" s="150">
        <f aca="true" t="shared" si="3" ref="L8:L75">J8/E8</f>
        <v>1.5</v>
      </c>
    </row>
    <row r="9" spans="1:12" s="101" customFormat="1" ht="13.5">
      <c r="A9" s="401" t="s">
        <v>26</v>
      </c>
      <c r="B9" s="402"/>
      <c r="C9" s="402"/>
      <c r="D9" s="125">
        <v>13193</v>
      </c>
      <c r="E9" s="125">
        <v>13036</v>
      </c>
      <c r="F9" s="154">
        <f t="shared" si="0"/>
        <v>-157</v>
      </c>
      <c r="G9" s="145">
        <f aca="true" t="shared" si="4" ref="G9:G75">E9/D9</f>
        <v>0.9880997498673539</v>
      </c>
      <c r="H9" s="127">
        <f>H10+H11+H12+H13+H14+H15+H16+H17</f>
        <v>12959</v>
      </c>
      <c r="I9" s="128"/>
      <c r="J9" s="156">
        <f t="shared" si="1"/>
        <v>12959</v>
      </c>
      <c r="K9" s="144">
        <f t="shared" si="2"/>
        <v>-77</v>
      </c>
      <c r="L9" s="150">
        <f t="shared" si="3"/>
        <v>0.9940932801472845</v>
      </c>
    </row>
    <row r="10" spans="1:12" s="101" customFormat="1" ht="13.5">
      <c r="A10" s="403" t="s">
        <v>27</v>
      </c>
      <c r="B10" s="404"/>
      <c r="C10" s="404"/>
      <c r="D10" s="125">
        <v>6887</v>
      </c>
      <c r="E10" s="125">
        <v>7110</v>
      </c>
      <c r="F10" s="154">
        <f t="shared" si="0"/>
        <v>223</v>
      </c>
      <c r="G10" s="145">
        <f t="shared" si="4"/>
        <v>1.0323798460868303</v>
      </c>
      <c r="H10" s="127">
        <v>7209</v>
      </c>
      <c r="I10" s="128"/>
      <c r="J10" s="156">
        <f t="shared" si="1"/>
        <v>7209</v>
      </c>
      <c r="K10" s="144">
        <f t="shared" si="2"/>
        <v>99</v>
      </c>
      <c r="L10" s="150">
        <f t="shared" si="3"/>
        <v>1.0139240506329115</v>
      </c>
    </row>
    <row r="11" spans="1:12" s="101" customFormat="1" ht="13.5">
      <c r="A11" s="403" t="s">
        <v>28</v>
      </c>
      <c r="B11" s="404"/>
      <c r="C11" s="404"/>
      <c r="D11" s="125">
        <v>5437</v>
      </c>
      <c r="E11" s="125">
        <v>5167</v>
      </c>
      <c r="F11" s="154">
        <f t="shared" si="0"/>
        <v>-270</v>
      </c>
      <c r="G11" s="145">
        <f t="shared" si="4"/>
        <v>0.9503402611734413</v>
      </c>
      <c r="H11" s="127">
        <v>4982</v>
      </c>
      <c r="I11" s="128"/>
      <c r="J11" s="156">
        <f t="shared" si="1"/>
        <v>4982</v>
      </c>
      <c r="K11" s="144">
        <f t="shared" si="2"/>
        <v>-185</v>
      </c>
      <c r="L11" s="150">
        <f t="shared" si="3"/>
        <v>0.9641958583317205</v>
      </c>
    </row>
    <row r="12" spans="1:12" s="101" customFormat="1" ht="13.5">
      <c r="A12" s="403" t="s">
        <v>29</v>
      </c>
      <c r="B12" s="404"/>
      <c r="C12" s="404"/>
      <c r="D12" s="125">
        <v>23</v>
      </c>
      <c r="E12" s="125">
        <v>29</v>
      </c>
      <c r="F12" s="154">
        <f t="shared" si="0"/>
        <v>6</v>
      </c>
      <c r="G12" s="145">
        <f t="shared" si="4"/>
        <v>1.2608695652173914</v>
      </c>
      <c r="H12" s="127">
        <v>30</v>
      </c>
      <c r="I12" s="128"/>
      <c r="J12" s="156">
        <f t="shared" si="1"/>
        <v>30</v>
      </c>
      <c r="K12" s="144">
        <f t="shared" si="2"/>
        <v>1</v>
      </c>
      <c r="L12" s="150">
        <f t="shared" si="3"/>
        <v>1.0344827586206897</v>
      </c>
    </row>
    <row r="13" spans="1:12" s="101" customFormat="1" ht="13.5">
      <c r="A13" s="403" t="s">
        <v>30</v>
      </c>
      <c r="B13" s="404"/>
      <c r="C13" s="404"/>
      <c r="D13" s="125">
        <v>827</v>
      </c>
      <c r="E13" s="125">
        <v>706</v>
      </c>
      <c r="F13" s="154">
        <f t="shared" si="0"/>
        <v>-121</v>
      </c>
      <c r="G13" s="145">
        <f t="shared" si="4"/>
        <v>0.8536880290205562</v>
      </c>
      <c r="H13" s="127">
        <v>721</v>
      </c>
      <c r="I13" s="128"/>
      <c r="J13" s="156">
        <f t="shared" si="1"/>
        <v>721</v>
      </c>
      <c r="K13" s="144">
        <f t="shared" si="2"/>
        <v>15</v>
      </c>
      <c r="L13" s="150">
        <f t="shared" si="3"/>
        <v>1.0212464589235128</v>
      </c>
    </row>
    <row r="14" spans="1:12" s="101" customFormat="1" ht="13.5">
      <c r="A14" s="403" t="s">
        <v>31</v>
      </c>
      <c r="B14" s="404"/>
      <c r="C14" s="404"/>
      <c r="D14" s="125">
        <v>0</v>
      </c>
      <c r="E14" s="125">
        <v>0</v>
      </c>
      <c r="F14" s="154">
        <f t="shared" si="0"/>
        <v>0</v>
      </c>
      <c r="G14" s="145"/>
      <c r="H14" s="127">
        <v>0</v>
      </c>
      <c r="I14" s="128"/>
      <c r="J14" s="156">
        <f t="shared" si="1"/>
        <v>0</v>
      </c>
      <c r="K14" s="144">
        <f t="shared" si="2"/>
        <v>0</v>
      </c>
      <c r="L14" s="150"/>
    </row>
    <row r="15" spans="1:14" s="101" customFormat="1" ht="13.5">
      <c r="A15" s="403" t="s">
        <v>32</v>
      </c>
      <c r="B15" s="404"/>
      <c r="C15" s="404"/>
      <c r="D15" s="125">
        <v>19</v>
      </c>
      <c r="E15" s="125">
        <v>24</v>
      </c>
      <c r="F15" s="154">
        <f t="shared" si="0"/>
        <v>5</v>
      </c>
      <c r="G15" s="145">
        <f t="shared" si="4"/>
        <v>1.263157894736842</v>
      </c>
      <c r="H15" s="127">
        <v>15</v>
      </c>
      <c r="I15" s="128"/>
      <c r="J15" s="156">
        <f t="shared" si="1"/>
        <v>15</v>
      </c>
      <c r="K15" s="144">
        <f t="shared" si="2"/>
        <v>-9</v>
      </c>
      <c r="L15" s="150">
        <f t="shared" si="3"/>
        <v>0.625</v>
      </c>
      <c r="N15" s="129"/>
    </row>
    <row r="16" spans="1:12" s="101" customFormat="1" ht="13.5">
      <c r="A16" s="401" t="s">
        <v>33</v>
      </c>
      <c r="B16" s="402"/>
      <c r="C16" s="402"/>
      <c r="D16" s="125">
        <v>1</v>
      </c>
      <c r="E16" s="125">
        <v>2</v>
      </c>
      <c r="F16" s="154">
        <f t="shared" si="0"/>
        <v>1</v>
      </c>
      <c r="G16" s="145">
        <f t="shared" si="4"/>
        <v>2</v>
      </c>
      <c r="H16" s="127">
        <v>2</v>
      </c>
      <c r="I16" s="128"/>
      <c r="J16" s="156">
        <f t="shared" si="1"/>
        <v>2</v>
      </c>
      <c r="K16" s="144">
        <f t="shared" si="2"/>
        <v>0</v>
      </c>
      <c r="L16" s="150">
        <f t="shared" si="3"/>
        <v>1</v>
      </c>
    </row>
    <row r="17" spans="1:12" s="101" customFormat="1" ht="13.5">
      <c r="A17" s="401" t="s">
        <v>34</v>
      </c>
      <c r="B17" s="402"/>
      <c r="C17" s="402"/>
      <c r="D17" s="125">
        <v>0</v>
      </c>
      <c r="E17" s="125">
        <v>0</v>
      </c>
      <c r="F17" s="154">
        <f t="shared" si="0"/>
        <v>0</v>
      </c>
      <c r="G17" s="145"/>
      <c r="H17" s="127">
        <v>0</v>
      </c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405" t="s">
        <v>35</v>
      </c>
      <c r="B18" s="406"/>
      <c r="C18" s="406"/>
      <c r="D18" s="125">
        <v>23</v>
      </c>
      <c r="E18" s="125">
        <v>96</v>
      </c>
      <c r="F18" s="154">
        <f t="shared" si="0"/>
        <v>73</v>
      </c>
      <c r="G18" s="145">
        <f t="shared" si="4"/>
        <v>4.173913043478261</v>
      </c>
      <c r="H18" s="127">
        <v>28</v>
      </c>
      <c r="I18" s="128"/>
      <c r="J18" s="156">
        <f t="shared" si="1"/>
        <v>28</v>
      </c>
      <c r="K18" s="144">
        <f t="shared" si="2"/>
        <v>-68</v>
      </c>
      <c r="L18" s="150">
        <f t="shared" si="3"/>
        <v>0.2916666666666667</v>
      </c>
    </row>
    <row r="19" spans="1:12" s="101" customFormat="1" ht="13.5">
      <c r="A19" s="401" t="s">
        <v>36</v>
      </c>
      <c r="B19" s="402"/>
      <c r="C19" s="402"/>
      <c r="D19" s="125">
        <v>0</v>
      </c>
      <c r="E19" s="125">
        <v>0</v>
      </c>
      <c r="F19" s="154">
        <f t="shared" si="0"/>
        <v>0</v>
      </c>
      <c r="G19" s="145"/>
      <c r="H19" s="127">
        <v>0</v>
      </c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401" t="s">
        <v>37</v>
      </c>
      <c r="B20" s="402"/>
      <c r="C20" s="402"/>
      <c r="D20" s="125">
        <v>0</v>
      </c>
      <c r="E20" s="138">
        <v>0</v>
      </c>
      <c r="F20" s="154">
        <f t="shared" si="0"/>
        <v>0</v>
      </c>
      <c r="G20" s="145"/>
      <c r="H20" s="122">
        <v>0</v>
      </c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407" t="s">
        <v>38</v>
      </c>
      <c r="B21" s="408"/>
      <c r="C21" s="408"/>
      <c r="D21" s="125">
        <v>10</v>
      </c>
      <c r="E21" s="125">
        <v>66</v>
      </c>
      <c r="F21" s="154">
        <f t="shared" si="0"/>
        <v>56</v>
      </c>
      <c r="G21" s="145">
        <f t="shared" si="4"/>
        <v>6.6</v>
      </c>
      <c r="H21" s="127">
        <v>20</v>
      </c>
      <c r="I21" s="128"/>
      <c r="J21" s="156">
        <f t="shared" si="1"/>
        <v>20</v>
      </c>
      <c r="K21" s="144">
        <f t="shared" si="2"/>
        <v>-46</v>
      </c>
      <c r="L21" s="150">
        <f t="shared" si="3"/>
        <v>0.30303030303030304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407" t="s">
        <v>160</v>
      </c>
      <c r="B22" s="409"/>
      <c r="C22" s="409"/>
      <c r="D22" s="125">
        <v>10</v>
      </c>
      <c r="E22" s="125">
        <v>0</v>
      </c>
      <c r="F22" s="154">
        <f t="shared" si="0"/>
        <v>-10</v>
      </c>
      <c r="G22" s="145">
        <f t="shared" si="4"/>
        <v>0</v>
      </c>
      <c r="H22" s="366">
        <v>20</v>
      </c>
      <c r="I22" s="128"/>
      <c r="J22" s="156">
        <f t="shared" si="1"/>
        <v>20</v>
      </c>
      <c r="K22" s="144">
        <f t="shared" si="2"/>
        <v>20</v>
      </c>
      <c r="L22" s="150"/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407" t="s">
        <v>161</v>
      </c>
      <c r="B23" s="409"/>
      <c r="C23" s="409"/>
      <c r="D23" s="125">
        <v>0</v>
      </c>
      <c r="E23" s="125">
        <v>0</v>
      </c>
      <c r="F23" s="154">
        <f t="shared" si="0"/>
        <v>0</v>
      </c>
      <c r="G23" s="145"/>
      <c r="H23" s="366">
        <v>0</v>
      </c>
      <c r="I23" s="128"/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407" t="s">
        <v>162</v>
      </c>
      <c r="B24" s="409"/>
      <c r="C24" s="409"/>
      <c r="D24" s="125">
        <v>0</v>
      </c>
      <c r="E24" s="125">
        <v>66</v>
      </c>
      <c r="F24" s="154">
        <f t="shared" si="0"/>
        <v>66</v>
      </c>
      <c r="G24" s="145"/>
      <c r="H24" s="366">
        <v>0</v>
      </c>
      <c r="I24" s="128"/>
      <c r="J24" s="156">
        <f t="shared" si="1"/>
        <v>0</v>
      </c>
      <c r="K24" s="144">
        <f t="shared" si="2"/>
        <v>-66</v>
      </c>
      <c r="L24" s="150">
        <f t="shared" si="3"/>
        <v>0</v>
      </c>
    </row>
    <row r="25" spans="1:12" s="101" customFormat="1" ht="13.5">
      <c r="A25" s="407" t="s">
        <v>163</v>
      </c>
      <c r="B25" s="409"/>
      <c r="C25" s="409"/>
      <c r="D25" s="125">
        <v>0</v>
      </c>
      <c r="E25" s="125">
        <v>0</v>
      </c>
      <c r="F25" s="154">
        <f t="shared" si="0"/>
        <v>0</v>
      </c>
      <c r="G25" s="145"/>
      <c r="H25" s="366">
        <v>0</v>
      </c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405" t="s">
        <v>39</v>
      </c>
      <c r="B26" s="406"/>
      <c r="C26" s="406"/>
      <c r="D26" s="125">
        <v>3</v>
      </c>
      <c r="E26" s="125">
        <v>16</v>
      </c>
      <c r="F26" s="154">
        <f t="shared" si="0"/>
        <v>13</v>
      </c>
      <c r="G26" s="145">
        <f t="shared" si="4"/>
        <v>5.333333333333333</v>
      </c>
      <c r="H26" s="366">
        <v>10</v>
      </c>
      <c r="I26" s="128"/>
      <c r="J26" s="156">
        <f t="shared" si="1"/>
        <v>10</v>
      </c>
      <c r="K26" s="144">
        <f t="shared" si="2"/>
        <v>-6</v>
      </c>
      <c r="L26" s="150">
        <f t="shared" si="3"/>
        <v>0.625</v>
      </c>
    </row>
    <row r="27" spans="1:12" s="101" customFormat="1" ht="13.5">
      <c r="A27" s="401" t="s">
        <v>40</v>
      </c>
      <c r="B27" s="402"/>
      <c r="C27" s="402"/>
      <c r="D27" s="125">
        <v>1</v>
      </c>
      <c r="E27" s="125">
        <v>16</v>
      </c>
      <c r="F27" s="154">
        <f t="shared" si="0"/>
        <v>15</v>
      </c>
      <c r="G27" s="145">
        <f t="shared" si="4"/>
        <v>16</v>
      </c>
      <c r="H27" s="366">
        <v>10</v>
      </c>
      <c r="I27" s="128"/>
      <c r="J27" s="156">
        <f t="shared" si="1"/>
        <v>10</v>
      </c>
      <c r="K27" s="144">
        <f t="shared" si="2"/>
        <v>-6</v>
      </c>
      <c r="L27" s="150">
        <f t="shared" si="3"/>
        <v>0.625</v>
      </c>
    </row>
    <row r="28" spans="1:12" s="101" customFormat="1" ht="13.5">
      <c r="A28" s="401" t="s">
        <v>41</v>
      </c>
      <c r="B28" s="402"/>
      <c r="C28" s="402"/>
      <c r="D28" s="125">
        <v>0</v>
      </c>
      <c r="E28" s="125">
        <v>0</v>
      </c>
      <c r="F28" s="154">
        <f t="shared" si="0"/>
        <v>0</v>
      </c>
      <c r="G28" s="145"/>
      <c r="H28" s="366">
        <v>0</v>
      </c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405" t="s">
        <v>42</v>
      </c>
      <c r="B29" s="406"/>
      <c r="C29" s="406"/>
      <c r="D29" s="125">
        <v>8628</v>
      </c>
      <c r="E29" s="138">
        <v>10628</v>
      </c>
      <c r="F29" s="154">
        <f t="shared" si="0"/>
        <v>2000</v>
      </c>
      <c r="G29" s="145">
        <f t="shared" si="4"/>
        <v>1.2318034306907741</v>
      </c>
      <c r="H29" s="367">
        <f>H30+H31+H32+H33</f>
        <v>11790</v>
      </c>
      <c r="I29" s="123"/>
      <c r="J29" s="156">
        <f t="shared" si="1"/>
        <v>11790</v>
      </c>
      <c r="K29" s="144">
        <f t="shared" si="2"/>
        <v>1162</v>
      </c>
      <c r="L29" s="150">
        <f t="shared" si="3"/>
        <v>1.1093338351524276</v>
      </c>
    </row>
    <row r="30" spans="1:14" s="101" customFormat="1" ht="13.5">
      <c r="A30" s="403" t="s">
        <v>164</v>
      </c>
      <c r="B30" s="404"/>
      <c r="C30" s="404"/>
      <c r="D30" s="131">
        <v>1001</v>
      </c>
      <c r="E30" s="131">
        <v>1701</v>
      </c>
      <c r="F30" s="155">
        <f t="shared" si="0"/>
        <v>700</v>
      </c>
      <c r="G30" s="147">
        <f t="shared" si="4"/>
        <v>1.6993006993006994</v>
      </c>
      <c r="H30" s="363">
        <v>1401</v>
      </c>
      <c r="I30" s="133"/>
      <c r="J30" s="157">
        <f t="shared" si="1"/>
        <v>1401</v>
      </c>
      <c r="K30" s="146">
        <f t="shared" si="2"/>
        <v>-300</v>
      </c>
      <c r="L30" s="151">
        <f t="shared" si="3"/>
        <v>0.8236331569664903</v>
      </c>
      <c r="N30" s="129"/>
    </row>
    <row r="31" spans="1:12" s="101" customFormat="1" ht="13.5">
      <c r="A31" s="403" t="s">
        <v>43</v>
      </c>
      <c r="B31" s="404"/>
      <c r="C31" s="404"/>
      <c r="D31" s="125">
        <v>7627</v>
      </c>
      <c r="E31" s="125">
        <v>8927</v>
      </c>
      <c r="F31" s="154">
        <f t="shared" si="0"/>
        <v>1300</v>
      </c>
      <c r="G31" s="145">
        <f t="shared" si="4"/>
        <v>1.1704470958437132</v>
      </c>
      <c r="H31" s="127">
        <v>10389</v>
      </c>
      <c r="I31" s="128"/>
      <c r="J31" s="156">
        <f t="shared" si="1"/>
        <v>10389</v>
      </c>
      <c r="K31" s="144">
        <f t="shared" si="2"/>
        <v>1462</v>
      </c>
      <c r="L31" s="150">
        <f t="shared" si="3"/>
        <v>1.163772824017027</v>
      </c>
    </row>
    <row r="32" spans="1:12" s="101" customFormat="1" ht="13.5">
      <c r="A32" s="401" t="s">
        <v>44</v>
      </c>
      <c r="B32" s="402"/>
      <c r="C32" s="402"/>
      <c r="D32" s="138">
        <v>0</v>
      </c>
      <c r="E32" s="138">
        <v>0</v>
      </c>
      <c r="F32" s="154">
        <f t="shared" si="0"/>
        <v>0</v>
      </c>
      <c r="G32" s="145"/>
      <c r="H32" s="122">
        <v>0</v>
      </c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403" t="s">
        <v>45</v>
      </c>
      <c r="B33" s="404"/>
      <c r="C33" s="404"/>
      <c r="D33" s="153">
        <v>0</v>
      </c>
      <c r="E33" s="153">
        <v>0</v>
      </c>
      <c r="F33" s="154">
        <f t="shared" si="0"/>
        <v>0</v>
      </c>
      <c r="G33" s="145"/>
      <c r="H33" s="158">
        <v>0</v>
      </c>
      <c r="I33" s="159"/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410" t="s">
        <v>46</v>
      </c>
      <c r="B34" s="411"/>
      <c r="C34" s="411"/>
      <c r="D34" s="171">
        <v>21848</v>
      </c>
      <c r="E34" s="172">
        <v>23788</v>
      </c>
      <c r="F34" s="173">
        <f t="shared" si="0"/>
        <v>1940</v>
      </c>
      <c r="G34" s="174">
        <f t="shared" si="4"/>
        <v>1.0887953130721348</v>
      </c>
      <c r="H34" s="172">
        <f>H29+H26+H18+H9+H8+H21</f>
        <v>24822</v>
      </c>
      <c r="I34" s="172"/>
      <c r="J34" s="175">
        <f t="shared" si="1"/>
        <v>24822</v>
      </c>
      <c r="K34" s="173">
        <f t="shared" si="2"/>
        <v>1034</v>
      </c>
      <c r="L34" s="176">
        <f t="shared" si="3"/>
        <v>1.0434672944341685</v>
      </c>
    </row>
    <row r="35" spans="1:12" s="101" customFormat="1" ht="13.5">
      <c r="A35" s="412" t="s">
        <v>47</v>
      </c>
      <c r="B35" s="413"/>
      <c r="C35" s="413"/>
      <c r="D35" s="135">
        <v>1060</v>
      </c>
      <c r="E35" s="136">
        <v>628</v>
      </c>
      <c r="F35" s="148">
        <f t="shared" si="0"/>
        <v>-432</v>
      </c>
      <c r="G35" s="149">
        <f t="shared" si="4"/>
        <v>0.5924528301886792</v>
      </c>
      <c r="H35" s="137">
        <f>H36+H37+H38+H39+H40+H41+H42+H43+H44+H45</f>
        <v>902</v>
      </c>
      <c r="I35" s="137"/>
      <c r="J35" s="134">
        <f t="shared" si="1"/>
        <v>902</v>
      </c>
      <c r="K35" s="148">
        <f t="shared" si="2"/>
        <v>274</v>
      </c>
      <c r="L35" s="152">
        <f t="shared" si="3"/>
        <v>1.4363057324840764</v>
      </c>
    </row>
    <row r="36" spans="1:12" s="101" customFormat="1" ht="13.5">
      <c r="A36" s="403" t="s">
        <v>48</v>
      </c>
      <c r="B36" s="404"/>
      <c r="C36" s="404"/>
      <c r="D36" s="125">
        <v>0</v>
      </c>
      <c r="E36" s="126">
        <v>52</v>
      </c>
      <c r="F36" s="144">
        <f t="shared" si="0"/>
        <v>52</v>
      </c>
      <c r="G36" s="145"/>
      <c r="H36" s="127">
        <v>102</v>
      </c>
      <c r="I36" s="128"/>
      <c r="J36" s="124">
        <f t="shared" si="1"/>
        <v>102</v>
      </c>
      <c r="K36" s="144">
        <f t="shared" si="2"/>
        <v>50</v>
      </c>
      <c r="L36" s="150">
        <f t="shared" si="3"/>
        <v>1.9615384615384615</v>
      </c>
    </row>
    <row r="37" spans="1:12" s="101" customFormat="1" ht="13.5">
      <c r="A37" s="403" t="s">
        <v>49</v>
      </c>
      <c r="B37" s="404"/>
      <c r="C37" s="404"/>
      <c r="D37" s="125">
        <v>75</v>
      </c>
      <c r="E37" s="126">
        <v>77</v>
      </c>
      <c r="F37" s="144">
        <f t="shared" si="0"/>
        <v>2</v>
      </c>
      <c r="G37" s="145">
        <f t="shared" si="4"/>
        <v>1.0266666666666666</v>
      </c>
      <c r="H37" s="127">
        <v>90</v>
      </c>
      <c r="I37" s="128"/>
      <c r="J37" s="124">
        <f t="shared" si="1"/>
        <v>90</v>
      </c>
      <c r="K37" s="144">
        <f t="shared" si="2"/>
        <v>13</v>
      </c>
      <c r="L37" s="150">
        <f t="shared" si="3"/>
        <v>1.1688311688311688</v>
      </c>
    </row>
    <row r="38" spans="1:12" s="101" customFormat="1" ht="13.5">
      <c r="A38" s="403" t="s">
        <v>50</v>
      </c>
      <c r="B38" s="404"/>
      <c r="C38" s="404"/>
      <c r="D38" s="138">
        <v>110</v>
      </c>
      <c r="E38" s="130">
        <v>32</v>
      </c>
      <c r="F38" s="144">
        <f t="shared" si="0"/>
        <v>-78</v>
      </c>
      <c r="G38" s="145">
        <f t="shared" si="4"/>
        <v>0.2909090909090909</v>
      </c>
      <c r="H38" s="122">
        <v>30</v>
      </c>
      <c r="I38" s="123"/>
      <c r="J38" s="124">
        <f t="shared" si="1"/>
        <v>30</v>
      </c>
      <c r="K38" s="144">
        <f t="shared" si="2"/>
        <v>-2</v>
      </c>
      <c r="L38" s="150">
        <f t="shared" si="3"/>
        <v>0.9375</v>
      </c>
    </row>
    <row r="39" spans="1:12" s="101" customFormat="1" ht="13.5">
      <c r="A39" s="403" t="s">
        <v>51</v>
      </c>
      <c r="B39" s="404"/>
      <c r="C39" s="404"/>
      <c r="D39" s="125">
        <v>15</v>
      </c>
      <c r="E39" s="126">
        <v>16</v>
      </c>
      <c r="F39" s="144">
        <f t="shared" si="0"/>
        <v>1</v>
      </c>
      <c r="G39" s="145">
        <f t="shared" si="4"/>
        <v>1.0666666666666667</v>
      </c>
      <c r="H39" s="127">
        <v>15</v>
      </c>
      <c r="I39" s="128"/>
      <c r="J39" s="124">
        <f t="shared" si="1"/>
        <v>15</v>
      </c>
      <c r="K39" s="144">
        <f t="shared" si="2"/>
        <v>-1</v>
      </c>
      <c r="L39" s="150">
        <f t="shared" si="3"/>
        <v>0.9375</v>
      </c>
    </row>
    <row r="40" spans="1:12" s="101" customFormat="1" ht="13.5">
      <c r="A40" s="403" t="s">
        <v>52</v>
      </c>
      <c r="B40" s="404"/>
      <c r="C40" s="404"/>
      <c r="D40" s="125">
        <v>11</v>
      </c>
      <c r="E40" s="126">
        <v>19</v>
      </c>
      <c r="F40" s="144">
        <f t="shared" si="0"/>
        <v>8</v>
      </c>
      <c r="G40" s="145">
        <f t="shared" si="4"/>
        <v>1.7272727272727273</v>
      </c>
      <c r="H40" s="127">
        <v>30</v>
      </c>
      <c r="I40" s="128"/>
      <c r="J40" s="124">
        <f t="shared" si="1"/>
        <v>30</v>
      </c>
      <c r="K40" s="144">
        <f t="shared" si="2"/>
        <v>11</v>
      </c>
      <c r="L40" s="150">
        <f t="shared" si="3"/>
        <v>1.5789473684210527</v>
      </c>
    </row>
    <row r="41" spans="1:14" s="101" customFormat="1" ht="13.5">
      <c r="A41" s="403" t="s">
        <v>53</v>
      </c>
      <c r="B41" s="404"/>
      <c r="C41" s="404"/>
      <c r="D41" s="125">
        <v>60</v>
      </c>
      <c r="E41" s="126">
        <v>42</v>
      </c>
      <c r="F41" s="144">
        <f t="shared" si="0"/>
        <v>-18</v>
      </c>
      <c r="G41" s="145">
        <f t="shared" si="4"/>
        <v>0.7</v>
      </c>
      <c r="H41" s="127">
        <v>60</v>
      </c>
      <c r="I41" s="128"/>
      <c r="J41" s="124">
        <f t="shared" si="1"/>
        <v>60</v>
      </c>
      <c r="K41" s="144">
        <f t="shared" si="2"/>
        <v>18</v>
      </c>
      <c r="L41" s="150">
        <f t="shared" si="3"/>
        <v>1.4285714285714286</v>
      </c>
      <c r="N41" s="129"/>
    </row>
    <row r="42" spans="1:12" s="101" customFormat="1" ht="13.5">
      <c r="A42" s="403" t="s">
        <v>54</v>
      </c>
      <c r="B42" s="404"/>
      <c r="C42" s="404"/>
      <c r="D42" s="125">
        <v>145</v>
      </c>
      <c r="E42" s="126">
        <v>149</v>
      </c>
      <c r="F42" s="144">
        <f t="shared" si="0"/>
        <v>4</v>
      </c>
      <c r="G42" s="145">
        <f t="shared" si="4"/>
        <v>1.0275862068965518</v>
      </c>
      <c r="H42" s="127">
        <v>155</v>
      </c>
      <c r="I42" s="128"/>
      <c r="J42" s="124">
        <f t="shared" si="1"/>
        <v>155</v>
      </c>
      <c r="K42" s="144">
        <f t="shared" si="2"/>
        <v>6</v>
      </c>
      <c r="L42" s="150">
        <f t="shared" si="3"/>
        <v>1.0402684563758389</v>
      </c>
    </row>
    <row r="43" spans="1:14" s="101" customFormat="1" ht="13.5">
      <c r="A43" s="403" t="s">
        <v>166</v>
      </c>
      <c r="B43" s="404"/>
      <c r="C43" s="404"/>
      <c r="D43" s="125">
        <v>0</v>
      </c>
      <c r="E43" s="126">
        <v>0</v>
      </c>
      <c r="F43" s="144">
        <f t="shared" si="0"/>
        <v>0</v>
      </c>
      <c r="G43" s="145"/>
      <c r="H43" s="127">
        <v>0</v>
      </c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403" t="s">
        <v>167</v>
      </c>
      <c r="B44" s="404"/>
      <c r="C44" s="404"/>
      <c r="D44" s="125">
        <v>286</v>
      </c>
      <c r="E44" s="126">
        <v>0</v>
      </c>
      <c r="F44" s="144">
        <f t="shared" si="0"/>
        <v>-286</v>
      </c>
      <c r="G44" s="145">
        <f t="shared" si="4"/>
        <v>0</v>
      </c>
      <c r="H44" s="127">
        <v>200</v>
      </c>
      <c r="I44" s="128"/>
      <c r="J44" s="124">
        <f t="shared" si="1"/>
        <v>200</v>
      </c>
      <c r="K44" s="144">
        <f t="shared" si="2"/>
        <v>200</v>
      </c>
      <c r="L44" s="150"/>
    </row>
    <row r="45" spans="1:12" s="101" customFormat="1" ht="13.5">
      <c r="A45" s="403" t="s">
        <v>55</v>
      </c>
      <c r="B45" s="404"/>
      <c r="C45" s="404"/>
      <c r="D45" s="125">
        <f>D35-D36-D37-D38-D39-D40-D41-D42-D43-D44</f>
        <v>358</v>
      </c>
      <c r="E45" s="126">
        <f>E35-E36-E37-E38-E39-E40-E41-E42-E43-E44</f>
        <v>241</v>
      </c>
      <c r="F45" s="144">
        <f t="shared" si="0"/>
        <v>-117</v>
      </c>
      <c r="G45" s="145">
        <f t="shared" si="4"/>
        <v>0.6731843575418994</v>
      </c>
      <c r="H45" s="127">
        <v>220</v>
      </c>
      <c r="I45" s="128"/>
      <c r="J45" s="124">
        <f t="shared" si="1"/>
        <v>220</v>
      </c>
      <c r="K45" s="144">
        <f t="shared" si="2"/>
        <v>-21</v>
      </c>
      <c r="L45" s="150">
        <f t="shared" si="3"/>
        <v>0.9128630705394191</v>
      </c>
    </row>
    <row r="46" spans="1:14" s="101" customFormat="1" ht="13.5">
      <c r="A46" s="412" t="s">
        <v>56</v>
      </c>
      <c r="B46" s="413"/>
      <c r="C46" s="413"/>
      <c r="D46" s="125">
        <v>1491</v>
      </c>
      <c r="E46" s="126">
        <v>1888</v>
      </c>
      <c r="F46" s="144">
        <f t="shared" si="0"/>
        <v>397</v>
      </c>
      <c r="G46" s="145">
        <f t="shared" si="4"/>
        <v>1.2662642521797451</v>
      </c>
      <c r="H46" s="127">
        <f>H49+H48+H47</f>
        <v>1949</v>
      </c>
      <c r="I46" s="127"/>
      <c r="J46" s="124">
        <f t="shared" si="1"/>
        <v>1949</v>
      </c>
      <c r="K46" s="144">
        <f t="shared" si="2"/>
        <v>61</v>
      </c>
      <c r="L46" s="150">
        <f t="shared" si="3"/>
        <v>1.0323093220338984</v>
      </c>
      <c r="N46" s="129"/>
    </row>
    <row r="47" spans="1:12" s="101" customFormat="1" ht="13.5">
      <c r="A47" s="403" t="s">
        <v>57</v>
      </c>
      <c r="B47" s="404"/>
      <c r="C47" s="404"/>
      <c r="D47" s="125">
        <v>571</v>
      </c>
      <c r="E47" s="126">
        <v>601</v>
      </c>
      <c r="F47" s="144">
        <f t="shared" si="0"/>
        <v>30</v>
      </c>
      <c r="G47" s="145">
        <f t="shared" si="4"/>
        <v>1.052539404553415</v>
      </c>
      <c r="H47" s="127">
        <v>626</v>
      </c>
      <c r="I47" s="128"/>
      <c r="J47" s="124">
        <f t="shared" si="1"/>
        <v>626</v>
      </c>
      <c r="K47" s="144">
        <f t="shared" si="2"/>
        <v>25</v>
      </c>
      <c r="L47" s="150">
        <f t="shared" si="3"/>
        <v>1.0415973377703827</v>
      </c>
    </row>
    <row r="48" spans="1:12" s="101" customFormat="1" ht="13.5">
      <c r="A48" s="403" t="s">
        <v>58</v>
      </c>
      <c r="B48" s="404"/>
      <c r="C48" s="404"/>
      <c r="D48" s="125">
        <v>748</v>
      </c>
      <c r="E48" s="126">
        <v>937</v>
      </c>
      <c r="F48" s="144">
        <f t="shared" si="0"/>
        <v>189</v>
      </c>
      <c r="G48" s="145">
        <f t="shared" si="4"/>
        <v>1.2526737967914439</v>
      </c>
      <c r="H48" s="127">
        <v>943</v>
      </c>
      <c r="I48" s="128"/>
      <c r="J48" s="124">
        <f t="shared" si="1"/>
        <v>943</v>
      </c>
      <c r="K48" s="144">
        <f t="shared" si="2"/>
        <v>6</v>
      </c>
      <c r="L48" s="150">
        <f t="shared" si="3"/>
        <v>1.0064034151547492</v>
      </c>
    </row>
    <row r="49" spans="1:12" s="101" customFormat="1" ht="13.5">
      <c r="A49" s="403" t="s">
        <v>59</v>
      </c>
      <c r="B49" s="404"/>
      <c r="C49" s="404"/>
      <c r="D49" s="125">
        <v>325</v>
      </c>
      <c r="E49" s="126">
        <v>350</v>
      </c>
      <c r="F49" s="144">
        <f t="shared" si="0"/>
        <v>25</v>
      </c>
      <c r="G49" s="145">
        <f t="shared" si="4"/>
        <v>1.0769230769230769</v>
      </c>
      <c r="H49" s="127">
        <v>380</v>
      </c>
      <c r="I49" s="128"/>
      <c r="J49" s="124">
        <f t="shared" si="1"/>
        <v>380</v>
      </c>
      <c r="K49" s="144">
        <f t="shared" si="2"/>
        <v>30</v>
      </c>
      <c r="L49" s="150">
        <f t="shared" si="3"/>
        <v>1.0857142857142856</v>
      </c>
    </row>
    <row r="50" spans="1:12" s="101" customFormat="1" ht="13.5">
      <c r="A50" s="403" t="s">
        <v>168</v>
      </c>
      <c r="B50" s="404"/>
      <c r="C50" s="404"/>
      <c r="D50" s="125">
        <v>0</v>
      </c>
      <c r="E50" s="126">
        <v>0</v>
      </c>
      <c r="F50" s="144">
        <f t="shared" si="0"/>
        <v>0</v>
      </c>
      <c r="G50" s="145"/>
      <c r="H50" s="127">
        <v>0</v>
      </c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412" t="s">
        <v>60</v>
      </c>
      <c r="B51" s="413"/>
      <c r="C51" s="413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412" t="s">
        <v>61</v>
      </c>
      <c r="B52" s="413"/>
      <c r="C52" s="413"/>
      <c r="D52" s="125">
        <v>0</v>
      </c>
      <c r="E52" s="126">
        <v>-9</v>
      </c>
      <c r="F52" s="144">
        <f t="shared" si="0"/>
        <v>-9</v>
      </c>
      <c r="G52" s="145"/>
      <c r="H52" s="127">
        <v>-10</v>
      </c>
      <c r="I52" s="128"/>
      <c r="J52" s="124">
        <f t="shared" si="1"/>
        <v>-10</v>
      </c>
      <c r="K52" s="144">
        <f t="shared" si="2"/>
        <v>-1</v>
      </c>
      <c r="L52" s="150">
        <f t="shared" si="3"/>
        <v>1.1111111111111112</v>
      </c>
    </row>
    <row r="53" spans="1:12" s="101" customFormat="1" ht="13.5">
      <c r="A53" s="412" t="s">
        <v>62</v>
      </c>
      <c r="B53" s="413"/>
      <c r="C53" s="413"/>
      <c r="D53" s="125">
        <v>373</v>
      </c>
      <c r="E53" s="126">
        <v>300</v>
      </c>
      <c r="F53" s="144">
        <f t="shared" si="0"/>
        <v>-73</v>
      </c>
      <c r="G53" s="145">
        <f t="shared" si="4"/>
        <v>0.8042895442359249</v>
      </c>
      <c r="H53" s="127">
        <f>H56+H55+H54</f>
        <v>430</v>
      </c>
      <c r="I53" s="128"/>
      <c r="J53" s="124">
        <f t="shared" si="1"/>
        <v>430</v>
      </c>
      <c r="K53" s="144">
        <f t="shared" si="2"/>
        <v>130</v>
      </c>
      <c r="L53" s="150">
        <f t="shared" si="3"/>
        <v>1.4333333333333333</v>
      </c>
    </row>
    <row r="54" spans="1:12" s="101" customFormat="1" ht="13.5">
      <c r="A54" s="414" t="s">
        <v>63</v>
      </c>
      <c r="B54" s="415"/>
      <c r="C54" s="415"/>
      <c r="D54" s="125">
        <v>284</v>
      </c>
      <c r="E54" s="126">
        <v>206</v>
      </c>
      <c r="F54" s="144">
        <f t="shared" si="0"/>
        <v>-78</v>
      </c>
      <c r="G54" s="145">
        <f t="shared" si="4"/>
        <v>0.7253521126760564</v>
      </c>
      <c r="H54" s="127">
        <v>335</v>
      </c>
      <c r="I54" s="128"/>
      <c r="J54" s="124">
        <f t="shared" si="1"/>
        <v>335</v>
      </c>
      <c r="K54" s="144">
        <f t="shared" si="2"/>
        <v>129</v>
      </c>
      <c r="L54" s="150">
        <f t="shared" si="3"/>
        <v>1.6262135922330097</v>
      </c>
    </row>
    <row r="55" spans="1:12" s="101" customFormat="1" ht="13.5">
      <c r="A55" s="414" t="s">
        <v>169</v>
      </c>
      <c r="B55" s="415"/>
      <c r="C55" s="415"/>
      <c r="D55" s="125">
        <v>85</v>
      </c>
      <c r="E55" s="126">
        <v>93</v>
      </c>
      <c r="F55" s="144">
        <f t="shared" si="0"/>
        <v>8</v>
      </c>
      <c r="G55" s="145">
        <f t="shared" si="4"/>
        <v>1.0941176470588236</v>
      </c>
      <c r="H55" s="127">
        <v>85</v>
      </c>
      <c r="I55" s="128"/>
      <c r="J55" s="124">
        <f t="shared" si="1"/>
        <v>85</v>
      </c>
      <c r="K55" s="144">
        <f t="shared" si="2"/>
        <v>-8</v>
      </c>
      <c r="L55" s="150">
        <f t="shared" si="3"/>
        <v>0.9139784946236559</v>
      </c>
    </row>
    <row r="56" spans="1:12" s="101" customFormat="1" ht="13.5">
      <c r="A56" s="414" t="s">
        <v>133</v>
      </c>
      <c r="B56" s="415"/>
      <c r="C56" s="415"/>
      <c r="D56" s="125">
        <v>4</v>
      </c>
      <c r="E56" s="126">
        <v>1</v>
      </c>
      <c r="F56" s="144">
        <f t="shared" si="0"/>
        <v>-3</v>
      </c>
      <c r="G56" s="145">
        <f t="shared" si="4"/>
        <v>0.25</v>
      </c>
      <c r="H56" s="127">
        <v>10</v>
      </c>
      <c r="I56" s="128"/>
      <c r="J56" s="124">
        <f t="shared" si="1"/>
        <v>10</v>
      </c>
      <c r="K56" s="144">
        <f t="shared" si="2"/>
        <v>9</v>
      </c>
      <c r="L56" s="150">
        <f t="shared" si="3"/>
        <v>10</v>
      </c>
    </row>
    <row r="57" spans="1:12" s="101" customFormat="1" ht="13.5">
      <c r="A57" s="412" t="s">
        <v>64</v>
      </c>
      <c r="B57" s="413"/>
      <c r="C57" s="413"/>
      <c r="D57" s="125">
        <v>41</v>
      </c>
      <c r="E57" s="126">
        <v>39</v>
      </c>
      <c r="F57" s="144">
        <f t="shared" si="0"/>
        <v>-2</v>
      </c>
      <c r="G57" s="145">
        <f t="shared" si="4"/>
        <v>0.9512195121951219</v>
      </c>
      <c r="H57" s="127">
        <v>50</v>
      </c>
      <c r="I57" s="128"/>
      <c r="J57" s="124">
        <f t="shared" si="1"/>
        <v>50</v>
      </c>
      <c r="K57" s="144">
        <f t="shared" si="2"/>
        <v>11</v>
      </c>
      <c r="L57" s="150">
        <f t="shared" si="3"/>
        <v>1.2820512820512822</v>
      </c>
    </row>
    <row r="58" spans="1:12" s="101" customFormat="1" ht="13.5">
      <c r="A58" s="412" t="s">
        <v>65</v>
      </c>
      <c r="B58" s="413"/>
      <c r="C58" s="413"/>
      <c r="D58" s="125">
        <v>5</v>
      </c>
      <c r="E58" s="126">
        <v>5</v>
      </c>
      <c r="F58" s="144">
        <f t="shared" si="0"/>
        <v>0</v>
      </c>
      <c r="G58" s="145">
        <f t="shared" si="4"/>
        <v>1</v>
      </c>
      <c r="H58" s="127">
        <v>7</v>
      </c>
      <c r="I58" s="128"/>
      <c r="J58" s="124">
        <f t="shared" si="1"/>
        <v>7</v>
      </c>
      <c r="K58" s="144">
        <f t="shared" si="2"/>
        <v>2</v>
      </c>
      <c r="L58" s="150">
        <f t="shared" si="3"/>
        <v>1.4</v>
      </c>
    </row>
    <row r="59" spans="1:14" s="101" customFormat="1" ht="13.5">
      <c r="A59" s="412" t="s">
        <v>66</v>
      </c>
      <c r="B59" s="413"/>
      <c r="C59" s="413"/>
      <c r="D59" s="125">
        <v>4845</v>
      </c>
      <c r="E59" s="126">
        <v>4658</v>
      </c>
      <c r="F59" s="144">
        <f t="shared" si="0"/>
        <v>-187</v>
      </c>
      <c r="G59" s="145">
        <f t="shared" si="4"/>
        <v>0.9614035087719298</v>
      </c>
      <c r="H59" s="127">
        <f>H60+H61+H62+H63+H64+H65+H66+H67</f>
        <v>4571</v>
      </c>
      <c r="I59" s="128"/>
      <c r="J59" s="124">
        <f t="shared" si="1"/>
        <v>4571</v>
      </c>
      <c r="K59" s="144">
        <f t="shared" si="2"/>
        <v>-87</v>
      </c>
      <c r="L59" s="150">
        <f t="shared" si="3"/>
        <v>0.9813224559896951</v>
      </c>
      <c r="N59" s="129"/>
    </row>
    <row r="60" spans="1:12" s="101" customFormat="1" ht="13.5">
      <c r="A60" s="403" t="s">
        <v>67</v>
      </c>
      <c r="B60" s="404"/>
      <c r="C60" s="404"/>
      <c r="D60" s="125">
        <v>38</v>
      </c>
      <c r="E60" s="126">
        <v>45</v>
      </c>
      <c r="F60" s="144">
        <f t="shared" si="0"/>
        <v>7</v>
      </c>
      <c r="G60" s="145">
        <f t="shared" si="4"/>
        <v>1.1842105263157894</v>
      </c>
      <c r="H60" s="127">
        <v>55</v>
      </c>
      <c r="I60" s="128"/>
      <c r="J60" s="124">
        <f t="shared" si="1"/>
        <v>55</v>
      </c>
      <c r="K60" s="144">
        <f t="shared" si="2"/>
        <v>10</v>
      </c>
      <c r="L60" s="150">
        <f t="shared" si="3"/>
        <v>1.2222222222222223</v>
      </c>
    </row>
    <row r="61" spans="1:12" s="101" customFormat="1" ht="13.5">
      <c r="A61" s="403" t="s">
        <v>68</v>
      </c>
      <c r="B61" s="404"/>
      <c r="C61" s="404"/>
      <c r="D61" s="125">
        <v>7</v>
      </c>
      <c r="E61" s="126">
        <v>7</v>
      </c>
      <c r="F61" s="144">
        <f t="shared" si="0"/>
        <v>0</v>
      </c>
      <c r="G61" s="145">
        <f t="shared" si="4"/>
        <v>1</v>
      </c>
      <c r="H61" s="127">
        <v>10</v>
      </c>
      <c r="I61" s="128"/>
      <c r="J61" s="124">
        <f t="shared" si="1"/>
        <v>10</v>
      </c>
      <c r="K61" s="144">
        <f t="shared" si="2"/>
        <v>3</v>
      </c>
      <c r="L61" s="150">
        <f t="shared" si="3"/>
        <v>1.4285714285714286</v>
      </c>
    </row>
    <row r="62" spans="1:12" s="101" customFormat="1" ht="13.5">
      <c r="A62" s="403" t="s">
        <v>69</v>
      </c>
      <c r="B62" s="404"/>
      <c r="C62" s="404"/>
      <c r="D62" s="125">
        <v>0</v>
      </c>
      <c r="E62" s="126">
        <v>0</v>
      </c>
      <c r="F62" s="144">
        <f t="shared" si="0"/>
        <v>0</v>
      </c>
      <c r="G62" s="145"/>
      <c r="H62" s="127">
        <v>0</v>
      </c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403" t="s">
        <v>70</v>
      </c>
      <c r="B63" s="404"/>
      <c r="C63" s="404"/>
      <c r="D63" s="125">
        <v>0</v>
      </c>
      <c r="E63" s="126">
        <v>0</v>
      </c>
      <c r="F63" s="144">
        <f t="shared" si="0"/>
        <v>0</v>
      </c>
      <c r="G63" s="145"/>
      <c r="H63" s="127">
        <v>0</v>
      </c>
      <c r="I63" s="128"/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403" t="s">
        <v>71</v>
      </c>
      <c r="B64" s="404"/>
      <c r="C64" s="404"/>
      <c r="D64" s="125">
        <v>4127</v>
      </c>
      <c r="E64" s="126">
        <v>4075</v>
      </c>
      <c r="F64" s="144">
        <f t="shared" si="0"/>
        <v>-52</v>
      </c>
      <c r="G64" s="145">
        <f t="shared" si="4"/>
        <v>0.9874000484613521</v>
      </c>
      <c r="H64" s="127">
        <v>4010</v>
      </c>
      <c r="I64" s="128"/>
      <c r="J64" s="124">
        <f t="shared" si="1"/>
        <v>4010</v>
      </c>
      <c r="K64" s="144">
        <f t="shared" si="2"/>
        <v>-65</v>
      </c>
      <c r="L64" s="150">
        <f t="shared" si="3"/>
        <v>0.9840490797546012</v>
      </c>
    </row>
    <row r="65" spans="1:12" s="101" customFormat="1" ht="13.5">
      <c r="A65" s="403" t="s">
        <v>170</v>
      </c>
      <c r="B65" s="404"/>
      <c r="C65" s="404"/>
      <c r="D65" s="125">
        <v>75</v>
      </c>
      <c r="E65" s="126">
        <v>80</v>
      </c>
      <c r="F65" s="144">
        <f t="shared" si="0"/>
        <v>5</v>
      </c>
      <c r="G65" s="145">
        <f t="shared" si="4"/>
        <v>1.0666666666666667</v>
      </c>
      <c r="H65" s="127">
        <v>80</v>
      </c>
      <c r="I65" s="128"/>
      <c r="J65" s="124">
        <f t="shared" si="1"/>
        <v>80</v>
      </c>
      <c r="K65" s="144">
        <f t="shared" si="2"/>
        <v>0</v>
      </c>
      <c r="L65" s="150">
        <f t="shared" si="3"/>
        <v>1</v>
      </c>
    </row>
    <row r="66" spans="1:12" s="101" customFormat="1" ht="13.5">
      <c r="A66" s="403" t="s">
        <v>72</v>
      </c>
      <c r="B66" s="404"/>
      <c r="C66" s="404"/>
      <c r="D66" s="125">
        <v>221</v>
      </c>
      <c r="E66" s="126">
        <v>185</v>
      </c>
      <c r="F66" s="144">
        <f t="shared" si="0"/>
        <v>-36</v>
      </c>
      <c r="G66" s="145">
        <f t="shared" si="4"/>
        <v>0.8371040723981901</v>
      </c>
      <c r="H66" s="127">
        <v>187</v>
      </c>
      <c r="I66" s="128"/>
      <c r="J66" s="124">
        <f t="shared" si="1"/>
        <v>187</v>
      </c>
      <c r="K66" s="144">
        <f t="shared" si="2"/>
        <v>2</v>
      </c>
      <c r="L66" s="150">
        <f t="shared" si="3"/>
        <v>1.0108108108108107</v>
      </c>
    </row>
    <row r="67" spans="1:12" s="101" customFormat="1" ht="13.5">
      <c r="A67" s="403" t="s">
        <v>73</v>
      </c>
      <c r="B67" s="404"/>
      <c r="C67" s="404"/>
      <c r="D67" s="125">
        <v>377</v>
      </c>
      <c r="E67" s="126">
        <v>266</v>
      </c>
      <c r="F67" s="144">
        <f t="shared" si="0"/>
        <v>-111</v>
      </c>
      <c r="G67" s="145">
        <f>E67/D67</f>
        <v>0.7055702917771883</v>
      </c>
      <c r="H67" s="127">
        <v>229</v>
      </c>
      <c r="I67" s="128"/>
      <c r="J67" s="124">
        <f t="shared" si="1"/>
        <v>229</v>
      </c>
      <c r="K67" s="144">
        <f t="shared" si="2"/>
        <v>-37</v>
      </c>
      <c r="L67" s="150">
        <f t="shared" si="3"/>
        <v>0.8609022556390977</v>
      </c>
    </row>
    <row r="68" spans="1:12" s="101" customFormat="1" ht="13.5">
      <c r="A68" s="403" t="s">
        <v>171</v>
      </c>
      <c r="B68" s="404"/>
      <c r="C68" s="404"/>
      <c r="D68" s="125">
        <v>4</v>
      </c>
      <c r="E68" s="126">
        <v>0</v>
      </c>
      <c r="F68" s="144">
        <f t="shared" si="0"/>
        <v>-4</v>
      </c>
      <c r="G68" s="145">
        <f>E68/D68</f>
        <v>0</v>
      </c>
      <c r="H68" s="127">
        <v>0</v>
      </c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412" t="s">
        <v>74</v>
      </c>
      <c r="B69" s="413"/>
      <c r="C69" s="413"/>
      <c r="D69" s="125">
        <v>12769</v>
      </c>
      <c r="E69" s="126">
        <v>14213</v>
      </c>
      <c r="F69" s="144">
        <f t="shared" si="0"/>
        <v>1444</v>
      </c>
      <c r="G69" s="145">
        <f t="shared" si="4"/>
        <v>1.1130863810791762</v>
      </c>
      <c r="H69" s="127">
        <f>H74+H70</f>
        <v>15668</v>
      </c>
      <c r="I69" s="128"/>
      <c r="J69" s="124">
        <f t="shared" si="1"/>
        <v>15668</v>
      </c>
      <c r="K69" s="144">
        <f t="shared" si="2"/>
        <v>1455</v>
      </c>
      <c r="L69" s="150">
        <f t="shared" si="3"/>
        <v>1.102371068739886</v>
      </c>
      <c r="N69" s="129"/>
    </row>
    <row r="70" spans="1:12" s="101" customFormat="1" ht="13.5">
      <c r="A70" s="403" t="s">
        <v>75</v>
      </c>
      <c r="B70" s="404"/>
      <c r="C70" s="404"/>
      <c r="D70" s="125">
        <v>9384</v>
      </c>
      <c r="E70" s="126">
        <v>10328</v>
      </c>
      <c r="F70" s="144">
        <f t="shared" si="0"/>
        <v>944</v>
      </c>
      <c r="G70" s="145">
        <f t="shared" si="4"/>
        <v>1.1005967604433078</v>
      </c>
      <c r="H70" s="127">
        <f>H73+H71</f>
        <v>11373</v>
      </c>
      <c r="I70" s="128"/>
      <c r="J70" s="124">
        <f t="shared" si="1"/>
        <v>11373</v>
      </c>
      <c r="K70" s="144">
        <f t="shared" si="2"/>
        <v>1045</v>
      </c>
      <c r="L70" s="150">
        <f t="shared" si="3"/>
        <v>1.1011812548412083</v>
      </c>
    </row>
    <row r="71" spans="1:12" s="101" customFormat="1" ht="13.5">
      <c r="A71" s="403" t="s">
        <v>76</v>
      </c>
      <c r="B71" s="404"/>
      <c r="C71" s="404"/>
      <c r="D71" s="125">
        <v>9288</v>
      </c>
      <c r="E71" s="126">
        <v>10160</v>
      </c>
      <c r="F71" s="144">
        <f t="shared" si="0"/>
        <v>872</v>
      </c>
      <c r="G71" s="145">
        <f t="shared" si="4"/>
        <v>1.0938845822566752</v>
      </c>
      <c r="H71" s="127">
        <v>11238</v>
      </c>
      <c r="I71" s="128"/>
      <c r="J71" s="124">
        <f t="shared" si="1"/>
        <v>11238</v>
      </c>
      <c r="K71" s="144">
        <f t="shared" si="2"/>
        <v>1078</v>
      </c>
      <c r="L71" s="150">
        <f t="shared" si="3"/>
        <v>1.1061023622047244</v>
      </c>
    </row>
    <row r="72" spans="1:12" s="101" customFormat="1" ht="13.5">
      <c r="A72" s="403" t="s">
        <v>172</v>
      </c>
      <c r="B72" s="404"/>
      <c r="C72" s="404"/>
      <c r="D72" s="125">
        <v>9288</v>
      </c>
      <c r="E72" s="126">
        <v>10117</v>
      </c>
      <c r="F72" s="144">
        <f t="shared" si="0"/>
        <v>829</v>
      </c>
      <c r="G72" s="145">
        <f t="shared" si="4"/>
        <v>1.0892549526270456</v>
      </c>
      <c r="H72" s="127">
        <v>11203</v>
      </c>
      <c r="I72" s="128"/>
      <c r="J72" s="124">
        <f t="shared" si="1"/>
        <v>11203</v>
      </c>
      <c r="K72" s="144">
        <f t="shared" si="2"/>
        <v>1086</v>
      </c>
      <c r="L72" s="150">
        <f t="shared" si="3"/>
        <v>1.107344074330335</v>
      </c>
    </row>
    <row r="73" spans="1:14" s="101" customFormat="1" ht="13.5">
      <c r="A73" s="403" t="s">
        <v>77</v>
      </c>
      <c r="B73" s="404"/>
      <c r="C73" s="404"/>
      <c r="D73" s="125">
        <v>96</v>
      </c>
      <c r="E73" s="126">
        <v>168</v>
      </c>
      <c r="F73" s="144">
        <f t="shared" si="0"/>
        <v>72</v>
      </c>
      <c r="G73" s="145">
        <f t="shared" si="4"/>
        <v>1.75</v>
      </c>
      <c r="H73" s="127">
        <v>135</v>
      </c>
      <c r="I73" s="128"/>
      <c r="J73" s="124">
        <f t="shared" si="1"/>
        <v>135</v>
      </c>
      <c r="K73" s="144">
        <f t="shared" si="2"/>
        <v>-33</v>
      </c>
      <c r="L73" s="150">
        <f t="shared" si="3"/>
        <v>0.8035714285714286</v>
      </c>
      <c r="N73" s="129"/>
    </row>
    <row r="74" spans="1:12" s="101" customFormat="1" ht="13.5">
      <c r="A74" s="403" t="s">
        <v>78</v>
      </c>
      <c r="B74" s="404"/>
      <c r="C74" s="404"/>
      <c r="D74" s="125">
        <v>3385</v>
      </c>
      <c r="E74" s="126">
        <v>3885</v>
      </c>
      <c r="F74" s="144">
        <f t="shared" si="0"/>
        <v>500</v>
      </c>
      <c r="G74" s="145">
        <f t="shared" si="4"/>
        <v>1.1477104874446085</v>
      </c>
      <c r="H74" s="127">
        <v>4295</v>
      </c>
      <c r="I74" s="128"/>
      <c r="J74" s="124">
        <f t="shared" si="1"/>
        <v>4295</v>
      </c>
      <c r="K74" s="144">
        <f t="shared" si="2"/>
        <v>410</v>
      </c>
      <c r="L74" s="150">
        <f t="shared" si="3"/>
        <v>1.1055341055341055</v>
      </c>
    </row>
    <row r="75" spans="1:15" s="101" customFormat="1" ht="13.5">
      <c r="A75" s="412" t="s">
        <v>79</v>
      </c>
      <c r="B75" s="413"/>
      <c r="C75" s="413"/>
      <c r="D75" s="125">
        <v>2</v>
      </c>
      <c r="E75" s="126">
        <v>1</v>
      </c>
      <c r="F75" s="144">
        <f t="shared" si="0"/>
        <v>-1</v>
      </c>
      <c r="G75" s="145">
        <f t="shared" si="4"/>
        <v>0.5</v>
      </c>
      <c r="H75" s="127">
        <v>2</v>
      </c>
      <c r="I75" s="128"/>
      <c r="J75" s="124">
        <f t="shared" si="1"/>
        <v>2</v>
      </c>
      <c r="K75" s="144">
        <f t="shared" si="2"/>
        <v>1</v>
      </c>
      <c r="L75" s="150">
        <f t="shared" si="3"/>
        <v>2</v>
      </c>
      <c r="N75" s="129"/>
      <c r="O75" s="139"/>
    </row>
    <row r="76" spans="1:12" s="101" customFormat="1" ht="13.5">
      <c r="A76" s="403" t="s">
        <v>80</v>
      </c>
      <c r="B76" s="404"/>
      <c r="C76" s="404"/>
      <c r="D76" s="125">
        <v>0</v>
      </c>
      <c r="E76" s="126">
        <v>0</v>
      </c>
      <c r="F76" s="144">
        <f aca="true" t="shared" si="5" ref="F76:F90">E76-D76</f>
        <v>0</v>
      </c>
      <c r="G76" s="145"/>
      <c r="H76" s="127">
        <v>0</v>
      </c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412" t="s">
        <v>81</v>
      </c>
      <c r="B77" s="413"/>
      <c r="C77" s="413"/>
      <c r="D77" s="125">
        <v>136</v>
      </c>
      <c r="E77" s="126">
        <v>94</v>
      </c>
      <c r="F77" s="144">
        <f t="shared" si="5"/>
        <v>-42</v>
      </c>
      <c r="G77" s="145">
        <f aca="true" t="shared" si="8" ref="G77:G88">E77/D77</f>
        <v>0.6911764705882353</v>
      </c>
      <c r="H77" s="127">
        <v>64</v>
      </c>
      <c r="I77" s="128"/>
      <c r="J77" s="124">
        <f t="shared" si="6"/>
        <v>64</v>
      </c>
      <c r="K77" s="144">
        <f t="shared" si="7"/>
        <v>-30</v>
      </c>
      <c r="L77" s="150">
        <f aca="true" t="shared" si="9" ref="L77:L86">J77/E77</f>
        <v>0.6808510638297872</v>
      </c>
    </row>
    <row r="78" spans="1:12" s="101" customFormat="1" ht="13.5">
      <c r="A78" s="403" t="s">
        <v>82</v>
      </c>
      <c r="B78" s="404"/>
      <c r="C78" s="404"/>
      <c r="D78" s="138">
        <v>0</v>
      </c>
      <c r="E78" s="130">
        <v>0</v>
      </c>
      <c r="F78" s="144">
        <f t="shared" si="5"/>
        <v>0</v>
      </c>
      <c r="G78" s="145"/>
      <c r="H78" s="122">
        <v>0</v>
      </c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403" t="s">
        <v>83</v>
      </c>
      <c r="B79" s="404"/>
      <c r="C79" s="404"/>
      <c r="D79" s="125">
        <v>0</v>
      </c>
      <c r="E79" s="126">
        <v>0</v>
      </c>
      <c r="F79" s="144">
        <f t="shared" si="5"/>
        <v>0</v>
      </c>
      <c r="G79" s="145"/>
      <c r="H79" s="127">
        <v>0</v>
      </c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412" t="s">
        <v>84</v>
      </c>
      <c r="B80" s="413"/>
      <c r="C80" s="413"/>
      <c r="D80" s="125">
        <v>955</v>
      </c>
      <c r="E80" s="126">
        <v>1969</v>
      </c>
      <c r="F80" s="144">
        <f t="shared" si="5"/>
        <v>1014</v>
      </c>
      <c r="G80" s="145">
        <f t="shared" si="8"/>
        <v>2.061780104712042</v>
      </c>
      <c r="H80" s="127">
        <f>H86+H85+H83+H82+H81</f>
        <v>1246</v>
      </c>
      <c r="I80" s="128"/>
      <c r="J80" s="124">
        <f t="shared" si="6"/>
        <v>1246</v>
      </c>
      <c r="K80" s="144">
        <f t="shared" si="7"/>
        <v>-723</v>
      </c>
      <c r="L80" s="150">
        <f t="shared" si="9"/>
        <v>0.632808532249873</v>
      </c>
    </row>
    <row r="81" spans="1:12" s="101" customFormat="1" ht="13.5">
      <c r="A81" s="403" t="s">
        <v>85</v>
      </c>
      <c r="B81" s="404"/>
      <c r="C81" s="404"/>
      <c r="D81" s="125">
        <v>953</v>
      </c>
      <c r="E81" s="126">
        <v>1005</v>
      </c>
      <c r="F81" s="144">
        <f t="shared" si="5"/>
        <v>52</v>
      </c>
      <c r="G81" s="145">
        <f t="shared" si="8"/>
        <v>1.0545645330535152</v>
      </c>
      <c r="H81" s="127">
        <v>1107</v>
      </c>
      <c r="I81" s="128"/>
      <c r="J81" s="124">
        <f t="shared" si="6"/>
        <v>1107</v>
      </c>
      <c r="K81" s="144">
        <f t="shared" si="7"/>
        <v>102</v>
      </c>
      <c r="L81" s="150">
        <f t="shared" si="9"/>
        <v>1.1014925373134328</v>
      </c>
    </row>
    <row r="82" spans="1:12" s="101" customFormat="1" ht="13.5">
      <c r="A82" s="403" t="s">
        <v>86</v>
      </c>
      <c r="B82" s="404"/>
      <c r="C82" s="404"/>
      <c r="D82" s="125">
        <v>2</v>
      </c>
      <c r="E82" s="126">
        <v>100</v>
      </c>
      <c r="F82" s="144">
        <f t="shared" si="5"/>
        <v>98</v>
      </c>
      <c r="G82" s="145">
        <f t="shared" si="8"/>
        <v>50</v>
      </c>
      <c r="H82" s="127">
        <v>83</v>
      </c>
      <c r="I82" s="128"/>
      <c r="J82" s="124">
        <f t="shared" si="6"/>
        <v>83</v>
      </c>
      <c r="K82" s="144">
        <f t="shared" si="7"/>
        <v>-17</v>
      </c>
      <c r="L82" s="150">
        <f t="shared" si="9"/>
        <v>0.83</v>
      </c>
    </row>
    <row r="83" spans="1:12" s="101" customFormat="1" ht="13.5">
      <c r="A83" s="403" t="s">
        <v>173</v>
      </c>
      <c r="B83" s="404"/>
      <c r="C83" s="404"/>
      <c r="D83" s="125">
        <v>0</v>
      </c>
      <c r="E83" s="126">
        <v>0</v>
      </c>
      <c r="F83" s="144">
        <f t="shared" si="5"/>
        <v>0</v>
      </c>
      <c r="G83" s="145"/>
      <c r="H83" s="127">
        <v>6</v>
      </c>
      <c r="I83" s="128"/>
      <c r="J83" s="124">
        <f t="shared" si="6"/>
        <v>6</v>
      </c>
      <c r="K83" s="144">
        <f t="shared" si="7"/>
        <v>6</v>
      </c>
      <c r="L83" s="150"/>
    </row>
    <row r="84" spans="1:12" s="101" customFormat="1" ht="13.5">
      <c r="A84" s="403" t="s">
        <v>87</v>
      </c>
      <c r="B84" s="404"/>
      <c r="C84" s="404"/>
      <c r="D84" s="125">
        <v>0</v>
      </c>
      <c r="E84" s="126">
        <v>864</v>
      </c>
      <c r="F84" s="144">
        <f t="shared" si="5"/>
        <v>864</v>
      </c>
      <c r="G84" s="145"/>
      <c r="H84" s="127">
        <v>50</v>
      </c>
      <c r="I84" s="128"/>
      <c r="J84" s="124">
        <f t="shared" si="6"/>
        <v>50</v>
      </c>
      <c r="K84" s="144">
        <f t="shared" si="7"/>
        <v>-814</v>
      </c>
      <c r="L84" s="150">
        <f t="shared" si="9"/>
        <v>0.05787037037037037</v>
      </c>
    </row>
    <row r="85" spans="1:12" s="101" customFormat="1" ht="13.5">
      <c r="A85" s="403" t="s">
        <v>174</v>
      </c>
      <c r="B85" s="404"/>
      <c r="C85" s="404"/>
      <c r="D85" s="125">
        <v>194</v>
      </c>
      <c r="E85" s="126">
        <v>487</v>
      </c>
      <c r="F85" s="144">
        <f t="shared" si="5"/>
        <v>293</v>
      </c>
      <c r="G85" s="145">
        <f t="shared" si="8"/>
        <v>2.5103092783505154</v>
      </c>
      <c r="H85" s="127">
        <v>50</v>
      </c>
      <c r="I85" s="128"/>
      <c r="J85" s="124">
        <f t="shared" si="6"/>
        <v>50</v>
      </c>
      <c r="K85" s="144">
        <f t="shared" si="7"/>
        <v>-437</v>
      </c>
      <c r="L85" s="150">
        <f t="shared" si="9"/>
        <v>0.1026694045174538</v>
      </c>
    </row>
    <row r="86" spans="1:14" s="101" customFormat="1" ht="13.5">
      <c r="A86" s="403" t="s">
        <v>175</v>
      </c>
      <c r="B86" s="404"/>
      <c r="C86" s="404"/>
      <c r="D86" s="125">
        <v>0</v>
      </c>
      <c r="E86" s="126">
        <v>8</v>
      </c>
      <c r="F86" s="144">
        <f t="shared" si="5"/>
        <v>8</v>
      </c>
      <c r="G86" s="145"/>
      <c r="H86" s="127">
        <v>0</v>
      </c>
      <c r="I86" s="128"/>
      <c r="J86" s="124">
        <f t="shared" si="6"/>
        <v>0</v>
      </c>
      <c r="K86" s="144">
        <f t="shared" si="7"/>
        <v>-8</v>
      </c>
      <c r="L86" s="150">
        <f t="shared" si="9"/>
        <v>0</v>
      </c>
      <c r="N86" s="129"/>
    </row>
    <row r="87" spans="1:12" s="101" customFormat="1" ht="13.5">
      <c r="A87" s="412" t="s">
        <v>88</v>
      </c>
      <c r="B87" s="413"/>
      <c r="C87" s="413"/>
      <c r="D87" s="125">
        <v>18</v>
      </c>
      <c r="E87" s="126">
        <v>0</v>
      </c>
      <c r="F87" s="144">
        <f t="shared" si="5"/>
        <v>-18</v>
      </c>
      <c r="G87" s="145">
        <f t="shared" si="8"/>
        <v>0</v>
      </c>
      <c r="H87" s="127">
        <v>0</v>
      </c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403" t="s">
        <v>89</v>
      </c>
      <c r="B88" s="404"/>
      <c r="C88" s="404"/>
      <c r="D88" s="125">
        <v>18</v>
      </c>
      <c r="E88" s="126">
        <v>0</v>
      </c>
      <c r="F88" s="144">
        <f t="shared" si="5"/>
        <v>-18</v>
      </c>
      <c r="G88" s="145">
        <f t="shared" si="8"/>
        <v>0</v>
      </c>
      <c r="H88" s="127">
        <v>0</v>
      </c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412" t="s">
        <v>90</v>
      </c>
      <c r="B89" s="413"/>
      <c r="C89" s="413"/>
      <c r="D89" s="125">
        <v>0</v>
      </c>
      <c r="E89" s="126">
        <v>0</v>
      </c>
      <c r="F89" s="144">
        <f t="shared" si="5"/>
        <v>0</v>
      </c>
      <c r="G89" s="145"/>
      <c r="H89" s="127">
        <v>0</v>
      </c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403" t="s">
        <v>176</v>
      </c>
      <c r="B90" s="404"/>
      <c r="C90" s="404"/>
      <c r="D90" s="102">
        <v>0</v>
      </c>
      <c r="E90" s="140">
        <v>0</v>
      </c>
      <c r="F90" s="144">
        <f t="shared" si="5"/>
        <v>0</v>
      </c>
      <c r="G90" s="145"/>
      <c r="H90" s="127">
        <v>0</v>
      </c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422" t="s">
        <v>91</v>
      </c>
      <c r="B91" s="423"/>
      <c r="C91" s="424"/>
      <c r="D91" s="177">
        <v>21848</v>
      </c>
      <c r="E91" s="178">
        <v>23786</v>
      </c>
      <c r="F91" s="179"/>
      <c r="G91" s="179"/>
      <c r="H91" s="180">
        <f>H80+H77+H75+H69+H59+H53+H46+H35+H52</f>
        <v>24822</v>
      </c>
      <c r="I91" s="180"/>
      <c r="J91" s="181">
        <f>H91</f>
        <v>24822</v>
      </c>
      <c r="K91" s="182"/>
      <c r="L91" s="183"/>
      <c r="M91" s="141"/>
      <c r="N91" s="142"/>
      <c r="O91" s="143"/>
    </row>
    <row r="92" spans="1:15" s="100" customFormat="1" ht="14.25" thickBot="1">
      <c r="A92" s="422" t="s">
        <v>177</v>
      </c>
      <c r="B92" s="423"/>
      <c r="C92" s="424"/>
      <c r="D92" s="184">
        <v>0</v>
      </c>
      <c r="E92" s="184">
        <v>2</v>
      </c>
      <c r="F92" s="185"/>
      <c r="G92" s="185"/>
      <c r="H92" s="184">
        <f>H34-H91</f>
        <v>0</v>
      </c>
      <c r="I92" s="184"/>
      <c r="J92" s="186">
        <f>H92</f>
        <v>0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4.25" customHeight="1">
      <c r="A94" s="416" t="s">
        <v>178</v>
      </c>
      <c r="B94" s="417"/>
      <c r="C94" s="420" t="s">
        <v>104</v>
      </c>
      <c r="D94" s="42"/>
      <c r="E94" s="416" t="s">
        <v>179</v>
      </c>
      <c r="F94" s="417"/>
      <c r="G94" s="417"/>
      <c r="H94" s="417"/>
      <c r="I94" s="420" t="s">
        <v>104</v>
      </c>
      <c r="J94" s="43"/>
      <c r="K94" s="43"/>
      <c r="L94" s="43"/>
      <c r="M94" s="43"/>
      <c r="N94" s="43"/>
    </row>
    <row r="95" spans="1:14" ht="13.5">
      <c r="A95" s="477"/>
      <c r="B95" s="478"/>
      <c r="C95" s="479"/>
      <c r="D95" s="42"/>
      <c r="E95" s="477"/>
      <c r="F95" s="478"/>
      <c r="G95" s="478"/>
      <c r="H95" s="478"/>
      <c r="I95" s="479"/>
      <c r="J95" s="43"/>
      <c r="K95" s="43"/>
      <c r="L95" s="43"/>
      <c r="M95" s="43"/>
      <c r="N95" s="43"/>
    </row>
    <row r="96" spans="1:14" ht="14.25" thickBot="1">
      <c r="A96" s="435" t="s">
        <v>259</v>
      </c>
      <c r="B96" s="436"/>
      <c r="C96" s="209">
        <v>50</v>
      </c>
      <c r="D96" s="35"/>
      <c r="E96" s="437" t="s">
        <v>264</v>
      </c>
      <c r="F96" s="438"/>
      <c r="G96" s="438"/>
      <c r="H96" s="438"/>
      <c r="I96" s="211">
        <v>25</v>
      </c>
      <c r="J96" s="43"/>
      <c r="K96" s="43"/>
      <c r="L96" s="43"/>
      <c r="M96" s="43"/>
      <c r="N96" s="38" t="s">
        <v>105</v>
      </c>
    </row>
    <row r="97" spans="1:14" ht="13.5">
      <c r="A97" s="435" t="s">
        <v>260</v>
      </c>
      <c r="B97" s="436"/>
      <c r="C97" s="209">
        <v>80</v>
      </c>
      <c r="D97" s="35"/>
      <c r="E97" s="437" t="s">
        <v>265</v>
      </c>
      <c r="F97" s="438"/>
      <c r="G97" s="438"/>
      <c r="H97" s="438"/>
      <c r="I97" s="211">
        <v>10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435" t="s">
        <v>261</v>
      </c>
      <c r="B98" s="436"/>
      <c r="C98" s="209">
        <v>150</v>
      </c>
      <c r="D98" s="35"/>
      <c r="E98" s="437" t="s">
        <v>266</v>
      </c>
      <c r="F98" s="438"/>
      <c r="G98" s="438"/>
      <c r="H98" s="438"/>
      <c r="I98" s="211">
        <v>200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435" t="s">
        <v>262</v>
      </c>
      <c r="B99" s="436"/>
      <c r="C99" s="209">
        <v>150</v>
      </c>
      <c r="D99" s="35"/>
      <c r="E99" s="437" t="s">
        <v>267</v>
      </c>
      <c r="F99" s="438"/>
      <c r="G99" s="438"/>
      <c r="H99" s="438"/>
      <c r="I99" s="211">
        <v>35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435" t="s">
        <v>136</v>
      </c>
      <c r="B100" s="436"/>
      <c r="C100" s="368">
        <v>610</v>
      </c>
      <c r="D100" s="35"/>
      <c r="E100" s="437" t="s">
        <v>268</v>
      </c>
      <c r="F100" s="438"/>
      <c r="G100" s="438"/>
      <c r="H100" s="438"/>
      <c r="I100" s="211">
        <v>50</v>
      </c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435" t="s">
        <v>263</v>
      </c>
      <c r="B101" s="436"/>
      <c r="C101" s="209">
        <v>100</v>
      </c>
      <c r="D101" s="35"/>
      <c r="E101" s="437" t="s">
        <v>247</v>
      </c>
      <c r="F101" s="438"/>
      <c r="G101" s="438"/>
      <c r="H101" s="438"/>
      <c r="I101" s="211">
        <v>10</v>
      </c>
      <c r="J101" s="43"/>
      <c r="K101" s="43"/>
      <c r="L101" s="43"/>
      <c r="M101" s="43"/>
      <c r="N101" s="43"/>
    </row>
    <row r="102" spans="1:14" ht="13.5">
      <c r="A102" s="435"/>
      <c r="B102" s="436"/>
      <c r="C102" s="107"/>
      <c r="D102" s="35"/>
      <c r="E102" s="437" t="s">
        <v>254</v>
      </c>
      <c r="F102" s="438"/>
      <c r="G102" s="438"/>
      <c r="H102" s="438"/>
      <c r="I102" s="211">
        <v>100</v>
      </c>
      <c r="J102" s="43"/>
      <c r="K102" s="43"/>
      <c r="L102" s="43"/>
      <c r="M102" s="43"/>
      <c r="N102" s="43"/>
    </row>
    <row r="103" spans="1:14" ht="13.5">
      <c r="A103" s="435"/>
      <c r="B103" s="436"/>
      <c r="C103" s="103"/>
      <c r="D103" s="35"/>
      <c r="E103" s="437"/>
      <c r="F103" s="438"/>
      <c r="G103" s="438"/>
      <c r="H103" s="438"/>
      <c r="I103" s="97"/>
      <c r="J103" s="43"/>
      <c r="K103" s="43"/>
      <c r="L103" s="43"/>
      <c r="M103" s="43"/>
      <c r="N103" s="43"/>
    </row>
    <row r="104" spans="1:14" ht="14.25" thickBot="1">
      <c r="A104" s="480" t="s">
        <v>97</v>
      </c>
      <c r="B104" s="481"/>
      <c r="C104" s="210">
        <f>SUM(C96:C102)</f>
        <v>1140</v>
      </c>
      <c r="D104" s="59"/>
      <c r="E104" s="482" t="s">
        <v>97</v>
      </c>
      <c r="F104" s="483"/>
      <c r="G104" s="483"/>
      <c r="H104" s="483"/>
      <c r="I104" s="210">
        <f>SUM(I96:I103)</f>
        <v>430</v>
      </c>
      <c r="J104" s="43"/>
      <c r="K104" s="43"/>
      <c r="L104" s="43"/>
      <c r="M104" s="43"/>
      <c r="N104" s="61"/>
    </row>
    <row r="105" spans="1:5" s="34" customFormat="1" ht="13.5" customHeight="1">
      <c r="A105" s="59"/>
      <c r="B105" s="62"/>
      <c r="C105" s="62"/>
      <c r="D105" s="62"/>
      <c r="E105" s="62"/>
    </row>
    <row r="106" spans="1:12" s="34" customFormat="1" ht="14.25" thickBot="1">
      <c r="A106" s="63" t="s">
        <v>181</v>
      </c>
      <c r="B106" s="36"/>
      <c r="C106" s="36"/>
      <c r="D106" s="36"/>
      <c r="E106" s="39"/>
      <c r="F106" s="41"/>
      <c r="G106" s="41"/>
      <c r="H106" s="35"/>
      <c r="I106" s="36"/>
      <c r="J106" s="36" t="s">
        <v>110</v>
      </c>
      <c r="K106" s="36"/>
      <c r="L106" s="39"/>
    </row>
    <row r="107" spans="1:11" s="34" customFormat="1" ht="13.5">
      <c r="A107" s="449" t="s">
        <v>111</v>
      </c>
      <c r="B107" s="452" t="s">
        <v>248</v>
      </c>
      <c r="C107" s="459" t="s">
        <v>182</v>
      </c>
      <c r="D107" s="460"/>
      <c r="E107" s="460"/>
      <c r="F107" s="460"/>
      <c r="G107" s="460"/>
      <c r="H107" s="460"/>
      <c r="I107" s="460"/>
      <c r="J107" s="461"/>
      <c r="K107" s="455" t="s">
        <v>183</v>
      </c>
    </row>
    <row r="108" spans="1:11" s="34" customFormat="1" ht="13.5">
      <c r="A108" s="450"/>
      <c r="B108" s="453"/>
      <c r="C108" s="458" t="s">
        <v>112</v>
      </c>
      <c r="D108" s="462" t="s">
        <v>113</v>
      </c>
      <c r="E108" s="462"/>
      <c r="F108" s="462"/>
      <c r="G108" s="462"/>
      <c r="H108" s="462"/>
      <c r="I108" s="462"/>
      <c r="J108" s="463"/>
      <c r="K108" s="456"/>
    </row>
    <row r="109" spans="1:12" s="34" customFormat="1" ht="14.25" thickBot="1">
      <c r="A109" s="451"/>
      <c r="B109" s="454"/>
      <c r="C109" s="458"/>
      <c r="D109" s="164">
        <v>1</v>
      </c>
      <c r="E109" s="164">
        <v>2</v>
      </c>
      <c r="F109" s="164">
        <v>3</v>
      </c>
      <c r="G109" s="164">
        <v>4</v>
      </c>
      <c r="H109" s="164">
        <v>5</v>
      </c>
      <c r="I109" s="164">
        <v>6</v>
      </c>
      <c r="J109" s="165">
        <v>7</v>
      </c>
      <c r="K109" s="457"/>
      <c r="L109" s="71"/>
    </row>
    <row r="110" spans="1:11" s="34" customFormat="1" ht="14.25" thickBot="1">
      <c r="A110" s="64">
        <v>68935</v>
      </c>
      <c r="B110" s="65">
        <v>15126</v>
      </c>
      <c r="C110" s="364">
        <f>SUM(D110:J110)</f>
        <v>1107</v>
      </c>
      <c r="D110" s="167">
        <v>219</v>
      </c>
      <c r="E110" s="167">
        <v>252</v>
      </c>
      <c r="F110" s="167">
        <v>0</v>
      </c>
      <c r="G110" s="167">
        <v>0</v>
      </c>
      <c r="H110" s="167">
        <v>7</v>
      </c>
      <c r="I110" s="168">
        <v>23</v>
      </c>
      <c r="J110" s="169">
        <v>606</v>
      </c>
      <c r="K110" s="163">
        <v>52702</v>
      </c>
    </row>
    <row r="111" spans="1:5" s="34" customFormat="1" ht="13.5">
      <c r="A111" s="59"/>
      <c r="B111" s="62"/>
      <c r="C111" s="62"/>
      <c r="D111" s="62"/>
      <c r="E111" s="62"/>
    </row>
    <row r="112" spans="1:8" s="34" customFormat="1" ht="14.25" thickBot="1">
      <c r="A112" s="63" t="s">
        <v>184</v>
      </c>
      <c r="C112" s="36"/>
      <c r="D112" s="36"/>
      <c r="E112" s="36"/>
      <c r="F112" s="36" t="s">
        <v>110</v>
      </c>
      <c r="G112" s="41"/>
      <c r="H112" s="35"/>
    </row>
    <row r="113" spans="1:6" s="34" customFormat="1" ht="15" customHeight="1" thickBot="1">
      <c r="A113" s="467" t="s">
        <v>114</v>
      </c>
      <c r="B113" s="469" t="s">
        <v>188</v>
      </c>
      <c r="C113" s="474" t="s">
        <v>185</v>
      </c>
      <c r="D113" s="475"/>
      <c r="E113" s="475"/>
      <c r="F113" s="476"/>
    </row>
    <row r="114" spans="1:6" s="34" customFormat="1" ht="27.75" thickBot="1">
      <c r="A114" s="468"/>
      <c r="B114" s="469"/>
      <c r="C114" s="67" t="s">
        <v>186</v>
      </c>
      <c r="D114" s="66" t="s">
        <v>115</v>
      </c>
      <c r="E114" s="67" t="s">
        <v>116</v>
      </c>
      <c r="F114" s="191" t="s">
        <v>187</v>
      </c>
    </row>
    <row r="115" spans="1:6" s="34" customFormat="1" ht="13.5">
      <c r="A115" s="192" t="s">
        <v>117</v>
      </c>
      <c r="B115" s="89">
        <v>1945</v>
      </c>
      <c r="C115" s="68" t="s">
        <v>118</v>
      </c>
      <c r="D115" s="69" t="s">
        <v>118</v>
      </c>
      <c r="E115" s="69" t="s">
        <v>118</v>
      </c>
      <c r="F115" s="193" t="s">
        <v>118</v>
      </c>
    </row>
    <row r="116" spans="1:13" s="34" customFormat="1" ht="13.5">
      <c r="A116" s="194" t="s">
        <v>119</v>
      </c>
      <c r="B116" s="70">
        <v>167</v>
      </c>
      <c r="C116" s="197">
        <v>167</v>
      </c>
      <c r="D116" s="51">
        <v>0</v>
      </c>
      <c r="E116" s="51">
        <v>0</v>
      </c>
      <c r="F116" s="198">
        <f>C116-E116</f>
        <v>167</v>
      </c>
      <c r="M116" s="71"/>
    </row>
    <row r="117" spans="1:13" s="34" customFormat="1" ht="13.5">
      <c r="A117" s="194" t="s">
        <v>120</v>
      </c>
      <c r="B117" s="70">
        <v>9</v>
      </c>
      <c r="C117" s="197">
        <f>9+0</f>
        <v>9</v>
      </c>
      <c r="D117" s="106">
        <v>22</v>
      </c>
      <c r="E117" s="106">
        <v>20</v>
      </c>
      <c r="F117" s="198">
        <f>C117+D117-E117</f>
        <v>11</v>
      </c>
      <c r="M117" s="71"/>
    </row>
    <row r="118" spans="1:13" s="34" customFormat="1" ht="13.5">
      <c r="A118" s="194" t="s">
        <v>121</v>
      </c>
      <c r="B118" s="70">
        <v>110</v>
      </c>
      <c r="C118" s="72">
        <v>110</v>
      </c>
      <c r="D118" s="206">
        <v>1107</v>
      </c>
      <c r="E118" s="206">
        <v>1140</v>
      </c>
      <c r="F118" s="198">
        <f>C118+D118-E118</f>
        <v>77</v>
      </c>
      <c r="M118" s="71"/>
    </row>
    <row r="119" spans="1:13" s="34" customFormat="1" ht="13.5">
      <c r="A119" s="194" t="s">
        <v>122</v>
      </c>
      <c r="B119" s="70">
        <f>B115-B116-B117-B118</f>
        <v>1659</v>
      </c>
      <c r="C119" s="74" t="s">
        <v>118</v>
      </c>
      <c r="D119" s="75" t="s">
        <v>118</v>
      </c>
      <c r="E119" s="76" t="s">
        <v>118</v>
      </c>
      <c r="F119" s="195" t="s">
        <v>118</v>
      </c>
      <c r="M119" s="71"/>
    </row>
    <row r="120" spans="1:13" s="34" customFormat="1" ht="14.25" thickBot="1">
      <c r="A120" s="196" t="s">
        <v>123</v>
      </c>
      <c r="B120" s="77">
        <v>84.5</v>
      </c>
      <c r="C120" s="199">
        <v>91</v>
      </c>
      <c r="D120" s="200">
        <v>114</v>
      </c>
      <c r="E120" s="207">
        <v>137</v>
      </c>
      <c r="F120" s="201">
        <f>C120+D120-E120</f>
        <v>68</v>
      </c>
      <c r="M120" s="71"/>
    </row>
    <row r="121" spans="1:15" s="34" customFormat="1" ht="13.5">
      <c r="A121" s="35"/>
      <c r="B121" s="36"/>
      <c r="C121" s="36"/>
      <c r="D121" s="37"/>
      <c r="E121" s="38"/>
      <c r="F121" s="36"/>
      <c r="G121" s="36"/>
      <c r="H121" s="39"/>
      <c r="I121" s="40"/>
      <c r="J121" s="41"/>
      <c r="K121" s="35"/>
      <c r="L121" s="36"/>
      <c r="M121" s="36"/>
      <c r="N121" s="36"/>
      <c r="O121" s="39"/>
    </row>
    <row r="122" spans="1:11" ht="13.5">
      <c r="A122" s="63"/>
      <c r="K122" s="36"/>
    </row>
    <row r="123" spans="1:11" ht="14.25" thickBot="1">
      <c r="A123" s="63" t="s">
        <v>189</v>
      </c>
      <c r="K123" s="36" t="s">
        <v>110</v>
      </c>
    </row>
    <row r="124" spans="1:11" ht="13.5">
      <c r="A124" s="464" t="s">
        <v>124</v>
      </c>
      <c r="B124" s="465"/>
      <c r="C124" s="466"/>
      <c r="D124" s="78"/>
      <c r="E124" s="464" t="s">
        <v>125</v>
      </c>
      <c r="F124" s="465"/>
      <c r="G124" s="466"/>
      <c r="I124" s="464" t="s">
        <v>126</v>
      </c>
      <c r="J124" s="465"/>
      <c r="K124" s="466"/>
    </row>
    <row r="125" spans="1:11" ht="14.25" thickBot="1">
      <c r="A125" s="79" t="s">
        <v>127</v>
      </c>
      <c r="B125" s="80" t="s">
        <v>128</v>
      </c>
      <c r="C125" s="81" t="s">
        <v>129</v>
      </c>
      <c r="D125" s="78"/>
      <c r="E125" s="82"/>
      <c r="F125" s="470" t="s">
        <v>130</v>
      </c>
      <c r="G125" s="471"/>
      <c r="I125" s="79"/>
      <c r="J125" s="80" t="s">
        <v>131</v>
      </c>
      <c r="K125" s="81" t="s">
        <v>129</v>
      </c>
    </row>
    <row r="126" spans="1:11" ht="13.5">
      <c r="A126" s="83">
        <v>2012</v>
      </c>
      <c r="B126" s="84">
        <v>47</v>
      </c>
      <c r="C126" s="85">
        <v>46</v>
      </c>
      <c r="D126" s="37"/>
      <c r="E126" s="83">
        <v>2012</v>
      </c>
      <c r="F126" s="472">
        <v>80</v>
      </c>
      <c r="G126" s="473"/>
      <c r="I126" s="83">
        <v>2012</v>
      </c>
      <c r="J126" s="84">
        <v>10052</v>
      </c>
      <c r="K126" s="85">
        <v>10117</v>
      </c>
    </row>
    <row r="127" spans="1:11" ht="14.25" thickBot="1">
      <c r="A127" s="86">
        <v>2013</v>
      </c>
      <c r="B127" s="87">
        <v>50</v>
      </c>
      <c r="C127" s="88" t="s">
        <v>92</v>
      </c>
      <c r="D127" s="37"/>
      <c r="E127" s="86">
        <v>2013</v>
      </c>
      <c r="F127" s="388">
        <v>80</v>
      </c>
      <c r="G127" s="389"/>
      <c r="I127" s="86">
        <v>2013</v>
      </c>
      <c r="J127" s="87">
        <v>11203</v>
      </c>
      <c r="K127" s="88" t="s">
        <v>92</v>
      </c>
    </row>
    <row r="128" ht="13.5">
      <c r="D128" s="37"/>
    </row>
    <row r="129" ht="13.5">
      <c r="D129" s="78"/>
    </row>
    <row r="130" ht="13.5">
      <c r="D130" s="78"/>
    </row>
    <row r="131" ht="13.5">
      <c r="D131" s="37"/>
    </row>
    <row r="132" ht="13.5">
      <c r="D132" s="37"/>
    </row>
  </sheetData>
  <sheetProtection selectLockedCells="1" selectUnlockedCells="1"/>
  <mergeCells count="130">
    <mergeCell ref="K107:K109"/>
    <mergeCell ref="D108:J108"/>
    <mergeCell ref="A124:C124"/>
    <mergeCell ref="E124:G124"/>
    <mergeCell ref="I124:K124"/>
    <mergeCell ref="F127:G127"/>
    <mergeCell ref="F125:G125"/>
    <mergeCell ref="F126:G126"/>
    <mergeCell ref="C108:C109"/>
    <mergeCell ref="A113:A114"/>
    <mergeCell ref="B113:B114"/>
    <mergeCell ref="C107:J107"/>
    <mergeCell ref="A103:B103"/>
    <mergeCell ref="E103:H103"/>
    <mergeCell ref="A104:B104"/>
    <mergeCell ref="E104:H104"/>
    <mergeCell ref="A107:A109"/>
    <mergeCell ref="B107:B109"/>
    <mergeCell ref="C113:F113"/>
    <mergeCell ref="A100:B100"/>
    <mergeCell ref="E100:H100"/>
    <mergeCell ref="A101:B101"/>
    <mergeCell ref="E101:H101"/>
    <mergeCell ref="A102:B102"/>
    <mergeCell ref="E102:H102"/>
    <mergeCell ref="E94:H95"/>
    <mergeCell ref="I94:I95"/>
    <mergeCell ref="E96:H96"/>
    <mergeCell ref="E97:H97"/>
    <mergeCell ref="E98:H98"/>
    <mergeCell ref="A99:B99"/>
    <mergeCell ref="E99:H99"/>
    <mergeCell ref="A96:B96"/>
    <mergeCell ref="A97:B97"/>
    <mergeCell ref="A98:B98"/>
    <mergeCell ref="A85:C85"/>
    <mergeCell ref="A86:C86"/>
    <mergeCell ref="A87:C87"/>
    <mergeCell ref="A88:C88"/>
    <mergeCell ref="A94:B95"/>
    <mergeCell ref="C94:C95"/>
    <mergeCell ref="A89:C89"/>
    <mergeCell ref="A90:C90"/>
    <mergeCell ref="A91:C91"/>
    <mergeCell ref="A92:C92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2" r:id="rId1"/>
  <headerFooter alignWithMargins="0">
    <oddFooter>&amp;C&amp;"Arial CE,Běžné"&amp;P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133"/>
  <sheetViews>
    <sheetView view="pageBreakPreview" zoomScale="70" zoomScaleSheetLayoutView="70" zoomScalePageLayoutView="0" workbookViewId="0" topLeftCell="A1">
      <selection activeCell="H14" sqref="H14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20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135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 thickBot="1">
      <c r="A4" s="391" t="s">
        <v>156</v>
      </c>
      <c r="B4" s="391"/>
      <c r="C4" s="391"/>
      <c r="D4" s="392" t="s">
        <v>157</v>
      </c>
      <c r="E4" s="393">
        <v>2012</v>
      </c>
      <c r="F4" s="394" t="s">
        <v>96</v>
      </c>
      <c r="G4" s="395"/>
      <c r="H4" s="396" t="s">
        <v>158</v>
      </c>
      <c r="I4" s="397"/>
      <c r="J4" s="398"/>
      <c r="K4" s="396" t="s">
        <v>159</v>
      </c>
      <c r="L4" s="398"/>
      <c r="M4" s="112"/>
      <c r="N4" s="112"/>
      <c r="O4" s="112"/>
    </row>
    <row r="5" spans="1:15" s="101" customFormat="1" ht="13.5" customHeight="1" thickBot="1">
      <c r="A5" s="391"/>
      <c r="B5" s="391"/>
      <c r="C5" s="391"/>
      <c r="D5" s="392"/>
      <c r="E5" s="393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391"/>
      <c r="B6" s="391"/>
      <c r="C6" s="391"/>
      <c r="D6" s="392"/>
      <c r="E6" s="393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399" t="s">
        <v>24</v>
      </c>
      <c r="B7" s="400"/>
      <c r="C7" s="400"/>
      <c r="D7" s="121">
        <v>16135</v>
      </c>
      <c r="E7" s="121">
        <v>16512</v>
      </c>
      <c r="F7" s="154">
        <f>E7-D7</f>
        <v>377</v>
      </c>
      <c r="G7" s="145">
        <f>E7/D7</f>
        <v>1.0233653548187172</v>
      </c>
      <c r="H7" s="122">
        <v>16527</v>
      </c>
      <c r="I7" s="123"/>
      <c r="J7" s="156">
        <f>H7+I7</f>
        <v>16527</v>
      </c>
      <c r="K7" s="144">
        <f>J7-E7</f>
        <v>15</v>
      </c>
      <c r="L7" s="150">
        <f>J7/E7</f>
        <v>1.0009084302325582</v>
      </c>
    </row>
    <row r="8" spans="1:12" s="101" customFormat="1" ht="13.5">
      <c r="A8" s="401" t="s">
        <v>25</v>
      </c>
      <c r="B8" s="402"/>
      <c r="C8" s="402"/>
      <c r="D8" s="125"/>
      <c r="E8" s="125"/>
      <c r="F8" s="154">
        <f aca="true" t="shared" si="0" ref="F8:F75">E8-D8</f>
        <v>0</v>
      </c>
      <c r="G8" s="145"/>
      <c r="H8" s="127">
        <v>0</v>
      </c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401" t="s">
        <v>26</v>
      </c>
      <c r="B9" s="402"/>
      <c r="C9" s="402"/>
      <c r="D9" s="125">
        <v>16135</v>
      </c>
      <c r="E9" s="125">
        <v>16512</v>
      </c>
      <c r="F9" s="154">
        <f t="shared" si="0"/>
        <v>377</v>
      </c>
      <c r="G9" s="145">
        <f aca="true" t="shared" si="3" ref="G9:G75">E9/D9</f>
        <v>1.0233653548187172</v>
      </c>
      <c r="H9" s="127">
        <v>16527</v>
      </c>
      <c r="I9" s="128"/>
      <c r="J9" s="156">
        <f t="shared" si="1"/>
        <v>16527</v>
      </c>
      <c r="K9" s="144">
        <f t="shared" si="2"/>
        <v>15</v>
      </c>
      <c r="L9" s="150">
        <f aca="true" t="shared" si="4" ref="L9:L75">J9/E9</f>
        <v>1.0009084302325582</v>
      </c>
    </row>
    <row r="10" spans="1:12" s="101" customFormat="1" ht="13.5">
      <c r="A10" s="403" t="s">
        <v>27</v>
      </c>
      <c r="B10" s="404"/>
      <c r="C10" s="404"/>
      <c r="D10" s="125">
        <v>9277</v>
      </c>
      <c r="E10" s="125">
        <v>9532</v>
      </c>
      <c r="F10" s="154">
        <f t="shared" si="0"/>
        <v>255</v>
      </c>
      <c r="G10" s="145">
        <f t="shared" si="3"/>
        <v>1.0274873342675435</v>
      </c>
      <c r="H10" s="127">
        <v>9532</v>
      </c>
      <c r="I10" s="128"/>
      <c r="J10" s="156">
        <f t="shared" si="1"/>
        <v>9532</v>
      </c>
      <c r="K10" s="144">
        <f t="shared" si="2"/>
        <v>0</v>
      </c>
      <c r="L10" s="150">
        <f t="shared" si="4"/>
        <v>1</v>
      </c>
    </row>
    <row r="11" spans="1:12" s="101" customFormat="1" ht="13.5">
      <c r="A11" s="403" t="s">
        <v>28</v>
      </c>
      <c r="B11" s="404"/>
      <c r="C11" s="404"/>
      <c r="D11" s="125">
        <v>6158</v>
      </c>
      <c r="E11" s="125">
        <v>6226</v>
      </c>
      <c r="F11" s="154">
        <f t="shared" si="0"/>
        <v>68</v>
      </c>
      <c r="G11" s="145">
        <f t="shared" si="3"/>
        <v>1.0110425462812602</v>
      </c>
      <c r="H11" s="127">
        <v>6226</v>
      </c>
      <c r="I11" s="128"/>
      <c r="J11" s="156">
        <f t="shared" si="1"/>
        <v>6226</v>
      </c>
      <c r="K11" s="144">
        <f t="shared" si="2"/>
        <v>0</v>
      </c>
      <c r="L11" s="150">
        <f t="shared" si="4"/>
        <v>1</v>
      </c>
    </row>
    <row r="12" spans="1:12" s="101" customFormat="1" ht="13.5">
      <c r="A12" s="403" t="s">
        <v>29</v>
      </c>
      <c r="B12" s="404"/>
      <c r="C12" s="404"/>
      <c r="D12" s="125">
        <v>421</v>
      </c>
      <c r="E12" s="125">
        <v>455</v>
      </c>
      <c r="F12" s="154">
        <f t="shared" si="0"/>
        <v>34</v>
      </c>
      <c r="G12" s="145">
        <f t="shared" si="3"/>
        <v>1.0807600950118765</v>
      </c>
      <c r="H12" s="127">
        <v>455</v>
      </c>
      <c r="I12" s="128"/>
      <c r="J12" s="156">
        <f t="shared" si="1"/>
        <v>455</v>
      </c>
      <c r="K12" s="144">
        <f t="shared" si="2"/>
        <v>0</v>
      </c>
      <c r="L12" s="150">
        <f t="shared" si="4"/>
        <v>1</v>
      </c>
    </row>
    <row r="13" spans="1:12" s="101" customFormat="1" ht="13.5">
      <c r="A13" s="403" t="s">
        <v>30</v>
      </c>
      <c r="B13" s="404"/>
      <c r="C13" s="404"/>
      <c r="D13" s="125">
        <v>2</v>
      </c>
      <c r="E13" s="125">
        <v>6</v>
      </c>
      <c r="F13" s="154">
        <f t="shared" si="0"/>
        <v>4</v>
      </c>
      <c r="G13" s="145">
        <f t="shared" si="3"/>
        <v>3</v>
      </c>
      <c r="H13" s="127">
        <v>24</v>
      </c>
      <c r="I13" s="128"/>
      <c r="J13" s="156">
        <f t="shared" si="1"/>
        <v>24</v>
      </c>
      <c r="K13" s="144">
        <f t="shared" si="2"/>
        <v>18</v>
      </c>
      <c r="L13" s="150">
        <f t="shared" si="4"/>
        <v>4</v>
      </c>
    </row>
    <row r="14" spans="1:12" s="101" customFormat="1" ht="13.5">
      <c r="A14" s="403" t="s">
        <v>31</v>
      </c>
      <c r="B14" s="404"/>
      <c r="C14" s="404"/>
      <c r="D14" s="125">
        <v>275</v>
      </c>
      <c r="E14" s="125">
        <v>292</v>
      </c>
      <c r="F14" s="154">
        <f t="shared" si="0"/>
        <v>17</v>
      </c>
      <c r="G14" s="145">
        <f t="shared" si="3"/>
        <v>1.0618181818181818</v>
      </c>
      <c r="H14" s="127">
        <v>290</v>
      </c>
      <c r="I14" s="128"/>
      <c r="J14" s="156">
        <f t="shared" si="1"/>
        <v>290</v>
      </c>
      <c r="K14" s="144">
        <f t="shared" si="2"/>
        <v>-2</v>
      </c>
      <c r="L14" s="150">
        <f t="shared" si="4"/>
        <v>0.9931506849315068</v>
      </c>
    </row>
    <row r="15" spans="1:14" s="101" customFormat="1" ht="13.5">
      <c r="A15" s="403" t="s">
        <v>32</v>
      </c>
      <c r="B15" s="404"/>
      <c r="C15" s="404"/>
      <c r="D15" s="125">
        <v>2</v>
      </c>
      <c r="E15" s="125"/>
      <c r="F15" s="154">
        <f t="shared" si="0"/>
        <v>-2</v>
      </c>
      <c r="G15" s="145">
        <f t="shared" si="3"/>
        <v>0</v>
      </c>
      <c r="H15" s="127">
        <v>0</v>
      </c>
      <c r="I15" s="128"/>
      <c r="J15" s="156">
        <f t="shared" si="1"/>
        <v>0</v>
      </c>
      <c r="K15" s="144">
        <f t="shared" si="2"/>
        <v>0</v>
      </c>
      <c r="L15" s="150"/>
      <c r="N15" s="129"/>
    </row>
    <row r="16" spans="1:12" s="101" customFormat="1" ht="13.5">
      <c r="A16" s="401" t="s">
        <v>33</v>
      </c>
      <c r="B16" s="402"/>
      <c r="C16" s="402"/>
      <c r="D16" s="125">
        <v>2</v>
      </c>
      <c r="E16" s="125"/>
      <c r="F16" s="154">
        <f t="shared" si="0"/>
        <v>-2</v>
      </c>
      <c r="G16" s="145">
        <f t="shared" si="3"/>
        <v>0</v>
      </c>
      <c r="H16" s="127">
        <v>0</v>
      </c>
      <c r="I16" s="128"/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401" t="s">
        <v>34</v>
      </c>
      <c r="B17" s="402"/>
      <c r="C17" s="402"/>
      <c r="D17" s="125"/>
      <c r="E17" s="125"/>
      <c r="F17" s="154">
        <f t="shared" si="0"/>
        <v>0</v>
      </c>
      <c r="G17" s="145"/>
      <c r="H17" s="127">
        <v>0</v>
      </c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405" t="s">
        <v>35</v>
      </c>
      <c r="B18" s="406"/>
      <c r="C18" s="406"/>
      <c r="D18" s="125">
        <v>339</v>
      </c>
      <c r="E18" s="125">
        <v>288</v>
      </c>
      <c r="F18" s="154">
        <f t="shared" si="0"/>
        <v>-51</v>
      </c>
      <c r="G18" s="145">
        <f t="shared" si="3"/>
        <v>0.8495575221238938</v>
      </c>
      <c r="H18" s="127">
        <v>382</v>
      </c>
      <c r="I18" s="128"/>
      <c r="J18" s="156">
        <f t="shared" si="1"/>
        <v>382</v>
      </c>
      <c r="K18" s="144">
        <f t="shared" si="2"/>
        <v>94</v>
      </c>
      <c r="L18" s="150">
        <f t="shared" si="4"/>
        <v>1.3263888888888888</v>
      </c>
    </row>
    <row r="19" spans="1:12" s="101" customFormat="1" ht="13.5">
      <c r="A19" s="401" t="s">
        <v>36</v>
      </c>
      <c r="B19" s="402"/>
      <c r="C19" s="402"/>
      <c r="D19" s="125"/>
      <c r="E19" s="125"/>
      <c r="F19" s="154">
        <f t="shared" si="0"/>
        <v>0</v>
      </c>
      <c r="G19" s="145"/>
      <c r="H19" s="127">
        <v>0</v>
      </c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401" t="s">
        <v>37</v>
      </c>
      <c r="B20" s="402"/>
      <c r="C20" s="402"/>
      <c r="D20" s="125"/>
      <c r="E20" s="138"/>
      <c r="F20" s="154">
        <f t="shared" si="0"/>
        <v>0</v>
      </c>
      <c r="G20" s="145"/>
      <c r="H20" s="122">
        <v>0</v>
      </c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407" t="s">
        <v>38</v>
      </c>
      <c r="B21" s="408"/>
      <c r="C21" s="408"/>
      <c r="D21" s="125">
        <v>227</v>
      </c>
      <c r="E21" s="125">
        <v>286</v>
      </c>
      <c r="F21" s="154">
        <f t="shared" si="0"/>
        <v>59</v>
      </c>
      <c r="G21" s="145">
        <f t="shared" si="3"/>
        <v>1.2599118942731278</v>
      </c>
      <c r="H21" s="366">
        <v>382</v>
      </c>
      <c r="I21" s="128"/>
      <c r="J21" s="156">
        <f t="shared" si="1"/>
        <v>382</v>
      </c>
      <c r="K21" s="144">
        <f t="shared" si="2"/>
        <v>96</v>
      </c>
      <c r="L21" s="150">
        <f t="shared" si="4"/>
        <v>1.3356643356643356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407" t="s">
        <v>160</v>
      </c>
      <c r="B22" s="409"/>
      <c r="C22" s="409"/>
      <c r="D22" s="125">
        <v>85</v>
      </c>
      <c r="E22" s="125"/>
      <c r="F22" s="154">
        <f t="shared" si="0"/>
        <v>-85</v>
      </c>
      <c r="G22" s="145">
        <f t="shared" si="3"/>
        <v>0</v>
      </c>
      <c r="H22" s="366">
        <v>136</v>
      </c>
      <c r="I22" s="128"/>
      <c r="J22" s="156">
        <f t="shared" si="1"/>
        <v>136</v>
      </c>
      <c r="K22" s="144">
        <f t="shared" si="2"/>
        <v>136</v>
      </c>
      <c r="L22" s="150"/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407" t="s">
        <v>161</v>
      </c>
      <c r="B23" s="409"/>
      <c r="C23" s="409"/>
      <c r="D23" s="125">
        <v>142</v>
      </c>
      <c r="E23" s="125">
        <v>286</v>
      </c>
      <c r="F23" s="154">
        <f t="shared" si="0"/>
        <v>144</v>
      </c>
      <c r="G23" s="145">
        <f t="shared" si="3"/>
        <v>2.0140845070422535</v>
      </c>
      <c r="H23" s="366">
        <v>199</v>
      </c>
      <c r="I23" s="128"/>
      <c r="J23" s="156">
        <f t="shared" si="1"/>
        <v>199</v>
      </c>
      <c r="K23" s="144">
        <f t="shared" si="2"/>
        <v>-87</v>
      </c>
      <c r="L23" s="150">
        <f t="shared" si="4"/>
        <v>0.6958041958041958</v>
      </c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407" t="s">
        <v>162</v>
      </c>
      <c r="B24" s="409"/>
      <c r="C24" s="409"/>
      <c r="D24" s="125"/>
      <c r="E24" s="125"/>
      <c r="F24" s="154">
        <f t="shared" si="0"/>
        <v>0</v>
      </c>
      <c r="G24" s="145"/>
      <c r="H24" s="366">
        <v>47</v>
      </c>
      <c r="I24" s="128"/>
      <c r="J24" s="156">
        <f t="shared" si="1"/>
        <v>47</v>
      </c>
      <c r="K24" s="144">
        <f t="shared" si="2"/>
        <v>47</v>
      </c>
      <c r="L24" s="150"/>
    </row>
    <row r="25" spans="1:12" s="101" customFormat="1" ht="13.5">
      <c r="A25" s="407" t="s">
        <v>163</v>
      </c>
      <c r="B25" s="409"/>
      <c r="C25" s="409"/>
      <c r="D25" s="125"/>
      <c r="E25" s="125"/>
      <c r="F25" s="154">
        <f t="shared" si="0"/>
        <v>0</v>
      </c>
      <c r="G25" s="145"/>
      <c r="H25" s="366">
        <v>0</v>
      </c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405" t="s">
        <v>39</v>
      </c>
      <c r="B26" s="406"/>
      <c r="C26" s="406"/>
      <c r="D26" s="125">
        <v>2</v>
      </c>
      <c r="E26" s="125">
        <v>8</v>
      </c>
      <c r="F26" s="154">
        <f t="shared" si="0"/>
        <v>6</v>
      </c>
      <c r="G26" s="145">
        <f t="shared" si="3"/>
        <v>4</v>
      </c>
      <c r="H26" s="366">
        <v>6</v>
      </c>
      <c r="I26" s="128"/>
      <c r="J26" s="156">
        <f t="shared" si="1"/>
        <v>6</v>
      </c>
      <c r="K26" s="144">
        <f t="shared" si="2"/>
        <v>-2</v>
      </c>
      <c r="L26" s="150">
        <f t="shared" si="4"/>
        <v>0.75</v>
      </c>
    </row>
    <row r="27" spans="1:12" s="101" customFormat="1" ht="13.5">
      <c r="A27" s="401" t="s">
        <v>40</v>
      </c>
      <c r="B27" s="402"/>
      <c r="C27" s="402"/>
      <c r="D27" s="125">
        <v>2</v>
      </c>
      <c r="E27" s="125">
        <v>8</v>
      </c>
      <c r="F27" s="154">
        <f t="shared" si="0"/>
        <v>6</v>
      </c>
      <c r="G27" s="145">
        <f t="shared" si="3"/>
        <v>4</v>
      </c>
      <c r="H27" s="366">
        <v>6</v>
      </c>
      <c r="I27" s="128"/>
      <c r="J27" s="156">
        <f t="shared" si="1"/>
        <v>6</v>
      </c>
      <c r="K27" s="144">
        <f t="shared" si="2"/>
        <v>-2</v>
      </c>
      <c r="L27" s="150">
        <f t="shared" si="4"/>
        <v>0.75</v>
      </c>
    </row>
    <row r="28" spans="1:12" s="101" customFormat="1" ht="13.5">
      <c r="A28" s="401" t="s">
        <v>41</v>
      </c>
      <c r="B28" s="402"/>
      <c r="C28" s="402"/>
      <c r="D28" s="125"/>
      <c r="E28" s="125"/>
      <c r="F28" s="154">
        <f t="shared" si="0"/>
        <v>0</v>
      </c>
      <c r="G28" s="145"/>
      <c r="H28" s="366">
        <v>0</v>
      </c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405" t="s">
        <v>42</v>
      </c>
      <c r="B29" s="406"/>
      <c r="C29" s="406"/>
      <c r="D29" s="125">
        <v>10508</v>
      </c>
      <c r="E29" s="138">
        <v>10225</v>
      </c>
      <c r="F29" s="154">
        <f t="shared" si="0"/>
        <v>-283</v>
      </c>
      <c r="G29" s="145">
        <f t="shared" si="3"/>
        <v>0.9730681385610963</v>
      </c>
      <c r="H29" s="367">
        <v>8833</v>
      </c>
      <c r="I29" s="123"/>
      <c r="J29" s="156">
        <f t="shared" si="1"/>
        <v>8833</v>
      </c>
      <c r="K29" s="144">
        <f t="shared" si="2"/>
        <v>-1392</v>
      </c>
      <c r="L29" s="150">
        <f t="shared" si="4"/>
        <v>0.8638630806845966</v>
      </c>
    </row>
    <row r="30" spans="1:14" s="101" customFormat="1" ht="13.5">
      <c r="A30" s="403" t="s">
        <v>164</v>
      </c>
      <c r="B30" s="404"/>
      <c r="C30" s="404"/>
      <c r="D30" s="131">
        <v>1785</v>
      </c>
      <c r="E30" s="131">
        <v>2850</v>
      </c>
      <c r="F30" s="155">
        <f t="shared" si="0"/>
        <v>1065</v>
      </c>
      <c r="G30" s="147">
        <f t="shared" si="3"/>
        <v>1.596638655462185</v>
      </c>
      <c r="H30" s="363">
        <v>1750</v>
      </c>
      <c r="I30" s="133"/>
      <c r="J30" s="157">
        <f t="shared" si="1"/>
        <v>1750</v>
      </c>
      <c r="K30" s="146">
        <f t="shared" si="2"/>
        <v>-1100</v>
      </c>
      <c r="L30" s="151">
        <f t="shared" si="4"/>
        <v>0.6140350877192983</v>
      </c>
      <c r="N30" s="129"/>
    </row>
    <row r="31" spans="1:12" s="101" customFormat="1" ht="13.5">
      <c r="A31" s="403" t="s">
        <v>43</v>
      </c>
      <c r="B31" s="404"/>
      <c r="C31" s="404"/>
      <c r="D31" s="125">
        <v>8654</v>
      </c>
      <c r="E31" s="125">
        <v>7359</v>
      </c>
      <c r="F31" s="154">
        <f t="shared" si="0"/>
        <v>-1295</v>
      </c>
      <c r="G31" s="145">
        <f t="shared" si="3"/>
        <v>0.8503582158539403</v>
      </c>
      <c r="H31" s="127">
        <v>7083</v>
      </c>
      <c r="I31" s="128"/>
      <c r="J31" s="156">
        <f t="shared" si="1"/>
        <v>7083</v>
      </c>
      <c r="K31" s="144">
        <f t="shared" si="2"/>
        <v>-276</v>
      </c>
      <c r="L31" s="150">
        <f t="shared" si="4"/>
        <v>0.9624949041989401</v>
      </c>
    </row>
    <row r="32" spans="1:12" s="101" customFormat="1" ht="13.5">
      <c r="A32" s="401" t="s">
        <v>44</v>
      </c>
      <c r="B32" s="402"/>
      <c r="C32" s="402"/>
      <c r="D32" s="138">
        <v>68</v>
      </c>
      <c r="E32" s="138">
        <v>16</v>
      </c>
      <c r="F32" s="154">
        <f t="shared" si="0"/>
        <v>-52</v>
      </c>
      <c r="G32" s="145">
        <f t="shared" si="3"/>
        <v>0.23529411764705882</v>
      </c>
      <c r="H32" s="122">
        <v>0</v>
      </c>
      <c r="I32" s="123"/>
      <c r="J32" s="156">
        <f t="shared" si="1"/>
        <v>0</v>
      </c>
      <c r="K32" s="144">
        <f t="shared" si="2"/>
        <v>-16</v>
      </c>
      <c r="L32" s="150">
        <f t="shared" si="4"/>
        <v>0</v>
      </c>
    </row>
    <row r="33" spans="1:14" s="101" customFormat="1" ht="14.25" thickBot="1">
      <c r="A33" s="403" t="s">
        <v>45</v>
      </c>
      <c r="B33" s="404"/>
      <c r="C33" s="404"/>
      <c r="D33" s="153"/>
      <c r="E33" s="153"/>
      <c r="F33" s="154">
        <f t="shared" si="0"/>
        <v>0</v>
      </c>
      <c r="G33" s="145"/>
      <c r="H33" s="158">
        <v>0</v>
      </c>
      <c r="I33" s="159"/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410" t="s">
        <v>46</v>
      </c>
      <c r="B34" s="411"/>
      <c r="C34" s="411"/>
      <c r="D34" s="171">
        <v>26986</v>
      </c>
      <c r="E34" s="172">
        <v>27032</v>
      </c>
      <c r="F34" s="173">
        <f t="shared" si="0"/>
        <v>46</v>
      </c>
      <c r="G34" s="174">
        <f t="shared" si="3"/>
        <v>1.001704587563922</v>
      </c>
      <c r="H34" s="172">
        <v>25748</v>
      </c>
      <c r="I34" s="172"/>
      <c r="J34" s="175">
        <f t="shared" si="1"/>
        <v>25748</v>
      </c>
      <c r="K34" s="173">
        <f t="shared" si="2"/>
        <v>-1284</v>
      </c>
      <c r="L34" s="176">
        <f t="shared" si="4"/>
        <v>0.9525007398638651</v>
      </c>
    </row>
    <row r="35" spans="1:12" s="101" customFormat="1" ht="13.5">
      <c r="A35" s="412" t="s">
        <v>47</v>
      </c>
      <c r="B35" s="413"/>
      <c r="C35" s="413"/>
      <c r="D35" s="135">
        <v>3528</v>
      </c>
      <c r="E35" s="136">
        <v>3850</v>
      </c>
      <c r="F35" s="148">
        <f t="shared" si="0"/>
        <v>322</v>
      </c>
      <c r="G35" s="149">
        <f t="shared" si="3"/>
        <v>1.0912698412698412</v>
      </c>
      <c r="H35" s="137">
        <v>3978</v>
      </c>
      <c r="I35" s="137"/>
      <c r="J35" s="134">
        <f t="shared" si="1"/>
        <v>3978</v>
      </c>
      <c r="K35" s="148">
        <f t="shared" si="2"/>
        <v>128</v>
      </c>
      <c r="L35" s="152">
        <f t="shared" si="4"/>
        <v>1.0332467532467533</v>
      </c>
    </row>
    <row r="36" spans="1:12" s="101" customFormat="1" ht="13.5">
      <c r="A36" s="403" t="s">
        <v>48</v>
      </c>
      <c r="B36" s="404"/>
      <c r="C36" s="404"/>
      <c r="D36" s="125">
        <v>2534</v>
      </c>
      <c r="E36" s="126">
        <v>2758</v>
      </c>
      <c r="F36" s="144">
        <f t="shared" si="0"/>
        <v>224</v>
      </c>
      <c r="G36" s="145">
        <f t="shared" si="3"/>
        <v>1.0883977900552486</v>
      </c>
      <c r="H36" s="127">
        <v>2820</v>
      </c>
      <c r="I36" s="128"/>
      <c r="J36" s="124">
        <f t="shared" si="1"/>
        <v>2820</v>
      </c>
      <c r="K36" s="144">
        <f t="shared" si="2"/>
        <v>62</v>
      </c>
      <c r="L36" s="150">
        <f t="shared" si="4"/>
        <v>1.0224800580130529</v>
      </c>
    </row>
    <row r="37" spans="1:12" s="101" customFormat="1" ht="13.5">
      <c r="A37" s="403" t="s">
        <v>49</v>
      </c>
      <c r="B37" s="404"/>
      <c r="C37" s="404"/>
      <c r="D37" s="125">
        <v>209</v>
      </c>
      <c r="E37" s="126">
        <v>263</v>
      </c>
      <c r="F37" s="144">
        <f t="shared" si="0"/>
        <v>54</v>
      </c>
      <c r="G37" s="145">
        <f t="shared" si="3"/>
        <v>1.2583732057416268</v>
      </c>
      <c r="H37" s="127">
        <v>275</v>
      </c>
      <c r="I37" s="128"/>
      <c r="J37" s="124">
        <f t="shared" si="1"/>
        <v>275</v>
      </c>
      <c r="K37" s="144">
        <f t="shared" si="2"/>
        <v>12</v>
      </c>
      <c r="L37" s="150">
        <f t="shared" si="4"/>
        <v>1.0456273764258555</v>
      </c>
    </row>
    <row r="38" spans="1:12" s="101" customFormat="1" ht="13.5">
      <c r="A38" s="403" t="s">
        <v>50</v>
      </c>
      <c r="B38" s="404"/>
      <c r="C38" s="404"/>
      <c r="D38" s="138">
        <v>3</v>
      </c>
      <c r="E38" s="130">
        <v>1</v>
      </c>
      <c r="F38" s="144">
        <f t="shared" si="0"/>
        <v>-2</v>
      </c>
      <c r="G38" s="145">
        <f t="shared" si="3"/>
        <v>0.3333333333333333</v>
      </c>
      <c r="H38" s="122">
        <v>3</v>
      </c>
      <c r="I38" s="123"/>
      <c r="J38" s="124">
        <f t="shared" si="1"/>
        <v>3</v>
      </c>
      <c r="K38" s="144">
        <f t="shared" si="2"/>
        <v>2</v>
      </c>
      <c r="L38" s="150">
        <f t="shared" si="4"/>
        <v>3</v>
      </c>
    </row>
    <row r="39" spans="1:12" s="101" customFormat="1" ht="13.5">
      <c r="A39" s="403" t="s">
        <v>51</v>
      </c>
      <c r="B39" s="404"/>
      <c r="C39" s="404"/>
      <c r="D39" s="125">
        <v>25</v>
      </c>
      <c r="E39" s="126">
        <v>18</v>
      </c>
      <c r="F39" s="144">
        <f t="shared" si="0"/>
        <v>-7</v>
      </c>
      <c r="G39" s="145">
        <f t="shared" si="3"/>
        <v>0.72</v>
      </c>
      <c r="H39" s="127">
        <v>20</v>
      </c>
      <c r="I39" s="128"/>
      <c r="J39" s="124">
        <f t="shared" si="1"/>
        <v>20</v>
      </c>
      <c r="K39" s="144">
        <f t="shared" si="2"/>
        <v>2</v>
      </c>
      <c r="L39" s="150">
        <f t="shared" si="4"/>
        <v>1.1111111111111112</v>
      </c>
    </row>
    <row r="40" spans="1:12" s="101" customFormat="1" ht="13.5">
      <c r="A40" s="403" t="s">
        <v>52</v>
      </c>
      <c r="B40" s="404"/>
      <c r="C40" s="404"/>
      <c r="D40" s="125">
        <v>7</v>
      </c>
      <c r="E40" s="126">
        <v>13</v>
      </c>
      <c r="F40" s="144">
        <f t="shared" si="0"/>
        <v>6</v>
      </c>
      <c r="G40" s="145">
        <f t="shared" si="3"/>
        <v>1.8571428571428572</v>
      </c>
      <c r="H40" s="127">
        <v>20</v>
      </c>
      <c r="I40" s="128"/>
      <c r="J40" s="124">
        <f t="shared" si="1"/>
        <v>20</v>
      </c>
      <c r="K40" s="144">
        <f t="shared" si="2"/>
        <v>7</v>
      </c>
      <c r="L40" s="150">
        <f t="shared" si="4"/>
        <v>1.5384615384615385</v>
      </c>
    </row>
    <row r="41" spans="1:14" s="101" customFormat="1" ht="13.5">
      <c r="A41" s="403" t="s">
        <v>53</v>
      </c>
      <c r="B41" s="404"/>
      <c r="C41" s="404"/>
      <c r="D41" s="125">
        <v>86</v>
      </c>
      <c r="E41" s="126">
        <v>41</v>
      </c>
      <c r="F41" s="144">
        <f t="shared" si="0"/>
        <v>-45</v>
      </c>
      <c r="G41" s="145">
        <f t="shared" si="3"/>
        <v>0.47674418604651164</v>
      </c>
      <c r="H41" s="127">
        <v>50</v>
      </c>
      <c r="I41" s="128"/>
      <c r="J41" s="124">
        <f t="shared" si="1"/>
        <v>50</v>
      </c>
      <c r="K41" s="144">
        <f t="shared" si="2"/>
        <v>9</v>
      </c>
      <c r="L41" s="150">
        <f t="shared" si="4"/>
        <v>1.2195121951219512</v>
      </c>
      <c r="N41" s="129"/>
    </row>
    <row r="42" spans="1:12" s="101" customFormat="1" ht="13.5">
      <c r="A42" s="403" t="s">
        <v>54</v>
      </c>
      <c r="B42" s="404"/>
      <c r="C42" s="404"/>
      <c r="D42" s="125">
        <v>198</v>
      </c>
      <c r="E42" s="126">
        <v>180</v>
      </c>
      <c r="F42" s="144">
        <f t="shared" si="0"/>
        <v>-18</v>
      </c>
      <c r="G42" s="145">
        <f t="shared" si="3"/>
        <v>0.9090909090909091</v>
      </c>
      <c r="H42" s="127">
        <v>210</v>
      </c>
      <c r="I42" s="128"/>
      <c r="J42" s="124">
        <f t="shared" si="1"/>
        <v>210</v>
      </c>
      <c r="K42" s="144">
        <f t="shared" si="2"/>
        <v>30</v>
      </c>
      <c r="L42" s="150">
        <f t="shared" si="4"/>
        <v>1.1666666666666667</v>
      </c>
    </row>
    <row r="43" spans="1:14" s="101" customFormat="1" ht="13.5">
      <c r="A43" s="403" t="s">
        <v>166</v>
      </c>
      <c r="B43" s="404"/>
      <c r="C43" s="404"/>
      <c r="D43" s="125">
        <v>131</v>
      </c>
      <c r="E43" s="126">
        <v>99</v>
      </c>
      <c r="F43" s="144">
        <f t="shared" si="0"/>
        <v>-32</v>
      </c>
      <c r="G43" s="145">
        <f t="shared" si="3"/>
        <v>0.7557251908396947</v>
      </c>
      <c r="H43" s="127">
        <v>90</v>
      </c>
      <c r="I43" s="128"/>
      <c r="J43" s="124">
        <f t="shared" si="1"/>
        <v>90</v>
      </c>
      <c r="K43" s="144">
        <f t="shared" si="2"/>
        <v>-9</v>
      </c>
      <c r="L43" s="150">
        <f t="shared" si="4"/>
        <v>0.9090909090909091</v>
      </c>
      <c r="N43" s="129"/>
    </row>
    <row r="44" spans="1:12" s="101" customFormat="1" ht="13.5">
      <c r="A44" s="403" t="s">
        <v>167</v>
      </c>
      <c r="B44" s="404"/>
      <c r="C44" s="404"/>
      <c r="D44" s="125"/>
      <c r="E44" s="126"/>
      <c r="F44" s="144">
        <f t="shared" si="0"/>
        <v>0</v>
      </c>
      <c r="G44" s="145"/>
      <c r="H44" s="127">
        <v>40</v>
      </c>
      <c r="I44" s="128"/>
      <c r="J44" s="124">
        <f t="shared" si="1"/>
        <v>40</v>
      </c>
      <c r="K44" s="144">
        <f t="shared" si="2"/>
        <v>40</v>
      </c>
      <c r="L44" s="150"/>
    </row>
    <row r="45" spans="1:12" s="101" customFormat="1" ht="13.5">
      <c r="A45" s="403" t="s">
        <v>55</v>
      </c>
      <c r="B45" s="404"/>
      <c r="C45" s="404"/>
      <c r="D45" s="125">
        <v>466</v>
      </c>
      <c r="E45" s="126">
        <v>476</v>
      </c>
      <c r="F45" s="144">
        <f t="shared" si="0"/>
        <v>10</v>
      </c>
      <c r="G45" s="145">
        <f t="shared" si="3"/>
        <v>1.0214592274678111</v>
      </c>
      <c r="H45" s="127">
        <v>450</v>
      </c>
      <c r="I45" s="128"/>
      <c r="J45" s="124">
        <f t="shared" si="1"/>
        <v>450</v>
      </c>
      <c r="K45" s="144">
        <f t="shared" si="2"/>
        <v>-26</v>
      </c>
      <c r="L45" s="150">
        <f t="shared" si="4"/>
        <v>0.9453781512605042</v>
      </c>
    </row>
    <row r="46" spans="1:14" s="101" customFormat="1" ht="13.5">
      <c r="A46" s="412" t="s">
        <v>56</v>
      </c>
      <c r="B46" s="413"/>
      <c r="C46" s="413"/>
      <c r="D46" s="125">
        <v>1838</v>
      </c>
      <c r="E46" s="126">
        <v>1826</v>
      </c>
      <c r="F46" s="144">
        <f t="shared" si="0"/>
        <v>-12</v>
      </c>
      <c r="G46" s="145">
        <f t="shared" si="3"/>
        <v>0.9934711643090316</v>
      </c>
      <c r="H46" s="127">
        <v>1834</v>
      </c>
      <c r="I46" s="127"/>
      <c r="J46" s="124">
        <f t="shared" si="1"/>
        <v>1834</v>
      </c>
      <c r="K46" s="144">
        <f t="shared" si="2"/>
        <v>8</v>
      </c>
      <c r="L46" s="150">
        <f t="shared" si="4"/>
        <v>1.004381161007667</v>
      </c>
      <c r="N46" s="129"/>
    </row>
    <row r="47" spans="1:12" s="101" customFormat="1" ht="13.5">
      <c r="A47" s="403" t="s">
        <v>57</v>
      </c>
      <c r="B47" s="404"/>
      <c r="C47" s="404"/>
      <c r="D47" s="125">
        <v>1619</v>
      </c>
      <c r="E47" s="126">
        <v>1744</v>
      </c>
      <c r="F47" s="144">
        <f t="shared" si="0"/>
        <v>125</v>
      </c>
      <c r="G47" s="145">
        <f t="shared" si="3"/>
        <v>1.0772081531809758</v>
      </c>
      <c r="H47" s="127">
        <v>1744</v>
      </c>
      <c r="I47" s="128"/>
      <c r="J47" s="124">
        <f t="shared" si="1"/>
        <v>1744</v>
      </c>
      <c r="K47" s="144">
        <f t="shared" si="2"/>
        <v>0</v>
      </c>
      <c r="L47" s="150">
        <f t="shared" si="4"/>
        <v>1</v>
      </c>
    </row>
    <row r="48" spans="1:12" s="101" customFormat="1" ht="13.5">
      <c r="A48" s="403" t="s">
        <v>58</v>
      </c>
      <c r="B48" s="404"/>
      <c r="C48" s="404"/>
      <c r="D48" s="125">
        <v>12</v>
      </c>
      <c r="E48" s="126">
        <v>19</v>
      </c>
      <c r="F48" s="144">
        <f t="shared" si="0"/>
        <v>7</v>
      </c>
      <c r="G48" s="145">
        <f t="shared" si="3"/>
        <v>1.5833333333333333</v>
      </c>
      <c r="H48" s="127">
        <v>20</v>
      </c>
      <c r="I48" s="128"/>
      <c r="J48" s="124">
        <f t="shared" si="1"/>
        <v>20</v>
      </c>
      <c r="K48" s="144">
        <f t="shared" si="2"/>
        <v>1</v>
      </c>
      <c r="L48" s="150">
        <f t="shared" si="4"/>
        <v>1.0526315789473684</v>
      </c>
    </row>
    <row r="49" spans="1:12" s="101" customFormat="1" ht="13.5">
      <c r="A49" s="403" t="s">
        <v>59</v>
      </c>
      <c r="B49" s="404"/>
      <c r="C49" s="404"/>
      <c r="D49" s="125">
        <v>76</v>
      </c>
      <c r="E49" s="126">
        <v>62</v>
      </c>
      <c r="F49" s="144">
        <f t="shared" si="0"/>
        <v>-14</v>
      </c>
      <c r="G49" s="145">
        <f t="shared" si="3"/>
        <v>0.8157894736842105</v>
      </c>
      <c r="H49" s="127">
        <v>70</v>
      </c>
      <c r="I49" s="128"/>
      <c r="J49" s="124">
        <f t="shared" si="1"/>
        <v>70</v>
      </c>
      <c r="K49" s="144">
        <f t="shared" si="2"/>
        <v>8</v>
      </c>
      <c r="L49" s="150">
        <f t="shared" si="4"/>
        <v>1.1290322580645162</v>
      </c>
    </row>
    <row r="50" spans="1:12" s="101" customFormat="1" ht="13.5">
      <c r="A50" s="403" t="s">
        <v>168</v>
      </c>
      <c r="B50" s="404"/>
      <c r="C50" s="404"/>
      <c r="D50" s="125"/>
      <c r="E50" s="126"/>
      <c r="F50" s="144">
        <f t="shared" si="0"/>
        <v>0</v>
      </c>
      <c r="G50" s="145"/>
      <c r="H50" s="127">
        <v>0</v>
      </c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412" t="s">
        <v>60</v>
      </c>
      <c r="B51" s="413"/>
      <c r="C51" s="413"/>
      <c r="D51" s="125"/>
      <c r="E51" s="126"/>
      <c r="F51" s="144">
        <f t="shared" si="0"/>
        <v>0</v>
      </c>
      <c r="G51" s="145"/>
      <c r="H51" s="127">
        <v>0</v>
      </c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412" t="s">
        <v>61</v>
      </c>
      <c r="B52" s="413"/>
      <c r="C52" s="413"/>
      <c r="D52" s="125"/>
      <c r="E52" s="126">
        <v>7</v>
      </c>
      <c r="F52" s="144">
        <f t="shared" si="0"/>
        <v>7</v>
      </c>
      <c r="G52" s="145"/>
      <c r="H52" s="127">
        <v>10</v>
      </c>
      <c r="I52" s="128"/>
      <c r="J52" s="124">
        <f t="shared" si="1"/>
        <v>10</v>
      </c>
      <c r="K52" s="144">
        <f t="shared" si="2"/>
        <v>3</v>
      </c>
      <c r="L52" s="150">
        <f t="shared" si="4"/>
        <v>1.4285714285714286</v>
      </c>
    </row>
    <row r="53" spans="1:12" s="101" customFormat="1" ht="13.5">
      <c r="A53" s="412" t="s">
        <v>62</v>
      </c>
      <c r="B53" s="413"/>
      <c r="C53" s="413"/>
      <c r="D53" s="125">
        <v>465</v>
      </c>
      <c r="E53" s="126">
        <v>484</v>
      </c>
      <c r="F53" s="144">
        <f t="shared" si="0"/>
        <v>19</v>
      </c>
      <c r="G53" s="145">
        <f t="shared" si="3"/>
        <v>1.0408602150537634</v>
      </c>
      <c r="H53" s="127">
        <v>449</v>
      </c>
      <c r="I53" s="128"/>
      <c r="J53" s="124">
        <f t="shared" si="1"/>
        <v>449</v>
      </c>
      <c r="K53" s="144">
        <f t="shared" si="2"/>
        <v>-35</v>
      </c>
      <c r="L53" s="150">
        <f t="shared" si="4"/>
        <v>0.9276859504132231</v>
      </c>
    </row>
    <row r="54" spans="1:12" s="101" customFormat="1" ht="13.5">
      <c r="A54" s="414" t="s">
        <v>63</v>
      </c>
      <c r="B54" s="415"/>
      <c r="C54" s="415"/>
      <c r="D54" s="125">
        <v>230</v>
      </c>
      <c r="E54" s="126">
        <v>202</v>
      </c>
      <c r="F54" s="144">
        <f t="shared" si="0"/>
        <v>-28</v>
      </c>
      <c r="G54" s="145">
        <f t="shared" si="3"/>
        <v>0.8782608695652174</v>
      </c>
      <c r="H54" s="127">
        <v>99</v>
      </c>
      <c r="I54" s="128"/>
      <c r="J54" s="124">
        <f t="shared" si="1"/>
        <v>99</v>
      </c>
      <c r="K54" s="144">
        <f t="shared" si="2"/>
        <v>-103</v>
      </c>
      <c r="L54" s="150">
        <f t="shared" si="4"/>
        <v>0.4900990099009901</v>
      </c>
    </row>
    <row r="55" spans="1:12" s="101" customFormat="1" ht="13.5">
      <c r="A55" s="414" t="s">
        <v>169</v>
      </c>
      <c r="B55" s="415"/>
      <c r="C55" s="415"/>
      <c r="D55" s="125">
        <v>150</v>
      </c>
      <c r="E55" s="126">
        <v>200</v>
      </c>
      <c r="F55" s="144">
        <f t="shared" si="0"/>
        <v>50</v>
      </c>
      <c r="G55" s="145">
        <f t="shared" si="3"/>
        <v>1.3333333333333333</v>
      </c>
      <c r="H55" s="127">
        <v>200</v>
      </c>
      <c r="I55" s="128"/>
      <c r="J55" s="124">
        <f t="shared" si="1"/>
        <v>200</v>
      </c>
      <c r="K55" s="144">
        <f t="shared" si="2"/>
        <v>0</v>
      </c>
      <c r="L55" s="150">
        <f t="shared" si="4"/>
        <v>1</v>
      </c>
    </row>
    <row r="56" spans="1:12" s="101" customFormat="1" ht="13.5">
      <c r="A56" s="414" t="s">
        <v>133</v>
      </c>
      <c r="B56" s="415"/>
      <c r="C56" s="415"/>
      <c r="D56" s="125">
        <v>85</v>
      </c>
      <c r="E56" s="126">
        <v>82</v>
      </c>
      <c r="F56" s="144">
        <f t="shared" si="0"/>
        <v>-3</v>
      </c>
      <c r="G56" s="145">
        <f t="shared" si="3"/>
        <v>0.9647058823529412</v>
      </c>
      <c r="H56" s="127">
        <v>150</v>
      </c>
      <c r="I56" s="128"/>
      <c r="J56" s="124">
        <f t="shared" si="1"/>
        <v>150</v>
      </c>
      <c r="K56" s="144">
        <f t="shared" si="2"/>
        <v>68</v>
      </c>
      <c r="L56" s="150">
        <f t="shared" si="4"/>
        <v>1.829268292682927</v>
      </c>
    </row>
    <row r="57" spans="1:12" s="101" customFormat="1" ht="13.5">
      <c r="A57" s="412" t="s">
        <v>64</v>
      </c>
      <c r="B57" s="413"/>
      <c r="C57" s="413"/>
      <c r="D57" s="125">
        <v>154</v>
      </c>
      <c r="E57" s="126">
        <v>113</v>
      </c>
      <c r="F57" s="144">
        <f t="shared" si="0"/>
        <v>-41</v>
      </c>
      <c r="G57" s="145">
        <f t="shared" si="3"/>
        <v>0.7337662337662337</v>
      </c>
      <c r="H57" s="127">
        <v>130</v>
      </c>
      <c r="I57" s="128"/>
      <c r="J57" s="124">
        <f t="shared" si="1"/>
        <v>130</v>
      </c>
      <c r="K57" s="144">
        <f t="shared" si="2"/>
        <v>17</v>
      </c>
      <c r="L57" s="150">
        <f t="shared" si="4"/>
        <v>1.1504424778761062</v>
      </c>
    </row>
    <row r="58" spans="1:12" s="101" customFormat="1" ht="13.5">
      <c r="A58" s="412" t="s">
        <v>65</v>
      </c>
      <c r="B58" s="413"/>
      <c r="C58" s="413"/>
      <c r="D58" s="125">
        <v>1</v>
      </c>
      <c r="E58" s="126">
        <v>2</v>
      </c>
      <c r="F58" s="144">
        <f t="shared" si="0"/>
        <v>1</v>
      </c>
      <c r="G58" s="145">
        <f t="shared" si="3"/>
        <v>2</v>
      </c>
      <c r="H58" s="127">
        <v>25</v>
      </c>
      <c r="I58" s="128"/>
      <c r="J58" s="124">
        <f t="shared" si="1"/>
        <v>25</v>
      </c>
      <c r="K58" s="144">
        <f t="shared" si="2"/>
        <v>23</v>
      </c>
      <c r="L58" s="150">
        <f t="shared" si="4"/>
        <v>12.5</v>
      </c>
    </row>
    <row r="59" spans="1:14" s="101" customFormat="1" ht="13.5">
      <c r="A59" s="412" t="s">
        <v>66</v>
      </c>
      <c r="B59" s="413"/>
      <c r="C59" s="413"/>
      <c r="D59" s="125">
        <v>1161</v>
      </c>
      <c r="E59" s="126">
        <v>967</v>
      </c>
      <c r="F59" s="144">
        <f t="shared" si="0"/>
        <v>-194</v>
      </c>
      <c r="G59" s="145">
        <f t="shared" si="3"/>
        <v>0.8329026701119724</v>
      </c>
      <c r="H59" s="127">
        <v>1280</v>
      </c>
      <c r="I59" s="128"/>
      <c r="J59" s="124">
        <f t="shared" si="1"/>
        <v>1280</v>
      </c>
      <c r="K59" s="144">
        <f t="shared" si="2"/>
        <v>313</v>
      </c>
      <c r="L59" s="150">
        <f t="shared" si="4"/>
        <v>1.3236814891416753</v>
      </c>
      <c r="N59" s="129"/>
    </row>
    <row r="60" spans="1:12" s="101" customFormat="1" ht="13.5">
      <c r="A60" s="403" t="s">
        <v>67</v>
      </c>
      <c r="B60" s="404"/>
      <c r="C60" s="404"/>
      <c r="D60" s="125">
        <v>160</v>
      </c>
      <c r="E60" s="126">
        <v>133</v>
      </c>
      <c r="F60" s="144">
        <f t="shared" si="0"/>
        <v>-27</v>
      </c>
      <c r="G60" s="145">
        <f t="shared" si="3"/>
        <v>0.83125</v>
      </c>
      <c r="H60" s="127">
        <v>140</v>
      </c>
      <c r="I60" s="128"/>
      <c r="J60" s="124">
        <f t="shared" si="1"/>
        <v>140</v>
      </c>
      <c r="K60" s="144">
        <f t="shared" si="2"/>
        <v>7</v>
      </c>
      <c r="L60" s="150">
        <f t="shared" si="4"/>
        <v>1.0526315789473684</v>
      </c>
    </row>
    <row r="61" spans="1:12" s="101" customFormat="1" ht="13.5">
      <c r="A61" s="403" t="s">
        <v>68</v>
      </c>
      <c r="B61" s="404"/>
      <c r="C61" s="404"/>
      <c r="D61" s="125">
        <v>39</v>
      </c>
      <c r="E61" s="126">
        <v>65</v>
      </c>
      <c r="F61" s="144">
        <f t="shared" si="0"/>
        <v>26</v>
      </c>
      <c r="G61" s="145">
        <f t="shared" si="3"/>
        <v>1.6666666666666667</v>
      </c>
      <c r="H61" s="127">
        <v>90</v>
      </c>
      <c r="I61" s="128"/>
      <c r="J61" s="124">
        <f t="shared" si="1"/>
        <v>90</v>
      </c>
      <c r="K61" s="144">
        <f t="shared" si="2"/>
        <v>25</v>
      </c>
      <c r="L61" s="150">
        <f t="shared" si="4"/>
        <v>1.3846153846153846</v>
      </c>
    </row>
    <row r="62" spans="1:12" s="101" customFormat="1" ht="13.5">
      <c r="A62" s="403" t="s">
        <v>69</v>
      </c>
      <c r="B62" s="404"/>
      <c r="C62" s="404"/>
      <c r="D62" s="125"/>
      <c r="E62" s="126"/>
      <c r="F62" s="144">
        <f t="shared" si="0"/>
        <v>0</v>
      </c>
      <c r="G62" s="145"/>
      <c r="H62" s="127">
        <v>0</v>
      </c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403" t="s">
        <v>70</v>
      </c>
      <c r="B63" s="404"/>
      <c r="C63" s="404"/>
      <c r="D63" s="125">
        <v>40</v>
      </c>
      <c r="E63" s="126">
        <v>38</v>
      </c>
      <c r="F63" s="144">
        <f t="shared" si="0"/>
        <v>-2</v>
      </c>
      <c r="G63" s="145">
        <f t="shared" si="3"/>
        <v>0.95</v>
      </c>
      <c r="H63" s="127">
        <v>40</v>
      </c>
      <c r="I63" s="128"/>
      <c r="J63" s="124">
        <f t="shared" si="1"/>
        <v>40</v>
      </c>
      <c r="K63" s="144">
        <f t="shared" si="2"/>
        <v>2</v>
      </c>
      <c r="L63" s="150">
        <f t="shared" si="4"/>
        <v>1.0526315789473684</v>
      </c>
    </row>
    <row r="64" spans="1:12" s="101" customFormat="1" ht="13.5">
      <c r="A64" s="403" t="s">
        <v>71</v>
      </c>
      <c r="B64" s="404"/>
      <c r="C64" s="404"/>
      <c r="D64" s="125">
        <v>225</v>
      </c>
      <c r="E64" s="126">
        <v>235</v>
      </c>
      <c r="F64" s="144">
        <f t="shared" si="0"/>
        <v>10</v>
      </c>
      <c r="G64" s="145">
        <f t="shared" si="3"/>
        <v>1.0444444444444445</v>
      </c>
      <c r="H64" s="127">
        <v>270</v>
      </c>
      <c r="I64" s="128"/>
      <c r="J64" s="124">
        <f t="shared" si="1"/>
        <v>270</v>
      </c>
      <c r="K64" s="144">
        <f t="shared" si="2"/>
        <v>35</v>
      </c>
      <c r="L64" s="150">
        <f t="shared" si="4"/>
        <v>1.148936170212766</v>
      </c>
    </row>
    <row r="65" spans="1:12" s="101" customFormat="1" ht="13.5">
      <c r="A65" s="403" t="s">
        <v>170</v>
      </c>
      <c r="B65" s="404"/>
      <c r="C65" s="404"/>
      <c r="D65" s="125">
        <v>76</v>
      </c>
      <c r="E65" s="126">
        <v>76</v>
      </c>
      <c r="F65" s="144">
        <f t="shared" si="0"/>
        <v>0</v>
      </c>
      <c r="G65" s="145">
        <f t="shared" si="3"/>
        <v>1</v>
      </c>
      <c r="H65" s="127">
        <v>90</v>
      </c>
      <c r="I65" s="128"/>
      <c r="J65" s="124">
        <f t="shared" si="1"/>
        <v>90</v>
      </c>
      <c r="K65" s="144">
        <f t="shared" si="2"/>
        <v>14</v>
      </c>
      <c r="L65" s="150">
        <f t="shared" si="4"/>
        <v>1.1842105263157894</v>
      </c>
    </row>
    <row r="66" spans="1:12" s="101" customFormat="1" ht="13.5">
      <c r="A66" s="403" t="s">
        <v>72</v>
      </c>
      <c r="B66" s="404"/>
      <c r="C66" s="404"/>
      <c r="D66" s="125">
        <v>410</v>
      </c>
      <c r="E66" s="126">
        <v>20</v>
      </c>
      <c r="F66" s="144">
        <f t="shared" si="0"/>
        <v>-390</v>
      </c>
      <c r="G66" s="145">
        <f t="shared" si="3"/>
        <v>0.04878048780487805</v>
      </c>
      <c r="H66" s="127">
        <v>200</v>
      </c>
      <c r="I66" s="128"/>
      <c r="J66" s="124">
        <f t="shared" si="1"/>
        <v>200</v>
      </c>
      <c r="K66" s="144">
        <f t="shared" si="2"/>
        <v>180</v>
      </c>
      <c r="L66" s="150">
        <f t="shared" si="4"/>
        <v>10</v>
      </c>
    </row>
    <row r="67" spans="1:12" s="101" customFormat="1" ht="13.5">
      <c r="A67" s="403" t="s">
        <v>73</v>
      </c>
      <c r="B67" s="404"/>
      <c r="C67" s="404"/>
      <c r="D67" s="125">
        <v>211</v>
      </c>
      <c r="E67" s="126">
        <v>400</v>
      </c>
      <c r="F67" s="144">
        <f t="shared" si="0"/>
        <v>189</v>
      </c>
      <c r="G67" s="145">
        <f>E67/D67</f>
        <v>1.8957345971563981</v>
      </c>
      <c r="H67" s="127">
        <v>425</v>
      </c>
      <c r="I67" s="128"/>
      <c r="J67" s="124">
        <f t="shared" si="1"/>
        <v>425</v>
      </c>
      <c r="K67" s="144">
        <f t="shared" si="2"/>
        <v>25</v>
      </c>
      <c r="L67" s="150">
        <f t="shared" si="4"/>
        <v>1.0625</v>
      </c>
    </row>
    <row r="68" spans="1:12" s="101" customFormat="1" ht="13.5">
      <c r="A68" s="403" t="s">
        <v>171</v>
      </c>
      <c r="B68" s="404"/>
      <c r="C68" s="404"/>
      <c r="D68" s="125"/>
      <c r="E68" s="126"/>
      <c r="F68" s="144">
        <f t="shared" si="0"/>
        <v>0</v>
      </c>
      <c r="G68" s="145"/>
      <c r="H68" s="127">
        <v>25</v>
      </c>
      <c r="I68" s="128"/>
      <c r="J68" s="124">
        <f t="shared" si="1"/>
        <v>25</v>
      </c>
      <c r="K68" s="144">
        <f t="shared" si="2"/>
        <v>25</v>
      </c>
      <c r="L68" s="150"/>
    </row>
    <row r="69" spans="1:14" s="101" customFormat="1" ht="13.5">
      <c r="A69" s="412" t="s">
        <v>74</v>
      </c>
      <c r="B69" s="413"/>
      <c r="C69" s="413"/>
      <c r="D69" s="125">
        <v>18541</v>
      </c>
      <c r="E69" s="126">
        <v>18615</v>
      </c>
      <c r="F69" s="144">
        <f t="shared" si="0"/>
        <v>74</v>
      </c>
      <c r="G69" s="145">
        <f t="shared" si="3"/>
        <v>1.003991154738148</v>
      </c>
      <c r="H69" s="127">
        <v>18731</v>
      </c>
      <c r="I69" s="128"/>
      <c r="J69" s="124">
        <f t="shared" si="1"/>
        <v>18731</v>
      </c>
      <c r="K69" s="144">
        <f t="shared" si="2"/>
        <v>116</v>
      </c>
      <c r="L69" s="150">
        <f t="shared" si="4"/>
        <v>1.0062315337093741</v>
      </c>
      <c r="N69" s="129"/>
    </row>
    <row r="70" spans="1:12" s="101" customFormat="1" ht="13.5">
      <c r="A70" s="403" t="s">
        <v>75</v>
      </c>
      <c r="B70" s="404"/>
      <c r="C70" s="404"/>
      <c r="D70" s="125">
        <v>13634</v>
      </c>
      <c r="E70" s="126">
        <v>13691</v>
      </c>
      <c r="F70" s="144">
        <f t="shared" si="0"/>
        <v>57</v>
      </c>
      <c r="G70" s="145">
        <f t="shared" si="3"/>
        <v>1.004180724658941</v>
      </c>
      <c r="H70" s="127">
        <v>13737</v>
      </c>
      <c r="I70" s="128"/>
      <c r="J70" s="124">
        <f t="shared" si="1"/>
        <v>13737</v>
      </c>
      <c r="K70" s="144">
        <f t="shared" si="2"/>
        <v>46</v>
      </c>
      <c r="L70" s="150">
        <f t="shared" si="4"/>
        <v>1.0033598714483967</v>
      </c>
    </row>
    <row r="71" spans="1:12" s="101" customFormat="1" ht="13.5">
      <c r="A71" s="403" t="s">
        <v>76</v>
      </c>
      <c r="B71" s="404"/>
      <c r="C71" s="404"/>
      <c r="D71" s="125">
        <v>13341</v>
      </c>
      <c r="E71" s="126">
        <v>13395</v>
      </c>
      <c r="F71" s="144">
        <f t="shared" si="0"/>
        <v>54</v>
      </c>
      <c r="G71" s="145">
        <f t="shared" si="3"/>
        <v>1.0040476725882617</v>
      </c>
      <c r="H71" s="127">
        <v>13437</v>
      </c>
      <c r="I71" s="128"/>
      <c r="J71" s="124">
        <f t="shared" si="1"/>
        <v>13437</v>
      </c>
      <c r="K71" s="144">
        <f t="shared" si="2"/>
        <v>42</v>
      </c>
      <c r="L71" s="150">
        <f t="shared" si="4"/>
        <v>1.0031354983202687</v>
      </c>
    </row>
    <row r="72" spans="1:12" s="101" customFormat="1" ht="13.5">
      <c r="A72" s="403" t="s">
        <v>172</v>
      </c>
      <c r="B72" s="404"/>
      <c r="C72" s="404"/>
      <c r="D72" s="125">
        <v>13290</v>
      </c>
      <c r="E72" s="126">
        <v>13290</v>
      </c>
      <c r="F72" s="144">
        <f t="shared" si="0"/>
        <v>0</v>
      </c>
      <c r="G72" s="145">
        <f t="shared" si="3"/>
        <v>1</v>
      </c>
      <c r="H72" s="127">
        <v>13337</v>
      </c>
      <c r="I72" s="128"/>
      <c r="J72" s="124">
        <f t="shared" si="1"/>
        <v>13337</v>
      </c>
      <c r="K72" s="144">
        <f t="shared" si="2"/>
        <v>47</v>
      </c>
      <c r="L72" s="150">
        <f t="shared" si="4"/>
        <v>1.0035364936042137</v>
      </c>
    </row>
    <row r="73" spans="1:14" s="101" customFormat="1" ht="13.5">
      <c r="A73" s="403" t="s">
        <v>77</v>
      </c>
      <c r="B73" s="404"/>
      <c r="C73" s="404"/>
      <c r="D73" s="125">
        <v>293</v>
      </c>
      <c r="E73" s="126">
        <v>296</v>
      </c>
      <c r="F73" s="144">
        <f t="shared" si="0"/>
        <v>3</v>
      </c>
      <c r="G73" s="145">
        <f t="shared" si="3"/>
        <v>1.0102389078498293</v>
      </c>
      <c r="H73" s="127">
        <v>300</v>
      </c>
      <c r="I73" s="128"/>
      <c r="J73" s="124">
        <f t="shared" si="1"/>
        <v>300</v>
      </c>
      <c r="K73" s="144">
        <f t="shared" si="2"/>
        <v>4</v>
      </c>
      <c r="L73" s="150">
        <f t="shared" si="4"/>
        <v>1.0135135135135136</v>
      </c>
      <c r="N73" s="129"/>
    </row>
    <row r="74" spans="1:12" s="101" customFormat="1" ht="13.5">
      <c r="A74" s="403" t="s">
        <v>78</v>
      </c>
      <c r="B74" s="404"/>
      <c r="C74" s="404"/>
      <c r="D74" s="125">
        <v>4907</v>
      </c>
      <c r="E74" s="126">
        <v>4924</v>
      </c>
      <c r="F74" s="144">
        <f t="shared" si="0"/>
        <v>17</v>
      </c>
      <c r="G74" s="145">
        <f t="shared" si="3"/>
        <v>1.0034644385571632</v>
      </c>
      <c r="H74" s="127">
        <v>4994</v>
      </c>
      <c r="I74" s="128"/>
      <c r="J74" s="124">
        <f t="shared" si="1"/>
        <v>4994</v>
      </c>
      <c r="K74" s="144">
        <f t="shared" si="2"/>
        <v>70</v>
      </c>
      <c r="L74" s="150">
        <f t="shared" si="4"/>
        <v>1.0142160844841592</v>
      </c>
    </row>
    <row r="75" spans="1:15" s="101" customFormat="1" ht="13.5">
      <c r="A75" s="412" t="s">
        <v>79</v>
      </c>
      <c r="B75" s="413"/>
      <c r="C75" s="413"/>
      <c r="D75" s="125">
        <v>1</v>
      </c>
      <c r="E75" s="126">
        <v>2</v>
      </c>
      <c r="F75" s="144">
        <f t="shared" si="0"/>
        <v>1</v>
      </c>
      <c r="G75" s="145">
        <f t="shared" si="3"/>
        <v>2</v>
      </c>
      <c r="H75" s="127">
        <v>0</v>
      </c>
      <c r="I75" s="128"/>
      <c r="J75" s="124">
        <f t="shared" si="1"/>
        <v>0</v>
      </c>
      <c r="K75" s="144">
        <f t="shared" si="2"/>
        <v>-2</v>
      </c>
      <c r="L75" s="150">
        <f t="shared" si="4"/>
        <v>0</v>
      </c>
      <c r="N75" s="129"/>
      <c r="O75" s="139"/>
    </row>
    <row r="76" spans="1:12" s="101" customFormat="1" ht="13.5">
      <c r="A76" s="403" t="s">
        <v>80</v>
      </c>
      <c r="B76" s="404"/>
      <c r="C76" s="404"/>
      <c r="D76" s="125"/>
      <c r="E76" s="126"/>
      <c r="F76" s="144">
        <f aca="true" t="shared" si="5" ref="F76:F90">E76-D76</f>
        <v>0</v>
      </c>
      <c r="G76" s="145"/>
      <c r="H76" s="127">
        <v>0</v>
      </c>
      <c r="I76" s="128"/>
      <c r="J76" s="124">
        <f aca="true" t="shared" si="6" ref="J76:J92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412" t="s">
        <v>81</v>
      </c>
      <c r="B77" s="413"/>
      <c r="C77" s="413"/>
      <c r="D77" s="125">
        <v>170</v>
      </c>
      <c r="E77" s="126">
        <v>72</v>
      </c>
      <c r="F77" s="144">
        <f t="shared" si="5"/>
        <v>-98</v>
      </c>
      <c r="G77" s="145">
        <f aca="true" t="shared" si="8" ref="G77:G87">E77/D77</f>
        <v>0.4235294117647059</v>
      </c>
      <c r="H77" s="127">
        <v>72</v>
      </c>
      <c r="I77" s="128"/>
      <c r="J77" s="124">
        <f t="shared" si="6"/>
        <v>72</v>
      </c>
      <c r="K77" s="144">
        <f t="shared" si="7"/>
        <v>0</v>
      </c>
      <c r="L77" s="150">
        <f aca="true" t="shared" si="9" ref="L77:L85">J77/E77</f>
        <v>1</v>
      </c>
    </row>
    <row r="78" spans="1:12" s="101" customFormat="1" ht="13.5">
      <c r="A78" s="403" t="s">
        <v>82</v>
      </c>
      <c r="B78" s="404"/>
      <c r="C78" s="404"/>
      <c r="D78" s="138"/>
      <c r="E78" s="130"/>
      <c r="F78" s="144">
        <f t="shared" si="5"/>
        <v>0</v>
      </c>
      <c r="G78" s="145"/>
      <c r="H78" s="122">
        <v>0</v>
      </c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403" t="s">
        <v>83</v>
      </c>
      <c r="B79" s="404"/>
      <c r="C79" s="404"/>
      <c r="D79" s="125"/>
      <c r="E79" s="126"/>
      <c r="F79" s="144">
        <f t="shared" si="5"/>
        <v>0</v>
      </c>
      <c r="G79" s="145"/>
      <c r="H79" s="127">
        <v>0</v>
      </c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412" t="s">
        <v>84</v>
      </c>
      <c r="B80" s="413"/>
      <c r="C80" s="413"/>
      <c r="D80" s="125">
        <v>1095</v>
      </c>
      <c r="E80" s="126">
        <v>1014</v>
      </c>
      <c r="F80" s="144">
        <f t="shared" si="5"/>
        <v>-81</v>
      </c>
      <c r="G80" s="145">
        <f t="shared" si="8"/>
        <v>0.9260273972602739</v>
      </c>
      <c r="H80" s="127">
        <v>1167</v>
      </c>
      <c r="I80" s="128"/>
      <c r="J80" s="124">
        <f t="shared" si="6"/>
        <v>1167</v>
      </c>
      <c r="K80" s="144">
        <f t="shared" si="7"/>
        <v>153</v>
      </c>
      <c r="L80" s="150">
        <f t="shared" si="9"/>
        <v>1.150887573964497</v>
      </c>
    </row>
    <row r="81" spans="1:12" s="101" customFormat="1" ht="13.5">
      <c r="A81" s="403" t="s">
        <v>85</v>
      </c>
      <c r="B81" s="404"/>
      <c r="C81" s="404"/>
      <c r="D81" s="125">
        <v>744</v>
      </c>
      <c r="E81" s="126">
        <v>671</v>
      </c>
      <c r="F81" s="144">
        <f t="shared" si="5"/>
        <v>-73</v>
      </c>
      <c r="G81" s="145">
        <f t="shared" si="8"/>
        <v>0.9018817204301075</v>
      </c>
      <c r="H81" s="127">
        <v>817</v>
      </c>
      <c r="I81" s="128"/>
      <c r="J81" s="124">
        <f t="shared" si="6"/>
        <v>817</v>
      </c>
      <c r="K81" s="144">
        <f t="shared" si="7"/>
        <v>146</v>
      </c>
      <c r="L81" s="150">
        <f t="shared" si="9"/>
        <v>1.217585692995529</v>
      </c>
    </row>
    <row r="82" spans="1:12" s="101" customFormat="1" ht="13.5">
      <c r="A82" s="403" t="s">
        <v>86</v>
      </c>
      <c r="B82" s="404"/>
      <c r="C82" s="404"/>
      <c r="D82" s="125"/>
      <c r="E82" s="126"/>
      <c r="F82" s="144">
        <f t="shared" si="5"/>
        <v>0</v>
      </c>
      <c r="G82" s="145"/>
      <c r="H82" s="127">
        <v>0</v>
      </c>
      <c r="I82" s="128"/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403" t="s">
        <v>173</v>
      </c>
      <c r="B83" s="404"/>
      <c r="C83" s="404"/>
      <c r="D83" s="125"/>
      <c r="E83" s="126"/>
      <c r="F83" s="144">
        <f t="shared" si="5"/>
        <v>0</v>
      </c>
      <c r="G83" s="145"/>
      <c r="H83" s="127">
        <v>0</v>
      </c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403" t="s">
        <v>87</v>
      </c>
      <c r="B84" s="404"/>
      <c r="C84" s="404"/>
      <c r="D84" s="125">
        <v>351</v>
      </c>
      <c r="E84" s="126">
        <v>343</v>
      </c>
      <c r="F84" s="144">
        <f t="shared" si="5"/>
        <v>-8</v>
      </c>
      <c r="G84" s="145">
        <f t="shared" si="8"/>
        <v>0.9772079772079773</v>
      </c>
      <c r="H84" s="127">
        <v>350</v>
      </c>
      <c r="I84" s="128"/>
      <c r="J84" s="124">
        <f t="shared" si="6"/>
        <v>350</v>
      </c>
      <c r="K84" s="144">
        <f t="shared" si="7"/>
        <v>7</v>
      </c>
      <c r="L84" s="150">
        <f t="shared" si="9"/>
        <v>1.0204081632653061</v>
      </c>
    </row>
    <row r="85" spans="1:12" s="101" customFormat="1" ht="13.5">
      <c r="A85" s="403" t="s">
        <v>174</v>
      </c>
      <c r="B85" s="404"/>
      <c r="C85" s="404"/>
      <c r="D85" s="125">
        <v>157</v>
      </c>
      <c r="E85" s="126">
        <v>301</v>
      </c>
      <c r="F85" s="144">
        <f t="shared" si="5"/>
        <v>144</v>
      </c>
      <c r="G85" s="145">
        <f t="shared" si="8"/>
        <v>1.9171974522292994</v>
      </c>
      <c r="H85" s="127">
        <v>350</v>
      </c>
      <c r="I85" s="128"/>
      <c r="J85" s="124">
        <f t="shared" si="6"/>
        <v>350</v>
      </c>
      <c r="K85" s="144">
        <f t="shared" si="7"/>
        <v>49</v>
      </c>
      <c r="L85" s="150">
        <f t="shared" si="9"/>
        <v>1.1627906976744187</v>
      </c>
    </row>
    <row r="86" spans="1:14" s="101" customFormat="1" ht="13.5">
      <c r="A86" s="403" t="s">
        <v>175</v>
      </c>
      <c r="B86" s="404"/>
      <c r="C86" s="404"/>
      <c r="D86" s="125"/>
      <c r="E86" s="126"/>
      <c r="F86" s="144">
        <f t="shared" si="5"/>
        <v>0</v>
      </c>
      <c r="G86" s="145"/>
      <c r="H86" s="127">
        <v>0</v>
      </c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412" t="s">
        <v>88</v>
      </c>
      <c r="B87" s="413"/>
      <c r="C87" s="413"/>
      <c r="D87" s="125">
        <v>32</v>
      </c>
      <c r="E87" s="126"/>
      <c r="F87" s="144">
        <f t="shared" si="5"/>
        <v>-32</v>
      </c>
      <c r="G87" s="145">
        <f t="shared" si="8"/>
        <v>0</v>
      </c>
      <c r="H87" s="127">
        <v>0</v>
      </c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403" t="s">
        <v>89</v>
      </c>
      <c r="B88" s="404"/>
      <c r="C88" s="404"/>
      <c r="D88" s="125"/>
      <c r="E88" s="126"/>
      <c r="F88" s="144">
        <f t="shared" si="5"/>
        <v>0</v>
      </c>
      <c r="G88" s="145"/>
      <c r="H88" s="127">
        <v>0</v>
      </c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412" t="s">
        <v>90</v>
      </c>
      <c r="B89" s="413"/>
      <c r="C89" s="413"/>
      <c r="D89" s="125"/>
      <c r="E89" s="126"/>
      <c r="F89" s="144">
        <f t="shared" si="5"/>
        <v>0</v>
      </c>
      <c r="G89" s="145"/>
      <c r="H89" s="127">
        <v>0</v>
      </c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403" t="s">
        <v>176</v>
      </c>
      <c r="B90" s="404"/>
      <c r="C90" s="404"/>
      <c r="D90" s="102"/>
      <c r="E90" s="140"/>
      <c r="F90" s="144">
        <f t="shared" si="5"/>
        <v>0</v>
      </c>
      <c r="G90" s="145"/>
      <c r="H90" s="127">
        <v>0</v>
      </c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422" t="s">
        <v>91</v>
      </c>
      <c r="B91" s="423"/>
      <c r="C91" s="424"/>
      <c r="D91" s="177">
        <v>26986</v>
      </c>
      <c r="E91" s="178">
        <v>26937</v>
      </c>
      <c r="F91" s="179"/>
      <c r="G91" s="179"/>
      <c r="H91" s="180">
        <v>27676</v>
      </c>
      <c r="I91" s="180"/>
      <c r="J91" s="181">
        <f t="shared" si="6"/>
        <v>27676</v>
      </c>
      <c r="K91" s="182"/>
      <c r="L91" s="183"/>
      <c r="M91" s="141"/>
      <c r="N91" s="142"/>
      <c r="O91" s="143"/>
    </row>
    <row r="92" spans="1:15" s="100" customFormat="1" ht="14.25" thickBot="1">
      <c r="A92" s="422" t="s">
        <v>177</v>
      </c>
      <c r="B92" s="423"/>
      <c r="C92" s="424"/>
      <c r="D92" s="184">
        <v>0</v>
      </c>
      <c r="E92" s="184">
        <v>95</v>
      </c>
      <c r="F92" s="185"/>
      <c r="G92" s="185"/>
      <c r="H92" s="184">
        <v>-1928</v>
      </c>
      <c r="I92" s="184"/>
      <c r="J92" s="186">
        <f t="shared" si="6"/>
        <v>-1928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4.25" customHeight="1">
      <c r="A94" s="416" t="s">
        <v>178</v>
      </c>
      <c r="B94" s="417"/>
      <c r="C94" s="420" t="s">
        <v>104</v>
      </c>
      <c r="D94" s="42"/>
      <c r="E94" s="416" t="s">
        <v>179</v>
      </c>
      <c r="F94" s="417"/>
      <c r="G94" s="417"/>
      <c r="H94" s="417"/>
      <c r="I94" s="420" t="s">
        <v>104</v>
      </c>
      <c r="J94" s="43"/>
      <c r="K94" s="43"/>
      <c r="L94" s="43"/>
      <c r="M94" s="43"/>
      <c r="N94" s="43"/>
    </row>
    <row r="95" spans="1:14" ht="13.5">
      <c r="A95" s="477"/>
      <c r="B95" s="478"/>
      <c r="C95" s="479"/>
      <c r="D95" s="42"/>
      <c r="E95" s="477"/>
      <c r="F95" s="478"/>
      <c r="G95" s="478"/>
      <c r="H95" s="478"/>
      <c r="I95" s="479"/>
      <c r="J95" s="43"/>
      <c r="K95" s="43"/>
      <c r="L95" s="43"/>
      <c r="M95" s="43"/>
      <c r="N95" s="43"/>
    </row>
    <row r="96" spans="1:14" ht="14.25" thickBot="1">
      <c r="A96" s="435" t="s">
        <v>269</v>
      </c>
      <c r="B96" s="436"/>
      <c r="C96" s="109">
        <v>200</v>
      </c>
      <c r="D96" s="35"/>
      <c r="E96" s="437" t="s">
        <v>273</v>
      </c>
      <c r="F96" s="438"/>
      <c r="G96" s="438"/>
      <c r="H96" s="438"/>
      <c r="I96" s="110">
        <v>100</v>
      </c>
      <c r="J96" s="43"/>
      <c r="K96" s="43"/>
      <c r="L96" s="43"/>
      <c r="M96" s="43"/>
      <c r="N96" s="38" t="s">
        <v>105</v>
      </c>
    </row>
    <row r="97" spans="1:14" ht="13.5">
      <c r="A97" s="435" t="s">
        <v>270</v>
      </c>
      <c r="B97" s="436"/>
      <c r="C97" s="369">
        <v>100</v>
      </c>
      <c r="D97" s="35"/>
      <c r="E97" s="437" t="s">
        <v>274</v>
      </c>
      <c r="F97" s="438"/>
      <c r="G97" s="438"/>
      <c r="H97" s="438"/>
      <c r="I97" s="111">
        <v>150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435" t="s">
        <v>271</v>
      </c>
      <c r="B98" s="436"/>
      <c r="C98" s="369">
        <v>99</v>
      </c>
      <c r="D98" s="35"/>
      <c r="E98" s="437" t="s">
        <v>271</v>
      </c>
      <c r="F98" s="438"/>
      <c r="G98" s="438"/>
      <c r="H98" s="438"/>
      <c r="I98" s="109">
        <v>99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435" t="s">
        <v>272</v>
      </c>
      <c r="B99" s="436"/>
      <c r="C99" s="369">
        <v>100</v>
      </c>
      <c r="D99" s="35"/>
      <c r="E99" s="437" t="s">
        <v>272</v>
      </c>
      <c r="F99" s="438"/>
      <c r="G99" s="438"/>
      <c r="H99" s="438"/>
      <c r="I99" s="109">
        <v>100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435" t="s">
        <v>136</v>
      </c>
      <c r="B100" s="436"/>
      <c r="C100" s="369">
        <v>321</v>
      </c>
      <c r="D100" s="35"/>
      <c r="E100" s="437"/>
      <c r="F100" s="438"/>
      <c r="G100" s="438"/>
      <c r="H100" s="438"/>
      <c r="I100" s="211"/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435"/>
      <c r="B101" s="436"/>
      <c r="C101" s="368"/>
      <c r="D101" s="35"/>
      <c r="E101" s="437"/>
      <c r="F101" s="438"/>
      <c r="G101" s="438"/>
      <c r="H101" s="438"/>
      <c r="I101" s="211"/>
      <c r="J101" s="43"/>
      <c r="K101" s="43"/>
      <c r="L101" s="43"/>
      <c r="M101" s="43"/>
      <c r="N101" s="43"/>
    </row>
    <row r="102" spans="1:14" ht="13.5">
      <c r="A102" s="435"/>
      <c r="B102" s="436"/>
      <c r="C102" s="107"/>
      <c r="D102" s="35"/>
      <c r="E102" s="437"/>
      <c r="F102" s="438"/>
      <c r="G102" s="438"/>
      <c r="H102" s="438"/>
      <c r="I102" s="211"/>
      <c r="J102" s="43"/>
      <c r="K102" s="43"/>
      <c r="L102" s="43"/>
      <c r="M102" s="43"/>
      <c r="N102" s="43"/>
    </row>
    <row r="103" spans="1:14" ht="13.5">
      <c r="A103" s="435"/>
      <c r="B103" s="436"/>
      <c r="C103" s="103"/>
      <c r="D103" s="35"/>
      <c r="E103" s="437"/>
      <c r="F103" s="438"/>
      <c r="G103" s="438"/>
      <c r="H103" s="438"/>
      <c r="I103" s="97"/>
      <c r="J103" s="43"/>
      <c r="K103" s="43"/>
      <c r="L103" s="43"/>
      <c r="M103" s="43"/>
      <c r="N103" s="43"/>
    </row>
    <row r="104" spans="1:14" ht="14.25" thickBot="1">
      <c r="A104" s="480" t="s">
        <v>97</v>
      </c>
      <c r="B104" s="481"/>
      <c r="C104" s="210">
        <f>SUM(C96:C102)</f>
        <v>820</v>
      </c>
      <c r="D104" s="59"/>
      <c r="E104" s="482" t="s">
        <v>97</v>
      </c>
      <c r="F104" s="483"/>
      <c r="G104" s="483"/>
      <c r="H104" s="483"/>
      <c r="I104" s="210">
        <f>SUM(I96:I103)</f>
        <v>449</v>
      </c>
      <c r="J104" s="43"/>
      <c r="K104" s="43"/>
      <c r="L104" s="43"/>
      <c r="M104" s="43"/>
      <c r="N104" s="61"/>
    </row>
    <row r="105" spans="1:5" s="34" customFormat="1" ht="13.5" customHeight="1">
      <c r="A105" s="59"/>
      <c r="B105" s="62"/>
      <c r="C105" s="62"/>
      <c r="D105" s="62"/>
      <c r="E105" s="62"/>
    </row>
    <row r="106" spans="1:12" s="34" customFormat="1" ht="14.25" thickBot="1">
      <c r="A106" s="63" t="s">
        <v>181</v>
      </c>
      <c r="B106" s="36"/>
      <c r="C106" s="36"/>
      <c r="D106" s="36"/>
      <c r="E106" s="39"/>
      <c r="F106" s="41"/>
      <c r="G106" s="41"/>
      <c r="H106" s="35"/>
      <c r="I106" s="36"/>
      <c r="J106" s="36" t="s">
        <v>110</v>
      </c>
      <c r="K106" s="36"/>
      <c r="L106" s="39"/>
    </row>
    <row r="107" spans="1:11" s="34" customFormat="1" ht="13.5">
      <c r="A107" s="449" t="s">
        <v>111</v>
      </c>
      <c r="B107" s="452" t="s">
        <v>248</v>
      </c>
      <c r="C107" s="459" t="s">
        <v>182</v>
      </c>
      <c r="D107" s="460"/>
      <c r="E107" s="460"/>
      <c r="F107" s="460"/>
      <c r="G107" s="460"/>
      <c r="H107" s="460"/>
      <c r="I107" s="460"/>
      <c r="J107" s="461"/>
      <c r="K107" s="455" t="s">
        <v>183</v>
      </c>
    </row>
    <row r="108" spans="1:11" s="34" customFormat="1" ht="13.5">
      <c r="A108" s="450"/>
      <c r="B108" s="453"/>
      <c r="C108" s="458" t="s">
        <v>112</v>
      </c>
      <c r="D108" s="462" t="s">
        <v>113</v>
      </c>
      <c r="E108" s="462"/>
      <c r="F108" s="462"/>
      <c r="G108" s="462"/>
      <c r="H108" s="462"/>
      <c r="I108" s="462"/>
      <c r="J108" s="463"/>
      <c r="K108" s="456"/>
    </row>
    <row r="109" spans="1:12" s="34" customFormat="1" ht="14.25" thickBot="1">
      <c r="A109" s="451"/>
      <c r="B109" s="454"/>
      <c r="C109" s="458"/>
      <c r="D109" s="164">
        <v>1</v>
      </c>
      <c r="E109" s="164">
        <v>2</v>
      </c>
      <c r="F109" s="164">
        <v>3</v>
      </c>
      <c r="G109" s="164">
        <v>4</v>
      </c>
      <c r="H109" s="164">
        <v>5</v>
      </c>
      <c r="I109" s="164">
        <v>6</v>
      </c>
      <c r="J109" s="165">
        <v>7</v>
      </c>
      <c r="K109" s="457"/>
      <c r="L109" s="71"/>
    </row>
    <row r="110" spans="1:11" s="34" customFormat="1" ht="14.25" thickBot="1">
      <c r="A110" s="64">
        <v>43369</v>
      </c>
      <c r="B110" s="65">
        <v>5493</v>
      </c>
      <c r="C110" s="364">
        <f>SUM(D110:J110)</f>
        <v>817</v>
      </c>
      <c r="D110" s="167">
        <v>280</v>
      </c>
      <c r="E110" s="167">
        <v>141</v>
      </c>
      <c r="F110" s="167">
        <v>0</v>
      </c>
      <c r="G110" s="167">
        <v>0</v>
      </c>
      <c r="H110" s="167">
        <v>29</v>
      </c>
      <c r="I110" s="168">
        <v>124</v>
      </c>
      <c r="J110" s="169">
        <v>243</v>
      </c>
      <c r="K110" s="163">
        <v>37059</v>
      </c>
    </row>
    <row r="111" spans="1:5" s="34" customFormat="1" ht="13.5">
      <c r="A111" s="59"/>
      <c r="B111" s="62"/>
      <c r="C111" s="62"/>
      <c r="D111" s="62"/>
      <c r="E111" s="62"/>
    </row>
    <row r="112" spans="1:8" s="34" customFormat="1" ht="14.25" thickBot="1">
      <c r="A112" s="63" t="s">
        <v>184</v>
      </c>
      <c r="C112" s="36"/>
      <c r="D112" s="36"/>
      <c r="E112" s="36"/>
      <c r="F112" s="36" t="s">
        <v>110</v>
      </c>
      <c r="G112" s="41"/>
      <c r="H112" s="35"/>
    </row>
    <row r="113" spans="1:6" s="34" customFormat="1" ht="15" customHeight="1" thickBot="1">
      <c r="A113" s="467" t="s">
        <v>114</v>
      </c>
      <c r="B113" s="469" t="s">
        <v>188</v>
      </c>
      <c r="C113" s="188" t="s">
        <v>185</v>
      </c>
      <c r="D113" s="189"/>
      <c r="E113" s="189"/>
      <c r="F113" s="190"/>
    </row>
    <row r="114" spans="1:6" s="34" customFormat="1" ht="27.75" thickBot="1">
      <c r="A114" s="468"/>
      <c r="B114" s="469"/>
      <c r="C114" s="67" t="s">
        <v>186</v>
      </c>
      <c r="D114" s="66" t="s">
        <v>115</v>
      </c>
      <c r="E114" s="67" t="s">
        <v>116</v>
      </c>
      <c r="F114" s="191" t="s">
        <v>187</v>
      </c>
    </row>
    <row r="115" spans="1:7" s="34" customFormat="1" ht="13.5">
      <c r="A115" s="192" t="s">
        <v>117</v>
      </c>
      <c r="B115" s="89">
        <v>1466.35</v>
      </c>
      <c r="C115" s="68" t="s">
        <v>118</v>
      </c>
      <c r="D115" s="69" t="s">
        <v>118</v>
      </c>
      <c r="E115" s="69" t="s">
        <v>118</v>
      </c>
      <c r="F115" s="193" t="s">
        <v>118</v>
      </c>
      <c r="G115" s="232"/>
    </row>
    <row r="116" spans="1:13" s="34" customFormat="1" ht="13.5">
      <c r="A116" s="194" t="s">
        <v>119</v>
      </c>
      <c r="B116" s="70">
        <v>47</v>
      </c>
      <c r="C116" s="197">
        <v>47</v>
      </c>
      <c r="D116" s="51">
        <v>0</v>
      </c>
      <c r="E116" s="51">
        <v>47</v>
      </c>
      <c r="F116" s="198">
        <f>C116-E116</f>
        <v>0</v>
      </c>
      <c r="G116" s="232"/>
      <c r="M116" s="71"/>
    </row>
    <row r="117" spans="1:13" s="34" customFormat="1" ht="13.5">
      <c r="A117" s="194" t="s">
        <v>120</v>
      </c>
      <c r="B117" s="70">
        <v>41</v>
      </c>
      <c r="C117" s="197">
        <v>41</v>
      </c>
      <c r="D117" s="51">
        <v>95</v>
      </c>
      <c r="E117" s="106">
        <v>136</v>
      </c>
      <c r="F117" s="198">
        <f>C117+D117-E117</f>
        <v>0</v>
      </c>
      <c r="M117" s="71"/>
    </row>
    <row r="118" spans="1:13" s="34" customFormat="1" ht="13.5">
      <c r="A118" s="194" t="s">
        <v>121</v>
      </c>
      <c r="B118" s="70">
        <v>3</v>
      </c>
      <c r="C118" s="72">
        <v>3</v>
      </c>
      <c r="D118" s="206">
        <v>817</v>
      </c>
      <c r="E118" s="206">
        <v>820</v>
      </c>
      <c r="F118" s="198">
        <f>C118+D118-E118</f>
        <v>0</v>
      </c>
      <c r="M118" s="71"/>
    </row>
    <row r="119" spans="1:13" s="34" customFormat="1" ht="13.5">
      <c r="A119" s="194" t="s">
        <v>122</v>
      </c>
      <c r="B119" s="70">
        <f>B115-B116-B117-B118</f>
        <v>1375.35</v>
      </c>
      <c r="C119" s="74" t="s">
        <v>118</v>
      </c>
      <c r="D119" s="75" t="s">
        <v>118</v>
      </c>
      <c r="E119" s="76" t="s">
        <v>118</v>
      </c>
      <c r="F119" s="195" t="s">
        <v>118</v>
      </c>
      <c r="M119" s="71"/>
    </row>
    <row r="120" spans="1:13" s="34" customFormat="1" ht="14.25" thickBot="1">
      <c r="A120" s="196" t="s">
        <v>123</v>
      </c>
      <c r="B120" s="77">
        <v>63</v>
      </c>
      <c r="C120" s="199">
        <v>116</v>
      </c>
      <c r="D120" s="200">
        <v>134</v>
      </c>
      <c r="E120" s="207">
        <v>192</v>
      </c>
      <c r="F120" s="201">
        <f>C120+D120-E120</f>
        <v>58</v>
      </c>
      <c r="M120" s="71"/>
    </row>
    <row r="121" spans="1:15" s="34" customFormat="1" ht="13.5">
      <c r="A121" s="35"/>
      <c r="B121" s="36"/>
      <c r="C121" s="36"/>
      <c r="D121" s="37"/>
      <c r="E121" s="38"/>
      <c r="F121" s="36"/>
      <c r="G121" s="36"/>
      <c r="H121" s="39"/>
      <c r="I121" s="40"/>
      <c r="J121" s="41"/>
      <c r="K121" s="35"/>
      <c r="L121" s="36"/>
      <c r="M121" s="36"/>
      <c r="N121" s="36"/>
      <c r="O121" s="39"/>
    </row>
    <row r="122" spans="1:11" ht="13.5">
      <c r="A122" s="63"/>
      <c r="K122" s="36"/>
    </row>
    <row r="123" spans="1:11" ht="14.25" thickBot="1">
      <c r="A123" s="63" t="s">
        <v>189</v>
      </c>
      <c r="K123" s="36" t="s">
        <v>110</v>
      </c>
    </row>
    <row r="124" spans="1:11" ht="13.5">
      <c r="A124" s="464" t="s">
        <v>124</v>
      </c>
      <c r="B124" s="465"/>
      <c r="C124" s="466"/>
      <c r="D124" s="78"/>
      <c r="E124" s="464" t="s">
        <v>125</v>
      </c>
      <c r="F124" s="465"/>
      <c r="G124" s="466"/>
      <c r="I124" s="464" t="s">
        <v>126</v>
      </c>
      <c r="J124" s="465"/>
      <c r="K124" s="466"/>
    </row>
    <row r="125" spans="1:11" ht="14.25" thickBot="1">
      <c r="A125" s="79" t="s">
        <v>127</v>
      </c>
      <c r="B125" s="80" t="s">
        <v>128</v>
      </c>
      <c r="C125" s="81" t="s">
        <v>129</v>
      </c>
      <c r="D125" s="78"/>
      <c r="E125" s="82"/>
      <c r="F125" s="470" t="s">
        <v>130</v>
      </c>
      <c r="G125" s="471"/>
      <c r="I125" s="79"/>
      <c r="J125" s="80" t="s">
        <v>131</v>
      </c>
      <c r="K125" s="81" t="s">
        <v>129</v>
      </c>
    </row>
    <row r="126" spans="1:11" ht="13.5">
      <c r="A126" s="83">
        <v>2012</v>
      </c>
      <c r="B126" s="84">
        <v>62</v>
      </c>
      <c r="C126" s="85">
        <v>62</v>
      </c>
      <c r="D126" s="37"/>
      <c r="E126" s="83">
        <v>2012</v>
      </c>
      <c r="F126" s="472">
        <v>100</v>
      </c>
      <c r="G126" s="473"/>
      <c r="I126" s="83">
        <v>2012</v>
      </c>
      <c r="J126" s="84">
        <v>13290</v>
      </c>
      <c r="K126" s="85">
        <v>13290</v>
      </c>
    </row>
    <row r="127" spans="1:11" ht="14.25" thickBot="1">
      <c r="A127" s="86">
        <v>2013</v>
      </c>
      <c r="B127" s="87">
        <v>62</v>
      </c>
      <c r="C127" s="88" t="s">
        <v>92</v>
      </c>
      <c r="D127" s="37"/>
      <c r="E127" s="86">
        <v>2013</v>
      </c>
      <c r="F127" s="388">
        <v>100</v>
      </c>
      <c r="G127" s="389"/>
      <c r="I127" s="86">
        <v>2013</v>
      </c>
      <c r="J127" s="87">
        <v>13337</v>
      </c>
      <c r="K127" s="88" t="s">
        <v>92</v>
      </c>
    </row>
    <row r="128" ht="13.5">
      <c r="D128" s="90"/>
    </row>
    <row r="129" ht="13.5">
      <c r="D129" s="37"/>
    </row>
    <row r="130" ht="13.5">
      <c r="D130" s="78"/>
    </row>
    <row r="131" ht="13.5">
      <c r="D131" s="78"/>
    </row>
    <row r="132" ht="13.5">
      <c r="D132" s="37"/>
    </row>
    <row r="133" ht="13.5">
      <c r="D133" s="37"/>
    </row>
  </sheetData>
  <sheetProtection selectLockedCells="1" selectUnlockedCells="1"/>
  <mergeCells count="129">
    <mergeCell ref="E104:H104"/>
    <mergeCell ref="F125:G125"/>
    <mergeCell ref="F126:G126"/>
    <mergeCell ref="F127:G127"/>
    <mergeCell ref="K107:K109"/>
    <mergeCell ref="C108:C109"/>
    <mergeCell ref="D108:J108"/>
    <mergeCell ref="E96:H96"/>
    <mergeCell ref="A113:A114"/>
    <mergeCell ref="B113:B114"/>
    <mergeCell ref="A124:C124"/>
    <mergeCell ref="E124:G124"/>
    <mergeCell ref="I124:K124"/>
    <mergeCell ref="E97:H97"/>
    <mergeCell ref="E98:H98"/>
    <mergeCell ref="E99:H99"/>
    <mergeCell ref="A104:B104"/>
    <mergeCell ref="A88:C88"/>
    <mergeCell ref="A89:C89"/>
    <mergeCell ref="A107:A109"/>
    <mergeCell ref="B107:B109"/>
    <mergeCell ref="C107:J107"/>
    <mergeCell ref="A92:C92"/>
    <mergeCell ref="A94:B95"/>
    <mergeCell ref="C94:C95"/>
    <mergeCell ref="E94:H95"/>
    <mergeCell ref="I94:I95"/>
    <mergeCell ref="A82:C82"/>
    <mergeCell ref="A83:C83"/>
    <mergeCell ref="E100:H100"/>
    <mergeCell ref="E101:H101"/>
    <mergeCell ref="E102:H102"/>
    <mergeCell ref="E103:H103"/>
    <mergeCell ref="A84:C84"/>
    <mergeCell ref="A85:C85"/>
    <mergeCell ref="A86:C86"/>
    <mergeCell ref="A87:C87"/>
    <mergeCell ref="A74:C74"/>
    <mergeCell ref="A75:C75"/>
    <mergeCell ref="A76:C76"/>
    <mergeCell ref="A77:C77"/>
    <mergeCell ref="A90:C90"/>
    <mergeCell ref="A91:C91"/>
    <mergeCell ref="A78:C78"/>
    <mergeCell ref="A79:C79"/>
    <mergeCell ref="A80:C80"/>
    <mergeCell ref="A81:C81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96:B96"/>
    <mergeCell ref="A97:B97"/>
    <mergeCell ref="K4:L4"/>
    <mergeCell ref="A7:C7"/>
    <mergeCell ref="A8:C8"/>
    <mergeCell ref="A9:C9"/>
    <mergeCell ref="A10:C10"/>
    <mergeCell ref="A11:C11"/>
    <mergeCell ref="A12:C12"/>
    <mergeCell ref="A13:C13"/>
    <mergeCell ref="A2:L2"/>
    <mergeCell ref="A4:C6"/>
    <mergeCell ref="D4:D6"/>
    <mergeCell ref="E4:E6"/>
    <mergeCell ref="F4:G4"/>
    <mergeCell ref="H4:J4"/>
    <mergeCell ref="A98:B98"/>
    <mergeCell ref="A99:B99"/>
    <mergeCell ref="A100:B100"/>
    <mergeCell ref="A101:B101"/>
    <mergeCell ref="A103:B103"/>
    <mergeCell ref="A102:B102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2" r:id="rId1"/>
  <headerFooter alignWithMargins="0">
    <oddFooter>&amp;C&amp;"Arial CE,Běžné"&amp;P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128"/>
  <sheetViews>
    <sheetView view="pageBreakPreview" zoomScale="70" zoomScaleSheetLayoutView="70" zoomScalePageLayoutView="0" workbookViewId="0" topLeftCell="A79">
      <selection activeCell="H30" sqref="H30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13.2812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 thickBot="1">
      <c r="A4" s="391" t="s">
        <v>156</v>
      </c>
      <c r="B4" s="391"/>
      <c r="C4" s="391"/>
      <c r="D4" s="392" t="s">
        <v>157</v>
      </c>
      <c r="E4" s="393">
        <v>2012</v>
      </c>
      <c r="F4" s="394" t="s">
        <v>96</v>
      </c>
      <c r="G4" s="395"/>
      <c r="H4" s="396" t="s">
        <v>158</v>
      </c>
      <c r="I4" s="397"/>
      <c r="J4" s="398"/>
      <c r="K4" s="396" t="s">
        <v>159</v>
      </c>
      <c r="L4" s="398"/>
      <c r="M4" s="112"/>
      <c r="N4" s="112"/>
      <c r="O4" s="112"/>
    </row>
    <row r="5" spans="1:15" s="101" customFormat="1" ht="13.5" customHeight="1" thickBot="1">
      <c r="A5" s="391"/>
      <c r="B5" s="391"/>
      <c r="C5" s="391"/>
      <c r="D5" s="392"/>
      <c r="E5" s="393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391"/>
      <c r="B6" s="391"/>
      <c r="C6" s="391"/>
      <c r="D6" s="392"/>
      <c r="E6" s="393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399" t="s">
        <v>24</v>
      </c>
      <c r="B7" s="400"/>
      <c r="C7" s="400"/>
      <c r="D7" s="121">
        <v>13282</v>
      </c>
      <c r="E7" s="121">
        <v>13572</v>
      </c>
      <c r="F7" s="154">
        <f>E7-D7</f>
        <v>290</v>
      </c>
      <c r="G7" s="145">
        <f>E7/D7</f>
        <v>1.0218340611353711</v>
      </c>
      <c r="H7" s="122">
        <v>13420</v>
      </c>
      <c r="I7" s="123"/>
      <c r="J7" s="156">
        <f>H7+I7</f>
        <v>13420</v>
      </c>
      <c r="K7" s="144">
        <f>J7-E7</f>
        <v>-152</v>
      </c>
      <c r="L7" s="150">
        <f>J7/E7</f>
        <v>0.9888004715590922</v>
      </c>
    </row>
    <row r="8" spans="1:12" s="101" customFormat="1" ht="13.5">
      <c r="A8" s="401" t="s">
        <v>25</v>
      </c>
      <c r="B8" s="402"/>
      <c r="C8" s="402"/>
      <c r="D8" s="125">
        <v>0</v>
      </c>
      <c r="E8" s="125">
        <v>0</v>
      </c>
      <c r="F8" s="154">
        <f aca="true" t="shared" si="0" ref="F8:F75">E8-D8</f>
        <v>0</v>
      </c>
      <c r="G8" s="145"/>
      <c r="H8" s="127"/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401" t="s">
        <v>26</v>
      </c>
      <c r="B9" s="402"/>
      <c r="C9" s="402"/>
      <c r="D9" s="125">
        <v>13282</v>
      </c>
      <c r="E9" s="125">
        <v>13572</v>
      </c>
      <c r="F9" s="154">
        <f t="shared" si="0"/>
        <v>290</v>
      </c>
      <c r="G9" s="145">
        <f>E9/D9</f>
        <v>1.0218340611353711</v>
      </c>
      <c r="H9" s="127">
        <v>13420</v>
      </c>
      <c r="I9" s="128"/>
      <c r="J9" s="156">
        <f t="shared" si="1"/>
        <v>13420</v>
      </c>
      <c r="K9" s="144">
        <f t="shared" si="2"/>
        <v>-152</v>
      </c>
      <c r="L9" s="150">
        <f aca="true" t="shared" si="3" ref="L9:L75">J9/E9</f>
        <v>0.9888004715590922</v>
      </c>
    </row>
    <row r="10" spans="1:12" s="101" customFormat="1" ht="13.5">
      <c r="A10" s="403" t="s">
        <v>27</v>
      </c>
      <c r="B10" s="404"/>
      <c r="C10" s="404"/>
      <c r="D10" s="125">
        <v>6733</v>
      </c>
      <c r="E10" s="125">
        <v>6909</v>
      </c>
      <c r="F10" s="154">
        <f t="shared" si="0"/>
        <v>176</v>
      </c>
      <c r="G10" s="145">
        <f>E10/D10</f>
        <v>1.0261399079162334</v>
      </c>
      <c r="H10" s="127">
        <v>6800</v>
      </c>
      <c r="I10" s="128"/>
      <c r="J10" s="156">
        <f t="shared" si="1"/>
        <v>6800</v>
      </c>
      <c r="K10" s="144">
        <f t="shared" si="2"/>
        <v>-109</v>
      </c>
      <c r="L10" s="150">
        <f t="shared" si="3"/>
        <v>0.9842234766246925</v>
      </c>
    </row>
    <row r="11" spans="1:12" s="101" customFormat="1" ht="13.5">
      <c r="A11" s="403" t="s">
        <v>28</v>
      </c>
      <c r="B11" s="404"/>
      <c r="C11" s="404"/>
      <c r="D11" s="125">
        <v>5034</v>
      </c>
      <c r="E11" s="125">
        <v>5332</v>
      </c>
      <c r="F11" s="154">
        <f t="shared" si="0"/>
        <v>298</v>
      </c>
      <c r="G11" s="145">
        <f>E11/D11</f>
        <v>1.059197457290425</v>
      </c>
      <c r="H11" s="127">
        <v>5100</v>
      </c>
      <c r="I11" s="128"/>
      <c r="J11" s="156">
        <f t="shared" si="1"/>
        <v>5100</v>
      </c>
      <c r="K11" s="144">
        <f t="shared" si="2"/>
        <v>-232</v>
      </c>
      <c r="L11" s="150">
        <f t="shared" si="3"/>
        <v>0.9564891222805701</v>
      </c>
    </row>
    <row r="12" spans="1:12" s="101" customFormat="1" ht="13.5">
      <c r="A12" s="403" t="s">
        <v>29</v>
      </c>
      <c r="B12" s="404"/>
      <c r="C12" s="404"/>
      <c r="D12" s="125">
        <v>0</v>
      </c>
      <c r="E12" s="125">
        <v>0</v>
      </c>
      <c r="F12" s="154">
        <f t="shared" si="0"/>
        <v>0</v>
      </c>
      <c r="G12" s="145"/>
      <c r="H12" s="127"/>
      <c r="I12" s="128"/>
      <c r="J12" s="156">
        <f t="shared" si="1"/>
        <v>0</v>
      </c>
      <c r="K12" s="144">
        <f t="shared" si="2"/>
        <v>0</v>
      </c>
      <c r="L12" s="150"/>
    </row>
    <row r="13" spans="1:12" s="101" customFormat="1" ht="13.5">
      <c r="A13" s="403" t="s">
        <v>30</v>
      </c>
      <c r="B13" s="404"/>
      <c r="C13" s="404"/>
      <c r="D13" s="125">
        <v>1184</v>
      </c>
      <c r="E13" s="125">
        <v>996</v>
      </c>
      <c r="F13" s="154">
        <f t="shared" si="0"/>
        <v>-188</v>
      </c>
      <c r="G13" s="145">
        <f>E13/D13</f>
        <v>0.8412162162162162</v>
      </c>
      <c r="H13" s="127">
        <v>1160</v>
      </c>
      <c r="I13" s="128"/>
      <c r="J13" s="156">
        <f t="shared" si="1"/>
        <v>1160</v>
      </c>
      <c r="K13" s="144">
        <f t="shared" si="2"/>
        <v>164</v>
      </c>
      <c r="L13" s="150">
        <f t="shared" si="3"/>
        <v>1.1646586345381527</v>
      </c>
    </row>
    <row r="14" spans="1:12" s="101" customFormat="1" ht="13.5">
      <c r="A14" s="403" t="s">
        <v>31</v>
      </c>
      <c r="B14" s="404"/>
      <c r="C14" s="404"/>
      <c r="D14" s="125">
        <v>331</v>
      </c>
      <c r="E14" s="125">
        <v>335</v>
      </c>
      <c r="F14" s="154">
        <f t="shared" si="0"/>
        <v>4</v>
      </c>
      <c r="G14" s="145">
        <f>E14/D14</f>
        <v>1.012084592145015</v>
      </c>
      <c r="H14" s="127">
        <v>360</v>
      </c>
      <c r="I14" s="128"/>
      <c r="J14" s="156">
        <f t="shared" si="1"/>
        <v>360</v>
      </c>
      <c r="K14" s="144">
        <f t="shared" si="2"/>
        <v>25</v>
      </c>
      <c r="L14" s="150">
        <f t="shared" si="3"/>
        <v>1.0746268656716418</v>
      </c>
    </row>
    <row r="15" spans="1:14" s="101" customFormat="1" ht="13.5">
      <c r="A15" s="403" t="s">
        <v>32</v>
      </c>
      <c r="B15" s="404"/>
      <c r="C15" s="404"/>
      <c r="D15" s="125">
        <v>0</v>
      </c>
      <c r="E15" s="125">
        <v>0</v>
      </c>
      <c r="F15" s="154">
        <f t="shared" si="0"/>
        <v>0</v>
      </c>
      <c r="G15" s="145"/>
      <c r="H15" s="127"/>
      <c r="I15" s="128"/>
      <c r="J15" s="156">
        <f t="shared" si="1"/>
        <v>0</v>
      </c>
      <c r="K15" s="144">
        <f t="shared" si="2"/>
        <v>0</v>
      </c>
      <c r="L15" s="150"/>
      <c r="N15" s="129"/>
    </row>
    <row r="16" spans="1:12" s="101" customFormat="1" ht="13.5">
      <c r="A16" s="401" t="s">
        <v>33</v>
      </c>
      <c r="B16" s="402"/>
      <c r="C16" s="402"/>
      <c r="D16" s="125">
        <v>0</v>
      </c>
      <c r="E16" s="125">
        <v>0</v>
      </c>
      <c r="F16" s="154">
        <f t="shared" si="0"/>
        <v>0</v>
      </c>
      <c r="G16" s="145"/>
      <c r="H16" s="127"/>
      <c r="I16" s="128"/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401" t="s">
        <v>34</v>
      </c>
      <c r="B17" s="402"/>
      <c r="C17" s="402"/>
      <c r="D17" s="125">
        <v>0</v>
      </c>
      <c r="E17" s="125">
        <v>0</v>
      </c>
      <c r="F17" s="154">
        <f t="shared" si="0"/>
        <v>0</v>
      </c>
      <c r="G17" s="145"/>
      <c r="H17" s="127"/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405" t="s">
        <v>35</v>
      </c>
      <c r="B18" s="406"/>
      <c r="C18" s="406"/>
      <c r="D18" s="125">
        <v>253</v>
      </c>
      <c r="E18" s="125">
        <v>156</v>
      </c>
      <c r="F18" s="154">
        <f t="shared" si="0"/>
        <v>-97</v>
      </c>
      <c r="G18" s="145">
        <f>E18/D18</f>
        <v>0.616600790513834</v>
      </c>
      <c r="H18" s="127"/>
      <c r="I18" s="128"/>
      <c r="J18" s="156">
        <f t="shared" si="1"/>
        <v>0</v>
      </c>
      <c r="K18" s="144">
        <f t="shared" si="2"/>
        <v>-156</v>
      </c>
      <c r="L18" s="150">
        <f t="shared" si="3"/>
        <v>0</v>
      </c>
    </row>
    <row r="19" spans="1:12" s="101" customFormat="1" ht="13.5">
      <c r="A19" s="401" t="s">
        <v>36</v>
      </c>
      <c r="B19" s="402"/>
      <c r="C19" s="402"/>
      <c r="D19" s="125">
        <v>0</v>
      </c>
      <c r="E19" s="125">
        <v>0</v>
      </c>
      <c r="F19" s="154">
        <f t="shared" si="0"/>
        <v>0</v>
      </c>
      <c r="G19" s="145"/>
      <c r="H19" s="127"/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401" t="s">
        <v>37</v>
      </c>
      <c r="B20" s="402"/>
      <c r="C20" s="402"/>
      <c r="D20" s="125">
        <v>0</v>
      </c>
      <c r="E20" s="138">
        <v>0</v>
      </c>
      <c r="F20" s="154">
        <f t="shared" si="0"/>
        <v>0</v>
      </c>
      <c r="G20" s="145"/>
      <c r="H20" s="122"/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407" t="s">
        <v>38</v>
      </c>
      <c r="B21" s="408"/>
      <c r="C21" s="408"/>
      <c r="D21" s="125">
        <v>247</v>
      </c>
      <c r="E21" s="125">
        <v>140</v>
      </c>
      <c r="F21" s="154">
        <f t="shared" si="0"/>
        <v>-107</v>
      </c>
      <c r="G21" s="145">
        <f>E21/D21</f>
        <v>0.5668016194331984</v>
      </c>
      <c r="H21" s="127"/>
      <c r="I21" s="128"/>
      <c r="J21" s="156">
        <f t="shared" si="1"/>
        <v>0</v>
      </c>
      <c r="K21" s="144">
        <f t="shared" si="2"/>
        <v>-140</v>
      </c>
      <c r="L21" s="150">
        <f t="shared" si="3"/>
        <v>0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407" t="s">
        <v>160</v>
      </c>
      <c r="B22" s="409"/>
      <c r="C22" s="409"/>
      <c r="D22" s="125">
        <v>243</v>
      </c>
      <c r="E22" s="125">
        <v>140</v>
      </c>
      <c r="F22" s="154">
        <f t="shared" si="0"/>
        <v>-103</v>
      </c>
      <c r="G22" s="145">
        <f>E22/D22</f>
        <v>0.5761316872427984</v>
      </c>
      <c r="H22" s="127"/>
      <c r="I22" s="128"/>
      <c r="J22" s="156">
        <f t="shared" si="1"/>
        <v>0</v>
      </c>
      <c r="K22" s="144">
        <f t="shared" si="2"/>
        <v>-140</v>
      </c>
      <c r="L22" s="150">
        <f t="shared" si="3"/>
        <v>0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407" t="s">
        <v>161</v>
      </c>
      <c r="B23" s="409"/>
      <c r="C23" s="409"/>
      <c r="D23" s="125">
        <v>0</v>
      </c>
      <c r="E23" s="125">
        <v>0</v>
      </c>
      <c r="F23" s="154">
        <f t="shared" si="0"/>
        <v>0</v>
      </c>
      <c r="G23" s="145"/>
      <c r="H23" s="127"/>
      <c r="I23" s="128"/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407" t="s">
        <v>162</v>
      </c>
      <c r="B24" s="409"/>
      <c r="C24" s="409"/>
      <c r="D24" s="125">
        <v>4</v>
      </c>
      <c r="E24" s="125">
        <v>0</v>
      </c>
      <c r="F24" s="154">
        <f t="shared" si="0"/>
        <v>-4</v>
      </c>
      <c r="G24" s="145">
        <f>E24/D24</f>
        <v>0</v>
      </c>
      <c r="H24" s="127"/>
      <c r="I24" s="128"/>
      <c r="J24" s="156">
        <f t="shared" si="1"/>
        <v>0</v>
      </c>
      <c r="K24" s="144">
        <f t="shared" si="2"/>
        <v>0</v>
      </c>
      <c r="L24" s="150"/>
    </row>
    <row r="25" spans="1:12" s="101" customFormat="1" ht="13.5">
      <c r="A25" s="407" t="s">
        <v>163</v>
      </c>
      <c r="B25" s="409"/>
      <c r="C25" s="409"/>
      <c r="D25" s="125">
        <v>0</v>
      </c>
      <c r="E25" s="125">
        <v>0</v>
      </c>
      <c r="F25" s="154">
        <f t="shared" si="0"/>
        <v>0</v>
      </c>
      <c r="G25" s="145"/>
      <c r="H25" s="127"/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405" t="s">
        <v>39</v>
      </c>
      <c r="B26" s="406"/>
      <c r="C26" s="406"/>
      <c r="D26" s="125">
        <v>0</v>
      </c>
      <c r="E26" s="125">
        <v>1</v>
      </c>
      <c r="F26" s="154">
        <f t="shared" si="0"/>
        <v>1</v>
      </c>
      <c r="G26" s="145"/>
      <c r="H26" s="127"/>
      <c r="I26" s="128"/>
      <c r="J26" s="156">
        <f t="shared" si="1"/>
        <v>0</v>
      </c>
      <c r="K26" s="144">
        <f t="shared" si="2"/>
        <v>-1</v>
      </c>
      <c r="L26" s="150">
        <f t="shared" si="3"/>
        <v>0</v>
      </c>
    </row>
    <row r="27" spans="1:12" s="101" customFormat="1" ht="13.5">
      <c r="A27" s="401" t="s">
        <v>40</v>
      </c>
      <c r="B27" s="402"/>
      <c r="C27" s="402"/>
      <c r="D27" s="125">
        <v>0</v>
      </c>
      <c r="E27" s="125">
        <v>1</v>
      </c>
      <c r="F27" s="154">
        <f t="shared" si="0"/>
        <v>1</v>
      </c>
      <c r="G27" s="145"/>
      <c r="H27" s="127"/>
      <c r="I27" s="128"/>
      <c r="J27" s="156">
        <f t="shared" si="1"/>
        <v>0</v>
      </c>
      <c r="K27" s="144">
        <f t="shared" si="2"/>
        <v>-1</v>
      </c>
      <c r="L27" s="150">
        <f t="shared" si="3"/>
        <v>0</v>
      </c>
    </row>
    <row r="28" spans="1:12" s="101" customFormat="1" ht="13.5">
      <c r="A28" s="401" t="s">
        <v>41</v>
      </c>
      <c r="B28" s="402"/>
      <c r="C28" s="402"/>
      <c r="D28" s="125">
        <v>0</v>
      </c>
      <c r="E28" s="125">
        <v>0</v>
      </c>
      <c r="F28" s="154">
        <f t="shared" si="0"/>
        <v>0</v>
      </c>
      <c r="G28" s="145"/>
      <c r="H28" s="127"/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405" t="s">
        <v>42</v>
      </c>
      <c r="B29" s="406"/>
      <c r="C29" s="406"/>
      <c r="D29" s="125">
        <v>8368</v>
      </c>
      <c r="E29" s="138">
        <v>7308</v>
      </c>
      <c r="F29" s="154">
        <f t="shared" si="0"/>
        <v>-1060</v>
      </c>
      <c r="G29" s="145">
        <f>E29/D29</f>
        <v>0.8733269598470363</v>
      </c>
      <c r="H29" s="122">
        <v>6973</v>
      </c>
      <c r="I29" s="123"/>
      <c r="J29" s="156">
        <f t="shared" si="1"/>
        <v>6973</v>
      </c>
      <c r="K29" s="144">
        <f t="shared" si="2"/>
        <v>-335</v>
      </c>
      <c r="L29" s="150">
        <f t="shared" si="3"/>
        <v>0.95415982484948</v>
      </c>
    </row>
    <row r="30" spans="1:14" s="101" customFormat="1" ht="13.5">
      <c r="A30" s="403" t="s">
        <v>164</v>
      </c>
      <c r="B30" s="404"/>
      <c r="C30" s="404"/>
      <c r="D30" s="131">
        <v>1418</v>
      </c>
      <c r="E30" s="131">
        <v>1401</v>
      </c>
      <c r="F30" s="155">
        <f t="shared" si="0"/>
        <v>-17</v>
      </c>
      <c r="G30" s="147">
        <f>E30/D30</f>
        <v>0.9880112834978844</v>
      </c>
      <c r="H30" s="363">
        <v>1401</v>
      </c>
      <c r="I30" s="133"/>
      <c r="J30" s="157">
        <f t="shared" si="1"/>
        <v>1401</v>
      </c>
      <c r="K30" s="146">
        <f t="shared" si="2"/>
        <v>0</v>
      </c>
      <c r="L30" s="151">
        <f t="shared" si="3"/>
        <v>1</v>
      </c>
      <c r="N30" s="129"/>
    </row>
    <row r="31" spans="1:12" s="101" customFormat="1" ht="13.5">
      <c r="A31" s="403" t="s">
        <v>43</v>
      </c>
      <c r="B31" s="404"/>
      <c r="C31" s="404"/>
      <c r="D31" s="125">
        <v>6950</v>
      </c>
      <c r="E31" s="125">
        <v>5907</v>
      </c>
      <c r="F31" s="154">
        <f t="shared" si="0"/>
        <v>-1043</v>
      </c>
      <c r="G31" s="145">
        <f>E31/D31</f>
        <v>0.8499280575539568</v>
      </c>
      <c r="H31" s="127">
        <v>5572</v>
      </c>
      <c r="I31" s="128"/>
      <c r="J31" s="156">
        <f t="shared" si="1"/>
        <v>5572</v>
      </c>
      <c r="K31" s="144">
        <f t="shared" si="2"/>
        <v>-335</v>
      </c>
      <c r="L31" s="150">
        <f t="shared" si="3"/>
        <v>0.9432876248518707</v>
      </c>
    </row>
    <row r="32" spans="1:12" s="101" customFormat="1" ht="13.5">
      <c r="A32" s="401" t="s">
        <v>44</v>
      </c>
      <c r="B32" s="402"/>
      <c r="C32" s="402"/>
      <c r="D32" s="138">
        <v>0</v>
      </c>
      <c r="E32" s="138">
        <v>0</v>
      </c>
      <c r="F32" s="154">
        <f t="shared" si="0"/>
        <v>0</v>
      </c>
      <c r="G32" s="145"/>
      <c r="H32" s="122"/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403" t="s">
        <v>45</v>
      </c>
      <c r="B33" s="404"/>
      <c r="C33" s="404"/>
      <c r="D33" s="153">
        <v>0</v>
      </c>
      <c r="E33" s="153">
        <v>0</v>
      </c>
      <c r="F33" s="154">
        <f t="shared" si="0"/>
        <v>0</v>
      </c>
      <c r="G33" s="145"/>
      <c r="H33" s="158"/>
      <c r="I33" s="159"/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410" t="s">
        <v>46</v>
      </c>
      <c r="B34" s="411"/>
      <c r="C34" s="411"/>
      <c r="D34" s="171">
        <v>21903</v>
      </c>
      <c r="E34" s="172">
        <v>21037</v>
      </c>
      <c r="F34" s="173">
        <f t="shared" si="0"/>
        <v>-866</v>
      </c>
      <c r="G34" s="174">
        <f>E34/D34</f>
        <v>0.9604620371638588</v>
      </c>
      <c r="H34" s="172">
        <v>20393</v>
      </c>
      <c r="I34" s="172"/>
      <c r="J34" s="175">
        <f t="shared" si="1"/>
        <v>20393</v>
      </c>
      <c r="K34" s="173">
        <f t="shared" si="2"/>
        <v>-644</v>
      </c>
      <c r="L34" s="176">
        <f t="shared" si="3"/>
        <v>0.9693872700480106</v>
      </c>
    </row>
    <row r="35" spans="1:12" s="101" customFormat="1" ht="13.5">
      <c r="A35" s="412" t="s">
        <v>47</v>
      </c>
      <c r="B35" s="413"/>
      <c r="C35" s="413"/>
      <c r="D35" s="135">
        <v>3241</v>
      </c>
      <c r="E35" s="136">
        <v>3127</v>
      </c>
      <c r="F35" s="148">
        <f t="shared" si="0"/>
        <v>-114</v>
      </c>
      <c r="G35" s="149">
        <f>E35/D35</f>
        <v>0.9648256710891701</v>
      </c>
      <c r="H35" s="137">
        <v>3430</v>
      </c>
      <c r="I35" s="137"/>
      <c r="J35" s="134">
        <f t="shared" si="1"/>
        <v>3430</v>
      </c>
      <c r="K35" s="148">
        <f t="shared" si="2"/>
        <v>303</v>
      </c>
      <c r="L35" s="152">
        <f t="shared" si="3"/>
        <v>1.0968979852894147</v>
      </c>
    </row>
    <row r="36" spans="1:12" s="101" customFormat="1" ht="13.5">
      <c r="A36" s="403" t="s">
        <v>48</v>
      </c>
      <c r="B36" s="404"/>
      <c r="C36" s="404"/>
      <c r="D36" s="125">
        <v>2327</v>
      </c>
      <c r="E36" s="126">
        <v>2427</v>
      </c>
      <c r="F36" s="144">
        <f t="shared" si="0"/>
        <v>100</v>
      </c>
      <c r="G36" s="145">
        <f>E36/D36</f>
        <v>1.0429737859905457</v>
      </c>
      <c r="H36" s="127">
        <v>2450</v>
      </c>
      <c r="I36" s="128"/>
      <c r="J36" s="124">
        <f t="shared" si="1"/>
        <v>2450</v>
      </c>
      <c r="K36" s="144">
        <f t="shared" si="2"/>
        <v>23</v>
      </c>
      <c r="L36" s="150">
        <f t="shared" si="3"/>
        <v>1.0094767202307375</v>
      </c>
    </row>
    <row r="37" spans="1:12" s="101" customFormat="1" ht="13.5">
      <c r="A37" s="403" t="s">
        <v>49</v>
      </c>
      <c r="B37" s="404"/>
      <c r="C37" s="404"/>
      <c r="D37" s="125">
        <v>78</v>
      </c>
      <c r="E37" s="126">
        <v>80</v>
      </c>
      <c r="F37" s="144">
        <f t="shared" si="0"/>
        <v>2</v>
      </c>
      <c r="G37" s="145">
        <f>E37/D37</f>
        <v>1.0256410256410255</v>
      </c>
      <c r="H37" s="127">
        <v>80</v>
      </c>
      <c r="I37" s="128"/>
      <c r="J37" s="124">
        <f t="shared" si="1"/>
        <v>80</v>
      </c>
      <c r="K37" s="144">
        <f t="shared" si="2"/>
        <v>0</v>
      </c>
      <c r="L37" s="150">
        <f t="shared" si="3"/>
        <v>1</v>
      </c>
    </row>
    <row r="38" spans="1:12" s="101" customFormat="1" ht="13.5">
      <c r="A38" s="403" t="s">
        <v>50</v>
      </c>
      <c r="B38" s="404"/>
      <c r="C38" s="404"/>
      <c r="D38" s="138">
        <v>0</v>
      </c>
      <c r="E38" s="130">
        <v>0</v>
      </c>
      <c r="F38" s="144">
        <f t="shared" si="0"/>
        <v>0</v>
      </c>
      <c r="G38" s="145"/>
      <c r="H38" s="122">
        <v>100</v>
      </c>
      <c r="I38" s="123"/>
      <c r="J38" s="124">
        <f t="shared" si="1"/>
        <v>100</v>
      </c>
      <c r="K38" s="144">
        <f t="shared" si="2"/>
        <v>100</v>
      </c>
      <c r="L38" s="150"/>
    </row>
    <row r="39" spans="1:12" s="101" customFormat="1" ht="13.5">
      <c r="A39" s="403" t="s">
        <v>51</v>
      </c>
      <c r="B39" s="404"/>
      <c r="C39" s="404"/>
      <c r="D39" s="125">
        <v>0</v>
      </c>
      <c r="E39" s="126">
        <v>18</v>
      </c>
      <c r="F39" s="144">
        <f t="shared" si="0"/>
        <v>18</v>
      </c>
      <c r="G39" s="145"/>
      <c r="H39" s="127">
        <v>20</v>
      </c>
      <c r="I39" s="128"/>
      <c r="J39" s="124">
        <f t="shared" si="1"/>
        <v>20</v>
      </c>
      <c r="K39" s="144">
        <f t="shared" si="2"/>
        <v>2</v>
      </c>
      <c r="L39" s="150">
        <f t="shared" si="3"/>
        <v>1.1111111111111112</v>
      </c>
    </row>
    <row r="40" spans="1:12" s="101" customFormat="1" ht="13.5">
      <c r="A40" s="403" t="s">
        <v>52</v>
      </c>
      <c r="B40" s="404"/>
      <c r="C40" s="404"/>
      <c r="D40" s="125">
        <v>0</v>
      </c>
      <c r="E40" s="126">
        <v>30</v>
      </c>
      <c r="F40" s="144">
        <f t="shared" si="0"/>
        <v>30</v>
      </c>
      <c r="G40" s="145"/>
      <c r="H40" s="127">
        <v>30</v>
      </c>
      <c r="I40" s="128"/>
      <c r="J40" s="124">
        <f t="shared" si="1"/>
        <v>30</v>
      </c>
      <c r="K40" s="144">
        <f t="shared" si="2"/>
        <v>0</v>
      </c>
      <c r="L40" s="150">
        <f t="shared" si="3"/>
        <v>1</v>
      </c>
    </row>
    <row r="41" spans="1:14" s="101" customFormat="1" ht="13.5">
      <c r="A41" s="403" t="s">
        <v>53</v>
      </c>
      <c r="B41" s="404"/>
      <c r="C41" s="404"/>
      <c r="D41" s="125">
        <v>0</v>
      </c>
      <c r="E41" s="126">
        <v>31</v>
      </c>
      <c r="F41" s="144">
        <f t="shared" si="0"/>
        <v>31</v>
      </c>
      <c r="G41" s="145"/>
      <c r="H41" s="127">
        <v>50</v>
      </c>
      <c r="I41" s="128"/>
      <c r="J41" s="124">
        <f t="shared" si="1"/>
        <v>50</v>
      </c>
      <c r="K41" s="144">
        <f t="shared" si="2"/>
        <v>19</v>
      </c>
      <c r="L41" s="150">
        <f t="shared" si="3"/>
        <v>1.6129032258064515</v>
      </c>
      <c r="N41" s="129"/>
    </row>
    <row r="42" spans="1:12" s="101" customFormat="1" ht="13.5">
      <c r="A42" s="403" t="s">
        <v>54</v>
      </c>
      <c r="B42" s="404"/>
      <c r="C42" s="404"/>
      <c r="D42" s="125">
        <v>0</v>
      </c>
      <c r="E42" s="126">
        <v>306</v>
      </c>
      <c r="F42" s="144">
        <f t="shared" si="0"/>
        <v>306</v>
      </c>
      <c r="G42" s="145"/>
      <c r="H42" s="127">
        <v>350</v>
      </c>
      <c r="I42" s="128"/>
      <c r="J42" s="124">
        <f t="shared" si="1"/>
        <v>350</v>
      </c>
      <c r="K42" s="144">
        <f t="shared" si="2"/>
        <v>44</v>
      </c>
      <c r="L42" s="150">
        <f t="shared" si="3"/>
        <v>1.1437908496732025</v>
      </c>
    </row>
    <row r="43" spans="1:14" s="101" customFormat="1" ht="13.5">
      <c r="A43" s="403" t="s">
        <v>166</v>
      </c>
      <c r="B43" s="404"/>
      <c r="C43" s="404"/>
      <c r="D43" s="125">
        <v>0</v>
      </c>
      <c r="E43" s="126">
        <v>0</v>
      </c>
      <c r="F43" s="144">
        <f t="shared" si="0"/>
        <v>0</v>
      </c>
      <c r="G43" s="145"/>
      <c r="H43" s="127">
        <v>0</v>
      </c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403" t="s">
        <v>167</v>
      </c>
      <c r="B44" s="404"/>
      <c r="C44" s="404"/>
      <c r="D44" s="125">
        <v>0</v>
      </c>
      <c r="E44" s="126">
        <v>0</v>
      </c>
      <c r="F44" s="144">
        <f t="shared" si="0"/>
        <v>0</v>
      </c>
      <c r="G44" s="145"/>
      <c r="H44" s="127">
        <v>100</v>
      </c>
      <c r="I44" s="128"/>
      <c r="J44" s="124">
        <f t="shared" si="1"/>
        <v>100</v>
      </c>
      <c r="K44" s="144">
        <f t="shared" si="2"/>
        <v>100</v>
      </c>
      <c r="L44" s="150"/>
    </row>
    <row r="45" spans="1:12" s="101" customFormat="1" ht="13.5">
      <c r="A45" s="403" t="s">
        <v>55</v>
      </c>
      <c r="B45" s="404"/>
      <c r="C45" s="404"/>
      <c r="D45" s="125">
        <v>836</v>
      </c>
      <c r="E45" s="126">
        <v>235</v>
      </c>
      <c r="F45" s="144">
        <f t="shared" si="0"/>
        <v>-601</v>
      </c>
      <c r="G45" s="145">
        <f>E45/D45</f>
        <v>0.2811004784688995</v>
      </c>
      <c r="H45" s="127">
        <v>250</v>
      </c>
      <c r="I45" s="128"/>
      <c r="J45" s="124">
        <f t="shared" si="1"/>
        <v>250</v>
      </c>
      <c r="K45" s="144">
        <f t="shared" si="2"/>
        <v>15</v>
      </c>
      <c r="L45" s="150">
        <f t="shared" si="3"/>
        <v>1.0638297872340425</v>
      </c>
    </row>
    <row r="46" spans="1:14" s="101" customFormat="1" ht="13.5">
      <c r="A46" s="412" t="s">
        <v>56</v>
      </c>
      <c r="B46" s="413"/>
      <c r="C46" s="413"/>
      <c r="D46" s="125">
        <v>1145</v>
      </c>
      <c r="E46" s="126">
        <v>1237</v>
      </c>
      <c r="F46" s="144">
        <f t="shared" si="0"/>
        <v>92</v>
      </c>
      <c r="G46" s="145">
        <f>E46/D46</f>
        <v>1.080349344978166</v>
      </c>
      <c r="H46" s="127">
        <v>1300</v>
      </c>
      <c r="I46" s="127"/>
      <c r="J46" s="124">
        <f t="shared" si="1"/>
        <v>1300</v>
      </c>
      <c r="K46" s="144">
        <f t="shared" si="2"/>
        <v>63</v>
      </c>
      <c r="L46" s="150">
        <f t="shared" si="3"/>
        <v>1.0509296685529508</v>
      </c>
      <c r="N46" s="129"/>
    </row>
    <row r="47" spans="1:12" s="101" customFormat="1" ht="13.5">
      <c r="A47" s="403" t="s">
        <v>57</v>
      </c>
      <c r="B47" s="404"/>
      <c r="C47" s="404"/>
      <c r="D47" s="125">
        <v>572</v>
      </c>
      <c r="E47" s="126">
        <v>604</v>
      </c>
      <c r="F47" s="144">
        <f t="shared" si="0"/>
        <v>32</v>
      </c>
      <c r="G47" s="145">
        <f>E47/D47</f>
        <v>1.055944055944056</v>
      </c>
      <c r="H47" s="127">
        <v>630</v>
      </c>
      <c r="I47" s="128"/>
      <c r="J47" s="124">
        <f t="shared" si="1"/>
        <v>630</v>
      </c>
      <c r="K47" s="144">
        <f t="shared" si="2"/>
        <v>26</v>
      </c>
      <c r="L47" s="150">
        <f t="shared" si="3"/>
        <v>1.0430463576158941</v>
      </c>
    </row>
    <row r="48" spans="1:12" s="101" customFormat="1" ht="13.5">
      <c r="A48" s="403" t="s">
        <v>58</v>
      </c>
      <c r="B48" s="404"/>
      <c r="C48" s="404"/>
      <c r="D48" s="125">
        <v>494</v>
      </c>
      <c r="E48" s="126">
        <v>541</v>
      </c>
      <c r="F48" s="144">
        <f t="shared" si="0"/>
        <v>47</v>
      </c>
      <c r="G48" s="145">
        <f>E48/D48</f>
        <v>1.0951417004048583</v>
      </c>
      <c r="H48" s="127">
        <v>560</v>
      </c>
      <c r="I48" s="128"/>
      <c r="J48" s="124">
        <f t="shared" si="1"/>
        <v>560</v>
      </c>
      <c r="K48" s="144">
        <f t="shared" si="2"/>
        <v>19</v>
      </c>
      <c r="L48" s="150">
        <f t="shared" si="3"/>
        <v>1.0351201478743068</v>
      </c>
    </row>
    <row r="49" spans="1:12" s="101" customFormat="1" ht="13.5">
      <c r="A49" s="403" t="s">
        <v>59</v>
      </c>
      <c r="B49" s="404"/>
      <c r="C49" s="404"/>
      <c r="D49" s="125">
        <v>79</v>
      </c>
      <c r="E49" s="126">
        <v>92</v>
      </c>
      <c r="F49" s="144">
        <f t="shared" si="0"/>
        <v>13</v>
      </c>
      <c r="G49" s="145">
        <f>E49/D49</f>
        <v>1.1645569620253164</v>
      </c>
      <c r="H49" s="127">
        <v>110</v>
      </c>
      <c r="I49" s="128"/>
      <c r="J49" s="124">
        <f t="shared" si="1"/>
        <v>110</v>
      </c>
      <c r="K49" s="144">
        <f t="shared" si="2"/>
        <v>18</v>
      </c>
      <c r="L49" s="150">
        <f t="shared" si="3"/>
        <v>1.1956521739130435</v>
      </c>
    </row>
    <row r="50" spans="1:12" s="101" customFormat="1" ht="13.5">
      <c r="A50" s="403" t="s">
        <v>168</v>
      </c>
      <c r="B50" s="404"/>
      <c r="C50" s="404"/>
      <c r="D50" s="125">
        <v>0</v>
      </c>
      <c r="E50" s="126">
        <v>0</v>
      </c>
      <c r="F50" s="144">
        <f t="shared" si="0"/>
        <v>0</v>
      </c>
      <c r="G50" s="145"/>
      <c r="H50" s="127">
        <v>0</v>
      </c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412" t="s">
        <v>60</v>
      </c>
      <c r="B51" s="413"/>
      <c r="C51" s="413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412" t="s">
        <v>61</v>
      </c>
      <c r="B52" s="413"/>
      <c r="C52" s="413"/>
      <c r="D52" s="125">
        <v>0</v>
      </c>
      <c r="E52" s="126">
        <v>0</v>
      </c>
      <c r="F52" s="144">
        <f t="shared" si="0"/>
        <v>0</v>
      </c>
      <c r="G52" s="145"/>
      <c r="H52" s="127">
        <v>0</v>
      </c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412" t="s">
        <v>62</v>
      </c>
      <c r="B53" s="413"/>
      <c r="C53" s="413"/>
      <c r="D53" s="125">
        <v>1084</v>
      </c>
      <c r="E53" s="126">
        <v>646</v>
      </c>
      <c r="F53" s="144">
        <f t="shared" si="0"/>
        <v>-438</v>
      </c>
      <c r="G53" s="145">
        <f>E53/D53</f>
        <v>0.5959409594095941</v>
      </c>
      <c r="H53" s="127">
        <v>900</v>
      </c>
      <c r="I53" s="128"/>
      <c r="J53" s="124">
        <f t="shared" si="1"/>
        <v>900</v>
      </c>
      <c r="K53" s="144">
        <f t="shared" si="2"/>
        <v>254</v>
      </c>
      <c r="L53" s="150">
        <f t="shared" si="3"/>
        <v>1.3931888544891642</v>
      </c>
    </row>
    <row r="54" spans="1:12" s="101" customFormat="1" ht="13.5">
      <c r="A54" s="414" t="s">
        <v>63</v>
      </c>
      <c r="B54" s="415"/>
      <c r="C54" s="415"/>
      <c r="D54" s="125">
        <v>0</v>
      </c>
      <c r="E54" s="126">
        <v>357</v>
      </c>
      <c r="F54" s="144">
        <f t="shared" si="0"/>
        <v>357</v>
      </c>
      <c r="G54" s="145"/>
      <c r="H54" s="127">
        <v>500</v>
      </c>
      <c r="I54" s="128"/>
      <c r="J54" s="124">
        <f t="shared" si="1"/>
        <v>500</v>
      </c>
      <c r="K54" s="144">
        <f t="shared" si="2"/>
        <v>143</v>
      </c>
      <c r="L54" s="150">
        <f t="shared" si="3"/>
        <v>1.4005602240896358</v>
      </c>
    </row>
    <row r="55" spans="1:12" s="101" customFormat="1" ht="13.5">
      <c r="A55" s="414" t="s">
        <v>169</v>
      </c>
      <c r="B55" s="415"/>
      <c r="C55" s="415"/>
      <c r="D55" s="125">
        <v>0</v>
      </c>
      <c r="E55" s="126">
        <v>185</v>
      </c>
      <c r="F55" s="144">
        <f t="shared" si="0"/>
        <v>185</v>
      </c>
      <c r="G55" s="145"/>
      <c r="H55" s="127">
        <v>200</v>
      </c>
      <c r="I55" s="128"/>
      <c r="J55" s="124">
        <f t="shared" si="1"/>
        <v>200</v>
      </c>
      <c r="K55" s="144">
        <f t="shared" si="2"/>
        <v>15</v>
      </c>
      <c r="L55" s="150">
        <f t="shared" si="3"/>
        <v>1.0810810810810811</v>
      </c>
    </row>
    <row r="56" spans="1:12" s="101" customFormat="1" ht="13.5">
      <c r="A56" s="414" t="s">
        <v>133</v>
      </c>
      <c r="B56" s="415"/>
      <c r="C56" s="415"/>
      <c r="D56" s="125">
        <v>0</v>
      </c>
      <c r="E56" s="126">
        <v>104</v>
      </c>
      <c r="F56" s="144">
        <f t="shared" si="0"/>
        <v>104</v>
      </c>
      <c r="G56" s="145"/>
      <c r="H56" s="127">
        <v>200</v>
      </c>
      <c r="I56" s="128"/>
      <c r="J56" s="124">
        <f t="shared" si="1"/>
        <v>200</v>
      </c>
      <c r="K56" s="144">
        <f t="shared" si="2"/>
        <v>96</v>
      </c>
      <c r="L56" s="150">
        <f t="shared" si="3"/>
        <v>1.9230769230769231</v>
      </c>
    </row>
    <row r="57" spans="1:12" s="101" customFormat="1" ht="13.5">
      <c r="A57" s="412" t="s">
        <v>64</v>
      </c>
      <c r="B57" s="413"/>
      <c r="C57" s="413"/>
      <c r="D57" s="125">
        <v>38</v>
      </c>
      <c r="E57" s="126">
        <v>30</v>
      </c>
      <c r="F57" s="144">
        <f t="shared" si="0"/>
        <v>-8</v>
      </c>
      <c r="G57" s="145">
        <f>E57/D57</f>
        <v>0.7894736842105263</v>
      </c>
      <c r="H57" s="127">
        <v>35</v>
      </c>
      <c r="I57" s="128"/>
      <c r="J57" s="124">
        <f t="shared" si="1"/>
        <v>35</v>
      </c>
      <c r="K57" s="144">
        <f t="shared" si="2"/>
        <v>5</v>
      </c>
      <c r="L57" s="150">
        <f t="shared" si="3"/>
        <v>1.1666666666666667</v>
      </c>
    </row>
    <row r="58" spans="1:12" s="101" customFormat="1" ht="13.5">
      <c r="A58" s="412" t="s">
        <v>65</v>
      </c>
      <c r="B58" s="413"/>
      <c r="C58" s="413"/>
      <c r="D58" s="125">
        <v>4</v>
      </c>
      <c r="E58" s="126">
        <v>4</v>
      </c>
      <c r="F58" s="144">
        <f t="shared" si="0"/>
        <v>0</v>
      </c>
      <c r="G58" s="145">
        <f>E58/D58</f>
        <v>1</v>
      </c>
      <c r="H58" s="127">
        <v>4</v>
      </c>
      <c r="I58" s="128"/>
      <c r="J58" s="124">
        <f t="shared" si="1"/>
        <v>4</v>
      </c>
      <c r="K58" s="144">
        <f t="shared" si="2"/>
        <v>0</v>
      </c>
      <c r="L58" s="150">
        <f t="shared" si="3"/>
        <v>1</v>
      </c>
    </row>
    <row r="59" spans="1:14" s="101" customFormat="1" ht="13.5">
      <c r="A59" s="412" t="s">
        <v>66</v>
      </c>
      <c r="B59" s="413"/>
      <c r="C59" s="413"/>
      <c r="D59" s="125">
        <v>868</v>
      </c>
      <c r="E59" s="126">
        <v>762</v>
      </c>
      <c r="F59" s="144">
        <f t="shared" si="0"/>
        <v>-106</v>
      </c>
      <c r="G59" s="145">
        <f>E59/D59</f>
        <v>0.8778801843317973</v>
      </c>
      <c r="H59" s="127">
        <v>800</v>
      </c>
      <c r="I59" s="128"/>
      <c r="J59" s="124">
        <f t="shared" si="1"/>
        <v>800</v>
      </c>
      <c r="K59" s="144">
        <f t="shared" si="2"/>
        <v>38</v>
      </c>
      <c r="L59" s="150">
        <f t="shared" si="3"/>
        <v>1.0498687664041995</v>
      </c>
      <c r="N59" s="129"/>
    </row>
    <row r="60" spans="1:12" s="101" customFormat="1" ht="13.5">
      <c r="A60" s="403" t="s">
        <v>67</v>
      </c>
      <c r="B60" s="404"/>
      <c r="C60" s="404"/>
      <c r="D60" s="125">
        <v>55</v>
      </c>
      <c r="E60" s="126">
        <v>68</v>
      </c>
      <c r="F60" s="144">
        <f t="shared" si="0"/>
        <v>13</v>
      </c>
      <c r="G60" s="145">
        <f>E60/D60</f>
        <v>1.2363636363636363</v>
      </c>
      <c r="H60" s="127">
        <v>70</v>
      </c>
      <c r="I60" s="128"/>
      <c r="J60" s="124">
        <f t="shared" si="1"/>
        <v>70</v>
      </c>
      <c r="K60" s="144">
        <f t="shared" si="2"/>
        <v>2</v>
      </c>
      <c r="L60" s="150">
        <f t="shared" si="3"/>
        <v>1.0294117647058822</v>
      </c>
    </row>
    <row r="61" spans="1:12" s="101" customFormat="1" ht="13.5">
      <c r="A61" s="403" t="s">
        <v>68</v>
      </c>
      <c r="B61" s="404"/>
      <c r="C61" s="404"/>
      <c r="D61" s="125">
        <v>0</v>
      </c>
      <c r="E61" s="126">
        <v>4</v>
      </c>
      <c r="F61" s="144">
        <f t="shared" si="0"/>
        <v>4</v>
      </c>
      <c r="G61" s="145"/>
      <c r="H61" s="127">
        <v>4</v>
      </c>
      <c r="I61" s="128"/>
      <c r="J61" s="124">
        <f t="shared" si="1"/>
        <v>4</v>
      </c>
      <c r="K61" s="144">
        <f t="shared" si="2"/>
        <v>0</v>
      </c>
      <c r="L61" s="150">
        <f t="shared" si="3"/>
        <v>1</v>
      </c>
    </row>
    <row r="62" spans="1:12" s="101" customFormat="1" ht="13.5">
      <c r="A62" s="403" t="s">
        <v>69</v>
      </c>
      <c r="B62" s="404"/>
      <c r="C62" s="404"/>
      <c r="D62" s="125">
        <v>0</v>
      </c>
      <c r="E62" s="126">
        <v>0</v>
      </c>
      <c r="F62" s="144">
        <f t="shared" si="0"/>
        <v>0</v>
      </c>
      <c r="G62" s="145"/>
      <c r="H62" s="127">
        <v>0</v>
      </c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403" t="s">
        <v>70</v>
      </c>
      <c r="B63" s="404"/>
      <c r="C63" s="404"/>
      <c r="D63" s="125">
        <v>0</v>
      </c>
      <c r="E63" s="126">
        <v>57</v>
      </c>
      <c r="F63" s="144">
        <f t="shared" si="0"/>
        <v>57</v>
      </c>
      <c r="G63" s="145"/>
      <c r="H63" s="127">
        <v>66</v>
      </c>
      <c r="I63" s="128"/>
      <c r="J63" s="124">
        <f t="shared" si="1"/>
        <v>66</v>
      </c>
      <c r="K63" s="144">
        <f t="shared" si="2"/>
        <v>9</v>
      </c>
      <c r="L63" s="150">
        <f t="shared" si="3"/>
        <v>1.1578947368421053</v>
      </c>
    </row>
    <row r="64" spans="1:12" s="101" customFormat="1" ht="13.5">
      <c r="A64" s="403" t="s">
        <v>71</v>
      </c>
      <c r="B64" s="404"/>
      <c r="C64" s="404"/>
      <c r="D64" s="125">
        <v>0</v>
      </c>
      <c r="E64" s="126">
        <v>0</v>
      </c>
      <c r="F64" s="144">
        <f t="shared" si="0"/>
        <v>0</v>
      </c>
      <c r="G64" s="145"/>
      <c r="H64" s="127">
        <v>0</v>
      </c>
      <c r="I64" s="128"/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403" t="s">
        <v>170</v>
      </c>
      <c r="B65" s="404"/>
      <c r="C65" s="404"/>
      <c r="D65" s="125">
        <v>0</v>
      </c>
      <c r="E65" s="126">
        <v>93</v>
      </c>
      <c r="F65" s="144">
        <f t="shared" si="0"/>
        <v>93</v>
      </c>
      <c r="G65" s="145"/>
      <c r="H65" s="127">
        <v>100</v>
      </c>
      <c r="I65" s="128"/>
      <c r="J65" s="124">
        <f t="shared" si="1"/>
        <v>100</v>
      </c>
      <c r="K65" s="144">
        <f t="shared" si="2"/>
        <v>7</v>
      </c>
      <c r="L65" s="150">
        <f t="shared" si="3"/>
        <v>1.075268817204301</v>
      </c>
    </row>
    <row r="66" spans="1:12" s="101" customFormat="1" ht="13.5">
      <c r="A66" s="403" t="s">
        <v>72</v>
      </c>
      <c r="B66" s="404"/>
      <c r="C66" s="404"/>
      <c r="D66" s="125">
        <v>0</v>
      </c>
      <c r="E66" s="126">
        <v>146</v>
      </c>
      <c r="F66" s="144">
        <f t="shared" si="0"/>
        <v>146</v>
      </c>
      <c r="G66" s="145"/>
      <c r="H66" s="127">
        <v>150</v>
      </c>
      <c r="I66" s="128"/>
      <c r="J66" s="124">
        <f t="shared" si="1"/>
        <v>150</v>
      </c>
      <c r="K66" s="144">
        <f t="shared" si="2"/>
        <v>4</v>
      </c>
      <c r="L66" s="150">
        <f t="shared" si="3"/>
        <v>1.0273972602739727</v>
      </c>
    </row>
    <row r="67" spans="1:12" s="101" customFormat="1" ht="13.5">
      <c r="A67" s="403" t="s">
        <v>73</v>
      </c>
      <c r="B67" s="404"/>
      <c r="C67" s="404"/>
      <c r="D67" s="125">
        <v>813</v>
      </c>
      <c r="E67" s="126">
        <v>394</v>
      </c>
      <c r="F67" s="144">
        <f t="shared" si="0"/>
        <v>-419</v>
      </c>
      <c r="G67" s="145">
        <f>E67/D67</f>
        <v>0.48462484624846247</v>
      </c>
      <c r="H67" s="127">
        <v>410</v>
      </c>
      <c r="I67" s="128"/>
      <c r="J67" s="124">
        <f t="shared" si="1"/>
        <v>410</v>
      </c>
      <c r="K67" s="144">
        <f t="shared" si="2"/>
        <v>16</v>
      </c>
      <c r="L67" s="150">
        <f t="shared" si="3"/>
        <v>1.0406091370558375</v>
      </c>
    </row>
    <row r="68" spans="1:12" s="101" customFormat="1" ht="13.5">
      <c r="A68" s="403" t="s">
        <v>171</v>
      </c>
      <c r="B68" s="404"/>
      <c r="C68" s="404"/>
      <c r="D68" s="125">
        <v>0</v>
      </c>
      <c r="E68" s="126">
        <v>0</v>
      </c>
      <c r="F68" s="144">
        <f t="shared" si="0"/>
        <v>0</v>
      </c>
      <c r="G68" s="145"/>
      <c r="H68" s="127">
        <v>0</v>
      </c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412" t="s">
        <v>74</v>
      </c>
      <c r="B69" s="413"/>
      <c r="C69" s="413"/>
      <c r="D69" s="125">
        <v>14626</v>
      </c>
      <c r="E69" s="126">
        <v>14671</v>
      </c>
      <c r="F69" s="144">
        <f t="shared" si="0"/>
        <v>45</v>
      </c>
      <c r="G69" s="145">
        <f aca="true" t="shared" si="4" ref="G69:G75">E69/D69</f>
        <v>1.0030767127034048</v>
      </c>
      <c r="H69" s="127">
        <v>14912</v>
      </c>
      <c r="I69" s="128"/>
      <c r="J69" s="124">
        <f t="shared" si="1"/>
        <v>14912</v>
      </c>
      <c r="K69" s="144">
        <f t="shared" si="2"/>
        <v>241</v>
      </c>
      <c r="L69" s="150">
        <f t="shared" si="3"/>
        <v>1.0164269647604116</v>
      </c>
      <c r="N69" s="129"/>
    </row>
    <row r="70" spans="1:12" s="101" customFormat="1" ht="13.5">
      <c r="A70" s="403" t="s">
        <v>75</v>
      </c>
      <c r="B70" s="404"/>
      <c r="C70" s="404"/>
      <c r="D70" s="125">
        <v>10813</v>
      </c>
      <c r="E70" s="126">
        <v>10814</v>
      </c>
      <c r="F70" s="144">
        <f t="shared" si="0"/>
        <v>1</v>
      </c>
      <c r="G70" s="145">
        <f t="shared" si="4"/>
        <v>1.0000924812725422</v>
      </c>
      <c r="H70" s="127">
        <v>10870</v>
      </c>
      <c r="I70" s="128"/>
      <c r="J70" s="124">
        <f t="shared" si="1"/>
        <v>10870</v>
      </c>
      <c r="K70" s="144">
        <f t="shared" si="2"/>
        <v>56</v>
      </c>
      <c r="L70" s="150">
        <f t="shared" si="3"/>
        <v>1.0051784723506565</v>
      </c>
    </row>
    <row r="71" spans="1:12" s="101" customFormat="1" ht="13.5">
      <c r="A71" s="403" t="s">
        <v>76</v>
      </c>
      <c r="B71" s="404"/>
      <c r="C71" s="404"/>
      <c r="D71" s="125">
        <v>10487</v>
      </c>
      <c r="E71" s="126">
        <v>10525</v>
      </c>
      <c r="F71" s="144">
        <f t="shared" si="0"/>
        <v>38</v>
      </c>
      <c r="G71" s="145">
        <f t="shared" si="4"/>
        <v>1.0036235338991133</v>
      </c>
      <c r="H71" s="127">
        <v>10570</v>
      </c>
      <c r="I71" s="128"/>
      <c r="J71" s="124">
        <f t="shared" si="1"/>
        <v>10570</v>
      </c>
      <c r="K71" s="144">
        <f t="shared" si="2"/>
        <v>45</v>
      </c>
      <c r="L71" s="150">
        <f t="shared" si="3"/>
        <v>1.0042755344418053</v>
      </c>
    </row>
    <row r="72" spans="1:12" s="101" customFormat="1" ht="13.5">
      <c r="A72" s="403" t="s">
        <v>172</v>
      </c>
      <c r="B72" s="404"/>
      <c r="C72" s="404"/>
      <c r="D72" s="125">
        <v>10483</v>
      </c>
      <c r="E72" s="126">
        <v>10487</v>
      </c>
      <c r="F72" s="144">
        <f t="shared" si="0"/>
        <v>4</v>
      </c>
      <c r="G72" s="145">
        <f t="shared" si="4"/>
        <v>1.0003815701612133</v>
      </c>
      <c r="H72" s="127">
        <v>10532</v>
      </c>
      <c r="I72" s="128"/>
      <c r="J72" s="124">
        <f t="shared" si="1"/>
        <v>10532</v>
      </c>
      <c r="K72" s="144">
        <f t="shared" si="2"/>
        <v>45</v>
      </c>
      <c r="L72" s="150">
        <f t="shared" si="3"/>
        <v>1.0042910269857919</v>
      </c>
    </row>
    <row r="73" spans="1:14" s="101" customFormat="1" ht="13.5">
      <c r="A73" s="403" t="s">
        <v>77</v>
      </c>
      <c r="B73" s="404"/>
      <c r="C73" s="404"/>
      <c r="D73" s="125">
        <v>326</v>
      </c>
      <c r="E73" s="126">
        <v>289</v>
      </c>
      <c r="F73" s="144">
        <f t="shared" si="0"/>
        <v>-37</v>
      </c>
      <c r="G73" s="145">
        <f t="shared" si="4"/>
        <v>0.8865030674846626</v>
      </c>
      <c r="H73" s="127">
        <v>300</v>
      </c>
      <c r="I73" s="128"/>
      <c r="J73" s="124">
        <f t="shared" si="1"/>
        <v>300</v>
      </c>
      <c r="K73" s="144">
        <f t="shared" si="2"/>
        <v>11</v>
      </c>
      <c r="L73" s="150">
        <f t="shared" si="3"/>
        <v>1.0380622837370241</v>
      </c>
      <c r="N73" s="129"/>
    </row>
    <row r="74" spans="1:12" s="101" customFormat="1" ht="13.5">
      <c r="A74" s="403" t="s">
        <v>78</v>
      </c>
      <c r="B74" s="404"/>
      <c r="C74" s="404"/>
      <c r="D74" s="125">
        <v>3813</v>
      </c>
      <c r="E74" s="126">
        <v>3857</v>
      </c>
      <c r="F74" s="144">
        <f t="shared" si="0"/>
        <v>44</v>
      </c>
      <c r="G74" s="145">
        <f t="shared" si="4"/>
        <v>1.011539470233412</v>
      </c>
      <c r="H74" s="127">
        <v>4042</v>
      </c>
      <c r="I74" s="128"/>
      <c r="J74" s="124">
        <f t="shared" si="1"/>
        <v>4042</v>
      </c>
      <c r="K74" s="144">
        <f t="shared" si="2"/>
        <v>185</v>
      </c>
      <c r="L74" s="150">
        <f t="shared" si="3"/>
        <v>1.047964739434794</v>
      </c>
    </row>
    <row r="75" spans="1:15" s="101" customFormat="1" ht="13.5">
      <c r="A75" s="412" t="s">
        <v>79</v>
      </c>
      <c r="B75" s="413"/>
      <c r="C75" s="413"/>
      <c r="D75" s="125">
        <v>16</v>
      </c>
      <c r="E75" s="126">
        <v>2</v>
      </c>
      <c r="F75" s="144">
        <f t="shared" si="0"/>
        <v>-14</v>
      </c>
      <c r="G75" s="145">
        <f t="shared" si="4"/>
        <v>0.125</v>
      </c>
      <c r="H75" s="127">
        <v>5</v>
      </c>
      <c r="I75" s="128"/>
      <c r="J75" s="124">
        <f t="shared" si="1"/>
        <v>5</v>
      </c>
      <c r="K75" s="144">
        <f t="shared" si="2"/>
        <v>3</v>
      </c>
      <c r="L75" s="150">
        <f t="shared" si="3"/>
        <v>2.5</v>
      </c>
      <c r="N75" s="129"/>
      <c r="O75" s="139"/>
    </row>
    <row r="76" spans="1:12" s="101" customFormat="1" ht="13.5">
      <c r="A76" s="403" t="s">
        <v>80</v>
      </c>
      <c r="B76" s="404"/>
      <c r="C76" s="404"/>
      <c r="D76" s="125">
        <v>0</v>
      </c>
      <c r="E76" s="126">
        <v>0</v>
      </c>
      <c r="F76" s="144">
        <f aca="true" t="shared" si="5" ref="F76:F90">E76-D76</f>
        <v>0</v>
      </c>
      <c r="G76" s="145"/>
      <c r="H76" s="127">
        <v>0</v>
      </c>
      <c r="I76" s="128"/>
      <c r="J76" s="124">
        <f aca="true" t="shared" si="6" ref="J76:J92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412" t="s">
        <v>81</v>
      </c>
      <c r="B77" s="413"/>
      <c r="C77" s="413"/>
      <c r="D77" s="125">
        <v>103</v>
      </c>
      <c r="E77" s="126">
        <v>60</v>
      </c>
      <c r="F77" s="144">
        <f t="shared" si="5"/>
        <v>-43</v>
      </c>
      <c r="G77" s="145">
        <f aca="true" t="shared" si="8" ref="G77:G88">E77/D77</f>
        <v>0.5825242718446602</v>
      </c>
      <c r="H77" s="127">
        <v>60</v>
      </c>
      <c r="I77" s="128"/>
      <c r="J77" s="124">
        <f t="shared" si="6"/>
        <v>60</v>
      </c>
      <c r="K77" s="144">
        <f t="shared" si="7"/>
        <v>0</v>
      </c>
      <c r="L77" s="150">
        <f>J77/E77</f>
        <v>1</v>
      </c>
    </row>
    <row r="78" spans="1:12" s="101" customFormat="1" ht="13.5">
      <c r="A78" s="403" t="s">
        <v>82</v>
      </c>
      <c r="B78" s="404"/>
      <c r="C78" s="404"/>
      <c r="D78" s="138">
        <v>0</v>
      </c>
      <c r="E78" s="130">
        <v>0</v>
      </c>
      <c r="F78" s="144">
        <f t="shared" si="5"/>
        <v>0</v>
      </c>
      <c r="G78" s="145"/>
      <c r="H78" s="122">
        <v>0</v>
      </c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403" t="s">
        <v>83</v>
      </c>
      <c r="B79" s="404"/>
      <c r="C79" s="404"/>
      <c r="D79" s="125">
        <v>0</v>
      </c>
      <c r="E79" s="126">
        <v>0</v>
      </c>
      <c r="F79" s="144">
        <f t="shared" si="5"/>
        <v>0</v>
      </c>
      <c r="G79" s="145"/>
      <c r="H79" s="127">
        <v>0</v>
      </c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412" t="s">
        <v>84</v>
      </c>
      <c r="B80" s="413"/>
      <c r="C80" s="413"/>
      <c r="D80" s="125">
        <v>750</v>
      </c>
      <c r="E80" s="126">
        <v>498</v>
      </c>
      <c r="F80" s="144">
        <f t="shared" si="5"/>
        <v>-252</v>
      </c>
      <c r="G80" s="145">
        <f t="shared" si="8"/>
        <v>0.664</v>
      </c>
      <c r="H80" s="127">
        <v>627</v>
      </c>
      <c r="I80" s="128"/>
      <c r="J80" s="124">
        <f t="shared" si="6"/>
        <v>627</v>
      </c>
      <c r="K80" s="144">
        <f t="shared" si="7"/>
        <v>129</v>
      </c>
      <c r="L80" s="150">
        <f>J80/E80</f>
        <v>1.2590361445783131</v>
      </c>
    </row>
    <row r="81" spans="1:12" s="101" customFormat="1" ht="13.5">
      <c r="A81" s="403" t="s">
        <v>85</v>
      </c>
      <c r="B81" s="404"/>
      <c r="C81" s="404"/>
      <c r="D81" s="125">
        <v>384</v>
      </c>
      <c r="E81" s="126">
        <v>379</v>
      </c>
      <c r="F81" s="144">
        <f t="shared" si="5"/>
        <v>-5</v>
      </c>
      <c r="G81" s="145">
        <f t="shared" si="8"/>
        <v>0.9869791666666666</v>
      </c>
      <c r="H81" s="366">
        <v>377</v>
      </c>
      <c r="I81" s="128"/>
      <c r="J81" s="124">
        <f t="shared" si="6"/>
        <v>377</v>
      </c>
      <c r="K81" s="144">
        <f t="shared" si="7"/>
        <v>-2</v>
      </c>
      <c r="L81" s="150">
        <f>J81/E81</f>
        <v>0.9947229551451188</v>
      </c>
    </row>
    <row r="82" spans="1:12" s="101" customFormat="1" ht="13.5">
      <c r="A82" s="403" t="s">
        <v>86</v>
      </c>
      <c r="B82" s="404"/>
      <c r="C82" s="404"/>
      <c r="D82" s="125">
        <v>0</v>
      </c>
      <c r="E82" s="126">
        <v>0</v>
      </c>
      <c r="F82" s="144">
        <f t="shared" si="5"/>
        <v>0</v>
      </c>
      <c r="G82" s="145"/>
      <c r="H82" s="127">
        <v>0</v>
      </c>
      <c r="I82" s="128"/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403" t="s">
        <v>173</v>
      </c>
      <c r="B83" s="404"/>
      <c r="C83" s="404"/>
      <c r="D83" s="125">
        <v>0</v>
      </c>
      <c r="E83" s="126">
        <v>0</v>
      </c>
      <c r="F83" s="144">
        <f t="shared" si="5"/>
        <v>0</v>
      </c>
      <c r="G83" s="145"/>
      <c r="H83" s="127">
        <v>0</v>
      </c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403" t="s">
        <v>87</v>
      </c>
      <c r="B84" s="404"/>
      <c r="C84" s="404"/>
      <c r="D84" s="125">
        <v>366</v>
      </c>
      <c r="E84" s="126">
        <v>119</v>
      </c>
      <c r="F84" s="144">
        <f t="shared" si="5"/>
        <v>-247</v>
      </c>
      <c r="G84" s="145">
        <f t="shared" si="8"/>
        <v>0.3251366120218579</v>
      </c>
      <c r="H84" s="127">
        <v>250</v>
      </c>
      <c r="I84" s="128"/>
      <c r="J84" s="124">
        <f t="shared" si="6"/>
        <v>250</v>
      </c>
      <c r="K84" s="144">
        <f t="shared" si="7"/>
        <v>131</v>
      </c>
      <c r="L84" s="150">
        <f>J84/E84</f>
        <v>2.100840336134454</v>
      </c>
    </row>
    <row r="85" spans="1:12" s="101" customFormat="1" ht="13.5">
      <c r="A85" s="403" t="s">
        <v>174</v>
      </c>
      <c r="B85" s="404"/>
      <c r="C85" s="404"/>
      <c r="D85" s="125">
        <v>366</v>
      </c>
      <c r="E85" s="126">
        <v>119</v>
      </c>
      <c r="F85" s="144">
        <f t="shared" si="5"/>
        <v>-247</v>
      </c>
      <c r="G85" s="145">
        <f t="shared" si="8"/>
        <v>0.3251366120218579</v>
      </c>
      <c r="H85" s="127">
        <v>250</v>
      </c>
      <c r="I85" s="128"/>
      <c r="J85" s="124">
        <f t="shared" si="6"/>
        <v>250</v>
      </c>
      <c r="K85" s="144">
        <f t="shared" si="7"/>
        <v>131</v>
      </c>
      <c r="L85" s="150">
        <f>J85/E85</f>
        <v>2.100840336134454</v>
      </c>
    </row>
    <row r="86" spans="1:14" s="101" customFormat="1" ht="13.5">
      <c r="A86" s="403" t="s">
        <v>175</v>
      </c>
      <c r="B86" s="404"/>
      <c r="C86" s="404"/>
      <c r="D86" s="125">
        <v>0</v>
      </c>
      <c r="E86" s="126">
        <v>0</v>
      </c>
      <c r="F86" s="144">
        <f t="shared" si="5"/>
        <v>0</v>
      </c>
      <c r="G86" s="145"/>
      <c r="H86" s="127">
        <v>0</v>
      </c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412" t="s">
        <v>88</v>
      </c>
      <c r="B87" s="413"/>
      <c r="C87" s="413"/>
      <c r="D87" s="125">
        <v>28</v>
      </c>
      <c r="E87" s="126">
        <v>0</v>
      </c>
      <c r="F87" s="144">
        <f t="shared" si="5"/>
        <v>-28</v>
      </c>
      <c r="G87" s="145">
        <f t="shared" si="8"/>
        <v>0</v>
      </c>
      <c r="H87" s="127">
        <v>0</v>
      </c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403" t="s">
        <v>89</v>
      </c>
      <c r="B88" s="404"/>
      <c r="C88" s="404"/>
      <c r="D88" s="125">
        <v>28</v>
      </c>
      <c r="E88" s="126">
        <v>0</v>
      </c>
      <c r="F88" s="144">
        <f t="shared" si="5"/>
        <v>-28</v>
      </c>
      <c r="G88" s="145">
        <f t="shared" si="8"/>
        <v>0</v>
      </c>
      <c r="H88" s="127">
        <v>0</v>
      </c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412" t="s">
        <v>90</v>
      </c>
      <c r="B89" s="413"/>
      <c r="C89" s="413"/>
      <c r="D89" s="125">
        <v>0</v>
      </c>
      <c r="E89" s="126">
        <v>0</v>
      </c>
      <c r="F89" s="144">
        <f t="shared" si="5"/>
        <v>0</v>
      </c>
      <c r="G89" s="145"/>
      <c r="H89" s="127">
        <v>0</v>
      </c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403" t="s">
        <v>176</v>
      </c>
      <c r="B90" s="404"/>
      <c r="C90" s="404"/>
      <c r="D90" s="102">
        <v>0</v>
      </c>
      <c r="E90" s="140">
        <v>0</v>
      </c>
      <c r="F90" s="144">
        <f t="shared" si="5"/>
        <v>0</v>
      </c>
      <c r="G90" s="145"/>
      <c r="H90" s="127">
        <v>0</v>
      </c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422" t="s">
        <v>91</v>
      </c>
      <c r="B91" s="423"/>
      <c r="C91" s="424"/>
      <c r="D91" s="177">
        <v>21903</v>
      </c>
      <c r="E91" s="178">
        <v>21037</v>
      </c>
      <c r="F91" s="179"/>
      <c r="G91" s="179"/>
      <c r="H91" s="180">
        <v>22073</v>
      </c>
      <c r="I91" s="180"/>
      <c r="J91" s="181">
        <f t="shared" si="6"/>
        <v>22073</v>
      </c>
      <c r="K91" s="182"/>
      <c r="L91" s="183"/>
      <c r="M91" s="141"/>
      <c r="N91" s="142"/>
      <c r="O91" s="143"/>
    </row>
    <row r="92" spans="1:15" s="100" customFormat="1" ht="14.25" thickBot="1">
      <c r="A92" s="422" t="s">
        <v>177</v>
      </c>
      <c r="B92" s="423"/>
      <c r="C92" s="424"/>
      <c r="D92" s="184">
        <v>0</v>
      </c>
      <c r="E92" s="184">
        <v>0</v>
      </c>
      <c r="F92" s="185"/>
      <c r="G92" s="185"/>
      <c r="H92" s="184">
        <v>-1680</v>
      </c>
      <c r="I92" s="184"/>
      <c r="J92" s="186">
        <f t="shared" si="6"/>
        <v>-1680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4.25" customHeight="1">
      <c r="A94" s="416" t="s">
        <v>178</v>
      </c>
      <c r="B94" s="417"/>
      <c r="C94" s="420" t="s">
        <v>104</v>
      </c>
      <c r="D94" s="42"/>
      <c r="E94" s="416" t="s">
        <v>179</v>
      </c>
      <c r="F94" s="417"/>
      <c r="G94" s="417"/>
      <c r="H94" s="417"/>
      <c r="I94" s="420" t="s">
        <v>104</v>
      </c>
      <c r="J94" s="43"/>
      <c r="K94" s="43"/>
      <c r="L94" s="43"/>
      <c r="M94" s="43"/>
      <c r="N94" s="43"/>
    </row>
    <row r="95" spans="1:14" ht="13.5">
      <c r="A95" s="477"/>
      <c r="B95" s="478"/>
      <c r="C95" s="479"/>
      <c r="D95" s="42"/>
      <c r="E95" s="477"/>
      <c r="F95" s="478"/>
      <c r="G95" s="478"/>
      <c r="H95" s="478"/>
      <c r="I95" s="479"/>
      <c r="J95" s="43"/>
      <c r="K95" s="43"/>
      <c r="L95" s="43"/>
      <c r="M95" s="43"/>
      <c r="N95" s="43"/>
    </row>
    <row r="96" spans="1:14" ht="14.25" thickBot="1">
      <c r="A96" s="435" t="s">
        <v>136</v>
      </c>
      <c r="B96" s="436"/>
      <c r="C96" s="369">
        <v>127</v>
      </c>
      <c r="D96" s="35"/>
      <c r="E96" s="437" t="s">
        <v>192</v>
      </c>
      <c r="F96" s="438"/>
      <c r="G96" s="438"/>
      <c r="H96" s="438"/>
      <c r="I96" s="110">
        <v>120</v>
      </c>
      <c r="J96" s="43"/>
      <c r="K96" s="43"/>
      <c r="L96" s="43"/>
      <c r="M96" s="43"/>
      <c r="N96" s="38" t="s">
        <v>105</v>
      </c>
    </row>
    <row r="97" spans="1:14" ht="13.5">
      <c r="A97" s="435" t="s">
        <v>190</v>
      </c>
      <c r="B97" s="436"/>
      <c r="C97" s="109">
        <v>140</v>
      </c>
      <c r="D97" s="35"/>
      <c r="E97" s="437" t="s">
        <v>193</v>
      </c>
      <c r="F97" s="438"/>
      <c r="G97" s="438"/>
      <c r="H97" s="438"/>
      <c r="I97" s="111">
        <v>150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435" t="s">
        <v>191</v>
      </c>
      <c r="B98" s="436"/>
      <c r="C98" s="109">
        <v>350</v>
      </c>
      <c r="D98" s="35"/>
      <c r="E98" s="437" t="s">
        <v>194</v>
      </c>
      <c r="F98" s="438"/>
      <c r="G98" s="438"/>
      <c r="H98" s="438"/>
      <c r="I98" s="111">
        <v>100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435"/>
      <c r="B99" s="436"/>
      <c r="C99" s="109"/>
      <c r="D99" s="35"/>
      <c r="E99" s="437" t="s">
        <v>195</v>
      </c>
      <c r="F99" s="438"/>
      <c r="G99" s="438"/>
      <c r="H99" s="438"/>
      <c r="I99" s="111">
        <v>130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435"/>
      <c r="B100" s="436"/>
      <c r="C100" s="109"/>
      <c r="D100" s="35"/>
      <c r="E100" s="437" t="s">
        <v>196</v>
      </c>
      <c r="F100" s="438"/>
      <c r="G100" s="438"/>
      <c r="H100" s="438"/>
      <c r="I100" s="208">
        <v>200</v>
      </c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435"/>
      <c r="B101" s="436"/>
      <c r="C101" s="209"/>
      <c r="D101" s="35"/>
      <c r="E101" s="437" t="s">
        <v>197</v>
      </c>
      <c r="F101" s="438"/>
      <c r="G101" s="438"/>
      <c r="H101" s="438"/>
      <c r="I101" s="208">
        <v>200</v>
      </c>
      <c r="J101" s="43"/>
      <c r="K101" s="43"/>
      <c r="L101" s="43"/>
      <c r="M101" s="43"/>
      <c r="N101" s="43"/>
    </row>
    <row r="102" spans="1:14" ht="13.5">
      <c r="A102" s="435"/>
      <c r="B102" s="436"/>
      <c r="C102" s="107"/>
      <c r="D102" s="35"/>
      <c r="E102" s="437"/>
      <c r="F102" s="438"/>
      <c r="G102" s="438"/>
      <c r="H102" s="438"/>
      <c r="I102" s="211"/>
      <c r="J102" s="43"/>
      <c r="K102" s="43"/>
      <c r="L102" s="43"/>
      <c r="M102" s="43"/>
      <c r="N102" s="43"/>
    </row>
    <row r="103" spans="1:14" ht="13.5">
      <c r="A103" s="435"/>
      <c r="B103" s="436"/>
      <c r="C103" s="103"/>
      <c r="D103" s="35"/>
      <c r="E103" s="437"/>
      <c r="F103" s="438"/>
      <c r="G103" s="438"/>
      <c r="H103" s="438"/>
      <c r="I103" s="97"/>
      <c r="J103" s="43"/>
      <c r="K103" s="43"/>
      <c r="L103" s="43"/>
      <c r="M103" s="43"/>
      <c r="N103" s="43"/>
    </row>
    <row r="104" spans="1:14" ht="14.25" thickBot="1">
      <c r="A104" s="480" t="s">
        <v>97</v>
      </c>
      <c r="B104" s="481"/>
      <c r="C104" s="210">
        <f>SUM(C96:C102)</f>
        <v>617</v>
      </c>
      <c r="D104" s="59"/>
      <c r="E104" s="482" t="s">
        <v>97</v>
      </c>
      <c r="F104" s="483"/>
      <c r="G104" s="483"/>
      <c r="H104" s="483"/>
      <c r="I104" s="210">
        <f>SUM(I96:I103)</f>
        <v>900</v>
      </c>
      <c r="J104" s="43"/>
      <c r="K104" s="43"/>
      <c r="L104" s="43"/>
      <c r="M104" s="43"/>
      <c r="N104" s="61"/>
    </row>
    <row r="105" spans="1:5" s="34" customFormat="1" ht="13.5" customHeight="1">
      <c r="A105" s="59"/>
      <c r="B105" s="62"/>
      <c r="C105" s="62"/>
      <c r="D105" s="62"/>
      <c r="E105" s="62"/>
    </row>
    <row r="106" spans="1:12" s="34" customFormat="1" ht="14.25" thickBot="1">
      <c r="A106" s="63" t="s">
        <v>181</v>
      </c>
      <c r="B106" s="36"/>
      <c r="C106" s="36"/>
      <c r="D106" s="36"/>
      <c r="E106" s="39"/>
      <c r="F106" s="41"/>
      <c r="G106" s="41"/>
      <c r="H106" s="35"/>
      <c r="I106" s="36"/>
      <c r="J106" s="36" t="s">
        <v>110</v>
      </c>
      <c r="K106" s="36"/>
      <c r="L106" s="39"/>
    </row>
    <row r="107" spans="1:11" s="34" customFormat="1" ht="13.5">
      <c r="A107" s="449" t="s">
        <v>111</v>
      </c>
      <c r="B107" s="452" t="s">
        <v>248</v>
      </c>
      <c r="C107" s="459" t="s">
        <v>182</v>
      </c>
      <c r="D107" s="460"/>
      <c r="E107" s="460"/>
      <c r="F107" s="460"/>
      <c r="G107" s="460"/>
      <c r="H107" s="460"/>
      <c r="I107" s="460"/>
      <c r="J107" s="461"/>
      <c r="K107" s="455" t="s">
        <v>183</v>
      </c>
    </row>
    <row r="108" spans="1:11" s="34" customFormat="1" ht="13.5">
      <c r="A108" s="450"/>
      <c r="B108" s="453"/>
      <c r="C108" s="458" t="s">
        <v>112</v>
      </c>
      <c r="D108" s="462" t="s">
        <v>113</v>
      </c>
      <c r="E108" s="462"/>
      <c r="F108" s="462"/>
      <c r="G108" s="462"/>
      <c r="H108" s="462"/>
      <c r="I108" s="462"/>
      <c r="J108" s="463"/>
      <c r="K108" s="456"/>
    </row>
    <row r="109" spans="1:12" s="34" customFormat="1" ht="14.25" thickBot="1">
      <c r="A109" s="451"/>
      <c r="B109" s="454"/>
      <c r="C109" s="458"/>
      <c r="D109" s="164">
        <v>1</v>
      </c>
      <c r="E109" s="164">
        <v>2</v>
      </c>
      <c r="F109" s="164">
        <v>3</v>
      </c>
      <c r="G109" s="164">
        <v>4</v>
      </c>
      <c r="H109" s="164">
        <v>5</v>
      </c>
      <c r="I109" s="164">
        <v>6</v>
      </c>
      <c r="J109" s="165">
        <v>7</v>
      </c>
      <c r="K109" s="457"/>
      <c r="L109" s="71"/>
    </row>
    <row r="110" spans="1:11" s="34" customFormat="1" ht="14.25" thickBot="1">
      <c r="A110" s="64">
        <v>17760</v>
      </c>
      <c r="B110" s="65">
        <v>6243</v>
      </c>
      <c r="C110" s="364">
        <f>SUM(D110:J110)</f>
        <v>377</v>
      </c>
      <c r="D110" s="167">
        <v>131</v>
      </c>
      <c r="E110" s="167">
        <v>114</v>
      </c>
      <c r="F110" s="167">
        <v>0</v>
      </c>
      <c r="G110" s="167">
        <v>0</v>
      </c>
      <c r="H110" s="167">
        <v>6</v>
      </c>
      <c r="I110" s="168">
        <v>7</v>
      </c>
      <c r="J110" s="169">
        <v>119</v>
      </c>
      <c r="K110" s="163">
        <v>11160</v>
      </c>
    </row>
    <row r="111" spans="1:5" s="34" customFormat="1" ht="13.5">
      <c r="A111" s="59"/>
      <c r="B111" s="62"/>
      <c r="C111" s="62"/>
      <c r="D111" s="62"/>
      <c r="E111" s="62"/>
    </row>
    <row r="112" spans="1:8" s="34" customFormat="1" ht="14.25" thickBot="1">
      <c r="A112" s="63" t="s">
        <v>184</v>
      </c>
      <c r="C112" s="36"/>
      <c r="D112" s="36"/>
      <c r="E112" s="36"/>
      <c r="F112" s="36" t="s">
        <v>110</v>
      </c>
      <c r="G112" s="41"/>
      <c r="H112" s="35"/>
    </row>
    <row r="113" spans="1:6" s="34" customFormat="1" ht="15" customHeight="1" thickBot="1">
      <c r="A113" s="467" t="s">
        <v>114</v>
      </c>
      <c r="B113" s="469" t="s">
        <v>188</v>
      </c>
      <c r="C113" s="188" t="s">
        <v>185</v>
      </c>
      <c r="D113" s="189"/>
      <c r="E113" s="189"/>
      <c r="F113" s="190"/>
    </row>
    <row r="114" spans="1:6" s="34" customFormat="1" ht="27.75" thickBot="1">
      <c r="A114" s="468"/>
      <c r="B114" s="469"/>
      <c r="C114" s="67" t="s">
        <v>186</v>
      </c>
      <c r="D114" s="66" t="s">
        <v>115</v>
      </c>
      <c r="E114" s="67" t="s">
        <v>116</v>
      </c>
      <c r="F114" s="191" t="s">
        <v>187</v>
      </c>
    </row>
    <row r="115" spans="1:6" s="34" customFormat="1" ht="13.5">
      <c r="A115" s="192" t="s">
        <v>117</v>
      </c>
      <c r="B115" s="89">
        <v>2039.53</v>
      </c>
      <c r="C115" s="68" t="s">
        <v>118</v>
      </c>
      <c r="D115" s="69" t="s">
        <v>118</v>
      </c>
      <c r="E115" s="69" t="s">
        <v>118</v>
      </c>
      <c r="F115" s="193" t="s">
        <v>118</v>
      </c>
    </row>
    <row r="116" spans="1:13" s="34" customFormat="1" ht="13.5">
      <c r="A116" s="194" t="s">
        <v>119</v>
      </c>
      <c r="B116" s="70">
        <v>36</v>
      </c>
      <c r="C116" s="197">
        <v>36</v>
      </c>
      <c r="D116" s="51">
        <v>0</v>
      </c>
      <c r="E116" s="51">
        <v>0</v>
      </c>
      <c r="F116" s="198">
        <f>C116-E116</f>
        <v>36</v>
      </c>
      <c r="M116" s="71"/>
    </row>
    <row r="117" spans="1:13" s="34" customFormat="1" ht="13.5">
      <c r="A117" s="194" t="s">
        <v>120</v>
      </c>
      <c r="B117" s="70">
        <v>328</v>
      </c>
      <c r="C117" s="197">
        <v>328</v>
      </c>
      <c r="D117" s="51">
        <v>0</v>
      </c>
      <c r="E117" s="51">
        <v>0</v>
      </c>
      <c r="F117" s="198">
        <f>C117+D117-E117</f>
        <v>328</v>
      </c>
      <c r="M117" s="71"/>
    </row>
    <row r="118" spans="1:13" s="34" customFormat="1" ht="13.5">
      <c r="A118" s="194" t="s">
        <v>121</v>
      </c>
      <c r="B118" s="70">
        <v>555</v>
      </c>
      <c r="C118" s="72">
        <v>555</v>
      </c>
      <c r="D118" s="206">
        <v>377</v>
      </c>
      <c r="E118" s="206">
        <v>617</v>
      </c>
      <c r="F118" s="198">
        <f>C118+D118-E118</f>
        <v>315</v>
      </c>
      <c r="M118" s="71"/>
    </row>
    <row r="119" spans="1:13" s="34" customFormat="1" ht="13.5">
      <c r="A119" s="194" t="s">
        <v>122</v>
      </c>
      <c r="B119" s="70">
        <f>B115-B116-B117-B118</f>
        <v>1120.53</v>
      </c>
      <c r="C119" s="74" t="s">
        <v>118</v>
      </c>
      <c r="D119" s="75" t="s">
        <v>118</v>
      </c>
      <c r="E119" s="76" t="s">
        <v>118</v>
      </c>
      <c r="F119" s="195" t="s">
        <v>118</v>
      </c>
      <c r="M119" s="71"/>
    </row>
    <row r="120" spans="1:13" s="34" customFormat="1" ht="14.25" thickBot="1">
      <c r="A120" s="196" t="s">
        <v>123</v>
      </c>
      <c r="B120" s="77">
        <v>43</v>
      </c>
      <c r="C120" s="199">
        <v>53</v>
      </c>
      <c r="D120" s="200">
        <v>110</v>
      </c>
      <c r="E120" s="207">
        <v>150</v>
      </c>
      <c r="F120" s="201">
        <f>C120+D120-E120</f>
        <v>13</v>
      </c>
      <c r="M120" s="71"/>
    </row>
    <row r="121" spans="1:15" s="34" customFormat="1" ht="13.5">
      <c r="A121" s="35"/>
      <c r="B121" s="36"/>
      <c r="C121" s="36"/>
      <c r="D121" s="37"/>
      <c r="E121" s="38"/>
      <c r="F121" s="36"/>
      <c r="G121" s="36"/>
      <c r="H121" s="39"/>
      <c r="I121" s="40"/>
      <c r="J121" s="41"/>
      <c r="K121" s="35"/>
      <c r="L121" s="36"/>
      <c r="M121" s="36"/>
      <c r="N121" s="36"/>
      <c r="O121" s="39"/>
    </row>
    <row r="122" spans="1:11" ht="13.5">
      <c r="A122" s="63"/>
      <c r="K122" s="36"/>
    </row>
    <row r="123" spans="1:11" ht="14.25" thickBot="1">
      <c r="A123" s="63" t="s">
        <v>189</v>
      </c>
      <c r="K123" s="36" t="s">
        <v>110</v>
      </c>
    </row>
    <row r="124" spans="1:11" ht="13.5">
      <c r="A124" s="464" t="s">
        <v>124</v>
      </c>
      <c r="B124" s="465"/>
      <c r="C124" s="466"/>
      <c r="D124" s="78"/>
      <c r="E124" s="464" t="s">
        <v>125</v>
      </c>
      <c r="F124" s="465"/>
      <c r="G124" s="466"/>
      <c r="I124" s="464" t="s">
        <v>126</v>
      </c>
      <c r="J124" s="465"/>
      <c r="K124" s="466"/>
    </row>
    <row r="125" spans="1:11" ht="14.25" thickBot="1">
      <c r="A125" s="79" t="s">
        <v>127</v>
      </c>
      <c r="B125" s="80" t="s">
        <v>128</v>
      </c>
      <c r="C125" s="81" t="s">
        <v>129</v>
      </c>
      <c r="D125" s="78"/>
      <c r="E125" s="82"/>
      <c r="F125" s="470" t="s">
        <v>130</v>
      </c>
      <c r="G125" s="471"/>
      <c r="I125" s="79"/>
      <c r="J125" s="80" t="s">
        <v>131</v>
      </c>
      <c r="K125" s="81" t="s">
        <v>129</v>
      </c>
    </row>
    <row r="126" spans="1:11" ht="13.5">
      <c r="A126" s="83">
        <v>2012</v>
      </c>
      <c r="B126" s="84">
        <v>44</v>
      </c>
      <c r="C126" s="85">
        <v>43</v>
      </c>
      <c r="D126" s="37"/>
      <c r="E126" s="83">
        <v>2012</v>
      </c>
      <c r="F126" s="472">
        <v>80</v>
      </c>
      <c r="G126" s="473"/>
      <c r="I126" s="83">
        <v>2012</v>
      </c>
      <c r="J126" s="84">
        <v>10487</v>
      </c>
      <c r="K126" s="85">
        <v>10487</v>
      </c>
    </row>
    <row r="127" spans="1:11" ht="14.25" thickBot="1">
      <c r="A127" s="86">
        <v>2013</v>
      </c>
      <c r="B127" s="87">
        <v>44</v>
      </c>
      <c r="C127" s="88" t="s">
        <v>92</v>
      </c>
      <c r="D127" s="37"/>
      <c r="E127" s="86">
        <v>2013</v>
      </c>
      <c r="F127" s="388">
        <v>80</v>
      </c>
      <c r="G127" s="389"/>
      <c r="I127" s="86">
        <v>2013</v>
      </c>
      <c r="J127" s="87">
        <v>10532</v>
      </c>
      <c r="K127" s="88" t="s">
        <v>92</v>
      </c>
    </row>
    <row r="128" ht="13.5">
      <c r="D128" s="37"/>
    </row>
  </sheetData>
  <sheetProtection selectLockedCells="1" selectUnlockedCells="1"/>
  <mergeCells count="129">
    <mergeCell ref="E100:H100"/>
    <mergeCell ref="A103:B103"/>
    <mergeCell ref="E103:H103"/>
    <mergeCell ref="A104:B104"/>
    <mergeCell ref="E104:H104"/>
    <mergeCell ref="A91:C91"/>
    <mergeCell ref="A92:C92"/>
    <mergeCell ref="A94:B95"/>
    <mergeCell ref="A96:B96"/>
    <mergeCell ref="E96:H96"/>
    <mergeCell ref="A97:B97"/>
    <mergeCell ref="E97:H97"/>
    <mergeCell ref="C94:C95"/>
    <mergeCell ref="E94:H95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  <mergeCell ref="I94:I95"/>
    <mergeCell ref="A101:B101"/>
    <mergeCell ref="E101:H101"/>
    <mergeCell ref="A102:B102"/>
    <mergeCell ref="E102:H102"/>
    <mergeCell ref="A98:B98"/>
    <mergeCell ref="E98:H98"/>
    <mergeCell ref="A99:B99"/>
    <mergeCell ref="E99:H99"/>
    <mergeCell ref="A100:B100"/>
    <mergeCell ref="I124:K124"/>
    <mergeCell ref="F125:G125"/>
    <mergeCell ref="A107:A109"/>
    <mergeCell ref="B107:B109"/>
    <mergeCell ref="C107:J107"/>
    <mergeCell ref="K107:K109"/>
    <mergeCell ref="C108:C109"/>
    <mergeCell ref="D108:J108"/>
    <mergeCell ref="F126:G126"/>
    <mergeCell ref="F127:G127"/>
    <mergeCell ref="A113:A114"/>
    <mergeCell ref="B113:B114"/>
    <mergeCell ref="A124:C124"/>
    <mergeCell ref="E124:G12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3" r:id="rId1"/>
  <headerFooter alignWithMargins="0">
    <oddFooter>&amp;C&amp;"Arial CE,Běžné"&amp;P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T128"/>
  <sheetViews>
    <sheetView view="pageBreakPreview" zoomScale="70" zoomScaleSheetLayoutView="70" zoomScalePageLayoutView="0" workbookViewId="0" topLeftCell="A1">
      <selection activeCell="H19" sqref="H19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6" width="13.00390625" style="1" customWidth="1"/>
    <col min="7" max="7" width="12.00390625" style="1" customWidth="1"/>
    <col min="8" max="8" width="20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 thickBot="1">
      <c r="A4" s="391" t="s">
        <v>156</v>
      </c>
      <c r="B4" s="391"/>
      <c r="C4" s="391"/>
      <c r="D4" s="392" t="s">
        <v>157</v>
      </c>
      <c r="E4" s="393">
        <v>2012</v>
      </c>
      <c r="F4" s="394" t="s">
        <v>96</v>
      </c>
      <c r="G4" s="395"/>
      <c r="H4" s="396" t="s">
        <v>158</v>
      </c>
      <c r="I4" s="397"/>
      <c r="J4" s="398"/>
      <c r="K4" s="396" t="s">
        <v>159</v>
      </c>
      <c r="L4" s="398"/>
      <c r="M4" s="112"/>
      <c r="N4" s="112"/>
      <c r="O4" s="112"/>
    </row>
    <row r="5" spans="1:15" s="101" customFormat="1" ht="13.5" customHeight="1" thickBot="1">
      <c r="A5" s="391"/>
      <c r="B5" s="391"/>
      <c r="C5" s="391"/>
      <c r="D5" s="392"/>
      <c r="E5" s="393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391"/>
      <c r="B6" s="391"/>
      <c r="C6" s="391"/>
      <c r="D6" s="392"/>
      <c r="E6" s="393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399" t="s">
        <v>24</v>
      </c>
      <c r="B7" s="400"/>
      <c r="C7" s="400"/>
      <c r="D7" s="121">
        <v>12852</v>
      </c>
      <c r="E7" s="121">
        <v>13114</v>
      </c>
      <c r="F7" s="154">
        <f>E7-D7</f>
        <v>262</v>
      </c>
      <c r="G7" s="145">
        <f>E7/D7</f>
        <v>1.020385932150638</v>
      </c>
      <c r="H7" s="122">
        <f>H9+H8</f>
        <v>13109</v>
      </c>
      <c r="I7" s="123"/>
      <c r="J7" s="156">
        <f>H7+I7</f>
        <v>13109</v>
      </c>
      <c r="K7" s="144">
        <f>J7-E7</f>
        <v>-5</v>
      </c>
      <c r="L7" s="150">
        <f>J7/E7</f>
        <v>0.9996187280768645</v>
      </c>
    </row>
    <row r="8" spans="1:12" s="101" customFormat="1" ht="13.5">
      <c r="A8" s="401" t="s">
        <v>25</v>
      </c>
      <c r="B8" s="402"/>
      <c r="C8" s="402"/>
      <c r="D8" s="125">
        <v>45</v>
      </c>
      <c r="E8" s="125">
        <v>47</v>
      </c>
      <c r="F8" s="154">
        <f aca="true" t="shared" si="0" ref="F8:F75">E8-D8</f>
        <v>2</v>
      </c>
      <c r="G8" s="145">
        <f aca="true" t="shared" si="1" ref="G8:G75">E8/D8</f>
        <v>1.0444444444444445</v>
      </c>
      <c r="H8" s="127">
        <v>50</v>
      </c>
      <c r="I8" s="128"/>
      <c r="J8" s="156">
        <f aca="true" t="shared" si="2" ref="J8:J75">H8+I8</f>
        <v>50</v>
      </c>
      <c r="K8" s="144">
        <f aca="true" t="shared" si="3" ref="K8:K75">J8-E8</f>
        <v>3</v>
      </c>
      <c r="L8" s="150">
        <f aca="true" t="shared" si="4" ref="L8:L75">J8/E8</f>
        <v>1.0638297872340425</v>
      </c>
    </row>
    <row r="9" spans="1:12" s="101" customFormat="1" ht="13.5">
      <c r="A9" s="401" t="s">
        <v>26</v>
      </c>
      <c r="B9" s="402"/>
      <c r="C9" s="402"/>
      <c r="D9" s="125">
        <v>12747</v>
      </c>
      <c r="E9" s="125">
        <v>13008</v>
      </c>
      <c r="F9" s="154">
        <f t="shared" si="0"/>
        <v>261</v>
      </c>
      <c r="G9" s="145">
        <f t="shared" si="1"/>
        <v>1.0204754059778771</v>
      </c>
      <c r="H9" s="127">
        <f>H10+H11+H12+H13+H14+H15</f>
        <v>13059</v>
      </c>
      <c r="I9" s="128"/>
      <c r="J9" s="156">
        <f t="shared" si="2"/>
        <v>13059</v>
      </c>
      <c r="K9" s="144">
        <f t="shared" si="3"/>
        <v>51</v>
      </c>
      <c r="L9" s="150">
        <f t="shared" si="4"/>
        <v>1.003920664206642</v>
      </c>
    </row>
    <row r="10" spans="1:12" s="101" customFormat="1" ht="13.5">
      <c r="A10" s="403" t="s">
        <v>27</v>
      </c>
      <c r="B10" s="404"/>
      <c r="C10" s="404"/>
      <c r="D10" s="125">
        <v>6171</v>
      </c>
      <c r="E10" s="125">
        <v>6281</v>
      </c>
      <c r="F10" s="154">
        <f t="shared" si="0"/>
        <v>110</v>
      </c>
      <c r="G10" s="145">
        <f t="shared" si="1"/>
        <v>1.017825311942959</v>
      </c>
      <c r="H10" s="127">
        <f>6380+50</f>
        <v>6430</v>
      </c>
      <c r="I10" s="128"/>
      <c r="J10" s="156">
        <f t="shared" si="2"/>
        <v>6430</v>
      </c>
      <c r="K10" s="144">
        <f t="shared" si="3"/>
        <v>149</v>
      </c>
      <c r="L10" s="150">
        <f t="shared" si="4"/>
        <v>1.023722337207451</v>
      </c>
    </row>
    <row r="11" spans="1:12" s="101" customFormat="1" ht="13.5">
      <c r="A11" s="403" t="s">
        <v>28</v>
      </c>
      <c r="B11" s="404"/>
      <c r="C11" s="404"/>
      <c r="D11" s="125">
        <v>4855</v>
      </c>
      <c r="E11" s="125">
        <v>4828</v>
      </c>
      <c r="F11" s="154">
        <f t="shared" si="0"/>
        <v>-27</v>
      </c>
      <c r="G11" s="145">
        <f t="shared" si="1"/>
        <v>0.9944387229660144</v>
      </c>
      <c r="H11" s="127">
        <f>4784+80</f>
        <v>4864</v>
      </c>
      <c r="I11" s="128"/>
      <c r="J11" s="156">
        <f t="shared" si="2"/>
        <v>4864</v>
      </c>
      <c r="K11" s="144">
        <f t="shared" si="3"/>
        <v>36</v>
      </c>
      <c r="L11" s="150">
        <f t="shared" si="4"/>
        <v>1.007456503728252</v>
      </c>
    </row>
    <row r="12" spans="1:12" s="101" customFormat="1" ht="13.5">
      <c r="A12" s="403" t="s">
        <v>29</v>
      </c>
      <c r="B12" s="404"/>
      <c r="C12" s="404"/>
      <c r="D12" s="125">
        <v>178</v>
      </c>
      <c r="E12" s="125">
        <v>211</v>
      </c>
      <c r="F12" s="154">
        <f t="shared" si="0"/>
        <v>33</v>
      </c>
      <c r="G12" s="145">
        <f t="shared" si="1"/>
        <v>1.1853932584269662</v>
      </c>
      <c r="H12" s="127">
        <v>155</v>
      </c>
      <c r="I12" s="128"/>
      <c r="J12" s="156">
        <f t="shared" si="2"/>
        <v>155</v>
      </c>
      <c r="K12" s="144">
        <f t="shared" si="3"/>
        <v>-56</v>
      </c>
      <c r="L12" s="150">
        <f t="shared" si="4"/>
        <v>0.7345971563981043</v>
      </c>
    </row>
    <row r="13" spans="1:12" s="101" customFormat="1" ht="13.5">
      <c r="A13" s="403" t="s">
        <v>30</v>
      </c>
      <c r="B13" s="404"/>
      <c r="C13" s="404"/>
      <c r="D13" s="125">
        <v>1200</v>
      </c>
      <c r="E13" s="125">
        <v>1251</v>
      </c>
      <c r="F13" s="154">
        <f t="shared" si="0"/>
        <v>51</v>
      </c>
      <c r="G13" s="145">
        <f t="shared" si="1"/>
        <v>1.0425</v>
      </c>
      <c r="H13" s="127">
        <v>1200</v>
      </c>
      <c r="I13" s="128"/>
      <c r="J13" s="156">
        <f t="shared" si="2"/>
        <v>1200</v>
      </c>
      <c r="K13" s="144">
        <f t="shared" si="3"/>
        <v>-51</v>
      </c>
      <c r="L13" s="150">
        <f t="shared" si="4"/>
        <v>0.9592326139088729</v>
      </c>
    </row>
    <row r="14" spans="1:12" s="101" customFormat="1" ht="13.5">
      <c r="A14" s="403" t="s">
        <v>31</v>
      </c>
      <c r="B14" s="404"/>
      <c r="C14" s="404"/>
      <c r="D14" s="125">
        <v>308</v>
      </c>
      <c r="E14" s="125">
        <v>404</v>
      </c>
      <c r="F14" s="154">
        <f t="shared" si="0"/>
        <v>96</v>
      </c>
      <c r="G14" s="145">
        <f t="shared" si="1"/>
        <v>1.3116883116883118</v>
      </c>
      <c r="H14" s="127">
        <v>400</v>
      </c>
      <c r="I14" s="128"/>
      <c r="J14" s="156">
        <f t="shared" si="2"/>
        <v>400</v>
      </c>
      <c r="K14" s="144">
        <f t="shared" si="3"/>
        <v>-4</v>
      </c>
      <c r="L14" s="150">
        <f t="shared" si="4"/>
        <v>0.9900990099009901</v>
      </c>
    </row>
    <row r="15" spans="1:14" s="101" customFormat="1" ht="13.5">
      <c r="A15" s="403" t="s">
        <v>32</v>
      </c>
      <c r="B15" s="404"/>
      <c r="C15" s="404"/>
      <c r="D15" s="125">
        <v>35</v>
      </c>
      <c r="E15" s="125">
        <v>33</v>
      </c>
      <c r="F15" s="154">
        <f t="shared" si="0"/>
        <v>-2</v>
      </c>
      <c r="G15" s="145">
        <f t="shared" si="1"/>
        <v>0.9428571428571428</v>
      </c>
      <c r="H15" s="127">
        <v>10</v>
      </c>
      <c r="I15" s="128"/>
      <c r="J15" s="156">
        <f t="shared" si="2"/>
        <v>10</v>
      </c>
      <c r="K15" s="144">
        <f t="shared" si="3"/>
        <v>-23</v>
      </c>
      <c r="L15" s="150">
        <f t="shared" si="4"/>
        <v>0.30303030303030304</v>
      </c>
      <c r="N15" s="129"/>
    </row>
    <row r="16" spans="1:12" s="101" customFormat="1" ht="13.5">
      <c r="A16" s="401" t="s">
        <v>33</v>
      </c>
      <c r="B16" s="402"/>
      <c r="C16" s="402"/>
      <c r="D16" s="125">
        <v>60</v>
      </c>
      <c r="E16" s="125">
        <v>59</v>
      </c>
      <c r="F16" s="154">
        <f t="shared" si="0"/>
        <v>-1</v>
      </c>
      <c r="G16" s="145">
        <f t="shared" si="1"/>
        <v>0.9833333333333333</v>
      </c>
      <c r="H16" s="127">
        <v>30</v>
      </c>
      <c r="I16" s="128"/>
      <c r="J16" s="156">
        <f t="shared" si="2"/>
        <v>30</v>
      </c>
      <c r="K16" s="144">
        <f t="shared" si="3"/>
        <v>-29</v>
      </c>
      <c r="L16" s="150">
        <f t="shared" si="4"/>
        <v>0.5084745762711864</v>
      </c>
    </row>
    <row r="17" spans="1:12" s="101" customFormat="1" ht="13.5">
      <c r="A17" s="401" t="s">
        <v>34</v>
      </c>
      <c r="B17" s="402"/>
      <c r="C17" s="402"/>
      <c r="D17" s="125"/>
      <c r="E17" s="125"/>
      <c r="F17" s="154">
        <f t="shared" si="0"/>
        <v>0</v>
      </c>
      <c r="G17" s="145"/>
      <c r="H17" s="127"/>
      <c r="I17" s="128"/>
      <c r="J17" s="156">
        <f t="shared" si="2"/>
        <v>0</v>
      </c>
      <c r="K17" s="144">
        <f t="shared" si="3"/>
        <v>0</v>
      </c>
      <c r="L17" s="150"/>
    </row>
    <row r="18" spans="1:12" s="101" customFormat="1" ht="13.5">
      <c r="A18" s="405" t="s">
        <v>35</v>
      </c>
      <c r="B18" s="406"/>
      <c r="C18" s="406"/>
      <c r="D18" s="125">
        <v>91</v>
      </c>
      <c r="E18" s="125">
        <v>47</v>
      </c>
      <c r="F18" s="154">
        <f t="shared" si="0"/>
        <v>-44</v>
      </c>
      <c r="G18" s="145">
        <f t="shared" si="1"/>
        <v>0.5164835164835165</v>
      </c>
      <c r="H18" s="127">
        <v>484</v>
      </c>
      <c r="I18" s="128"/>
      <c r="J18" s="156">
        <f t="shared" si="2"/>
        <v>484</v>
      </c>
      <c r="K18" s="144">
        <f t="shared" si="3"/>
        <v>437</v>
      </c>
      <c r="L18" s="150">
        <f t="shared" si="4"/>
        <v>10.297872340425531</v>
      </c>
    </row>
    <row r="19" spans="1:12" s="101" customFormat="1" ht="13.5">
      <c r="A19" s="401" t="s">
        <v>36</v>
      </c>
      <c r="B19" s="402"/>
      <c r="C19" s="402"/>
      <c r="D19" s="125"/>
      <c r="E19" s="125"/>
      <c r="F19" s="154">
        <f t="shared" si="0"/>
        <v>0</v>
      </c>
      <c r="G19" s="145"/>
      <c r="H19" s="127"/>
      <c r="I19" s="128"/>
      <c r="J19" s="156">
        <f t="shared" si="2"/>
        <v>0</v>
      </c>
      <c r="K19" s="144">
        <f t="shared" si="3"/>
        <v>0</v>
      </c>
      <c r="L19" s="150"/>
    </row>
    <row r="20" spans="1:20" s="101" customFormat="1" ht="13.5">
      <c r="A20" s="401" t="s">
        <v>37</v>
      </c>
      <c r="B20" s="402"/>
      <c r="C20" s="402"/>
      <c r="D20" s="125"/>
      <c r="E20" s="138"/>
      <c r="F20" s="154">
        <f t="shared" si="0"/>
        <v>0</v>
      </c>
      <c r="G20" s="145"/>
      <c r="H20" s="122"/>
      <c r="I20" s="123"/>
      <c r="J20" s="156">
        <f t="shared" si="2"/>
        <v>0</v>
      </c>
      <c r="K20" s="144">
        <f t="shared" si="3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407" t="s">
        <v>38</v>
      </c>
      <c r="B21" s="408"/>
      <c r="C21" s="408"/>
      <c r="D21" s="125">
        <v>50</v>
      </c>
      <c r="E21" s="125"/>
      <c r="F21" s="154">
        <f t="shared" si="0"/>
        <v>-50</v>
      </c>
      <c r="G21" s="145">
        <f t="shared" si="1"/>
        <v>0</v>
      </c>
      <c r="H21" s="127">
        <f>H22+H23</f>
        <v>484</v>
      </c>
      <c r="I21" s="128"/>
      <c r="J21" s="156">
        <f t="shared" si="2"/>
        <v>484</v>
      </c>
      <c r="K21" s="144">
        <f t="shared" si="3"/>
        <v>484</v>
      </c>
      <c r="L21" s="150"/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407" t="s">
        <v>160</v>
      </c>
      <c r="B22" s="409"/>
      <c r="C22" s="409"/>
      <c r="D22" s="125"/>
      <c r="E22" s="125"/>
      <c r="F22" s="154">
        <f t="shared" si="0"/>
        <v>0</v>
      </c>
      <c r="G22" s="145"/>
      <c r="H22" s="127">
        <v>114</v>
      </c>
      <c r="I22" s="128"/>
      <c r="J22" s="156">
        <f t="shared" si="2"/>
        <v>114</v>
      </c>
      <c r="K22" s="144">
        <f t="shared" si="3"/>
        <v>114</v>
      </c>
      <c r="L22" s="150"/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407" t="s">
        <v>161</v>
      </c>
      <c r="B23" s="409"/>
      <c r="C23" s="409"/>
      <c r="D23" s="125">
        <v>50</v>
      </c>
      <c r="E23" s="125"/>
      <c r="F23" s="154">
        <f t="shared" si="0"/>
        <v>-50</v>
      </c>
      <c r="G23" s="145">
        <f t="shared" si="1"/>
        <v>0</v>
      </c>
      <c r="H23" s="127">
        <v>370</v>
      </c>
      <c r="I23" s="128"/>
      <c r="J23" s="156">
        <f t="shared" si="2"/>
        <v>370</v>
      </c>
      <c r="K23" s="144">
        <f t="shared" si="3"/>
        <v>370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407" t="s">
        <v>162</v>
      </c>
      <c r="B24" s="409"/>
      <c r="C24" s="409"/>
      <c r="D24" s="125"/>
      <c r="E24" s="125"/>
      <c r="F24" s="154">
        <f t="shared" si="0"/>
        <v>0</v>
      </c>
      <c r="G24" s="145"/>
      <c r="H24" s="127"/>
      <c r="I24" s="128"/>
      <c r="J24" s="156">
        <f t="shared" si="2"/>
        <v>0</v>
      </c>
      <c r="K24" s="144">
        <f t="shared" si="3"/>
        <v>0</v>
      </c>
      <c r="L24" s="150"/>
    </row>
    <row r="25" spans="1:12" s="101" customFormat="1" ht="13.5">
      <c r="A25" s="407" t="s">
        <v>163</v>
      </c>
      <c r="B25" s="409"/>
      <c r="C25" s="409"/>
      <c r="D25" s="125"/>
      <c r="E25" s="125"/>
      <c r="F25" s="154">
        <f t="shared" si="0"/>
        <v>0</v>
      </c>
      <c r="G25" s="145"/>
      <c r="H25" s="127"/>
      <c r="I25" s="128"/>
      <c r="J25" s="156">
        <f t="shared" si="2"/>
        <v>0</v>
      </c>
      <c r="K25" s="144">
        <f t="shared" si="3"/>
        <v>0</v>
      </c>
      <c r="L25" s="150"/>
    </row>
    <row r="26" spans="1:12" s="101" customFormat="1" ht="13.5">
      <c r="A26" s="405" t="s">
        <v>39</v>
      </c>
      <c r="B26" s="406"/>
      <c r="C26" s="406"/>
      <c r="D26" s="125"/>
      <c r="E26" s="125"/>
      <c r="F26" s="154">
        <f t="shared" si="0"/>
        <v>0</v>
      </c>
      <c r="G26" s="145"/>
      <c r="H26" s="127"/>
      <c r="I26" s="128"/>
      <c r="J26" s="156">
        <f t="shared" si="2"/>
        <v>0</v>
      </c>
      <c r="K26" s="144">
        <f t="shared" si="3"/>
        <v>0</v>
      </c>
      <c r="L26" s="150"/>
    </row>
    <row r="27" spans="1:12" s="101" customFormat="1" ht="13.5">
      <c r="A27" s="401" t="s">
        <v>40</v>
      </c>
      <c r="B27" s="402"/>
      <c r="C27" s="402"/>
      <c r="D27" s="125"/>
      <c r="E27" s="125"/>
      <c r="F27" s="154">
        <f t="shared" si="0"/>
        <v>0</v>
      </c>
      <c r="G27" s="145"/>
      <c r="H27" s="127"/>
      <c r="I27" s="128"/>
      <c r="J27" s="156">
        <f t="shared" si="2"/>
        <v>0</v>
      </c>
      <c r="K27" s="144">
        <f t="shared" si="3"/>
        <v>0</v>
      </c>
      <c r="L27" s="150"/>
    </row>
    <row r="28" spans="1:12" s="101" customFormat="1" ht="13.5">
      <c r="A28" s="401" t="s">
        <v>41</v>
      </c>
      <c r="B28" s="402"/>
      <c r="C28" s="402"/>
      <c r="D28" s="125"/>
      <c r="E28" s="125"/>
      <c r="F28" s="154">
        <f t="shared" si="0"/>
        <v>0</v>
      </c>
      <c r="G28" s="145"/>
      <c r="H28" s="127"/>
      <c r="I28" s="128"/>
      <c r="J28" s="156">
        <f t="shared" si="2"/>
        <v>0</v>
      </c>
      <c r="K28" s="144">
        <f t="shared" si="3"/>
        <v>0</v>
      </c>
      <c r="L28" s="150"/>
    </row>
    <row r="29" spans="1:12" s="101" customFormat="1" ht="13.5">
      <c r="A29" s="405" t="s">
        <v>42</v>
      </c>
      <c r="B29" s="406"/>
      <c r="C29" s="406"/>
      <c r="D29" s="125">
        <v>13932</v>
      </c>
      <c r="E29" s="138">
        <v>13718</v>
      </c>
      <c r="F29" s="154">
        <f t="shared" si="0"/>
        <v>-214</v>
      </c>
      <c r="G29" s="145">
        <f t="shared" si="1"/>
        <v>0.984639678438128</v>
      </c>
      <c r="H29" s="122">
        <f>H30+H31</f>
        <v>13544</v>
      </c>
      <c r="I29" s="123"/>
      <c r="J29" s="156">
        <f t="shared" si="2"/>
        <v>13544</v>
      </c>
      <c r="K29" s="144">
        <f t="shared" si="3"/>
        <v>-174</v>
      </c>
      <c r="L29" s="150">
        <f t="shared" si="4"/>
        <v>0.9873159352675317</v>
      </c>
    </row>
    <row r="30" spans="1:14" s="101" customFormat="1" ht="13.5">
      <c r="A30" s="403" t="s">
        <v>164</v>
      </c>
      <c r="B30" s="404"/>
      <c r="C30" s="404"/>
      <c r="D30" s="131">
        <v>5260</v>
      </c>
      <c r="E30" s="131">
        <v>3546</v>
      </c>
      <c r="F30" s="155">
        <f t="shared" si="0"/>
        <v>-1714</v>
      </c>
      <c r="G30" s="147">
        <f t="shared" si="1"/>
        <v>0.6741444866920152</v>
      </c>
      <c r="H30" s="132">
        <v>1313</v>
      </c>
      <c r="I30" s="133"/>
      <c r="J30" s="157">
        <f t="shared" si="2"/>
        <v>1313</v>
      </c>
      <c r="K30" s="146">
        <f t="shared" si="3"/>
        <v>-2233</v>
      </c>
      <c r="L30" s="151">
        <f t="shared" si="4"/>
        <v>0.3702763677382967</v>
      </c>
      <c r="N30" s="129"/>
    </row>
    <row r="31" spans="1:12" s="101" customFormat="1" ht="13.5">
      <c r="A31" s="403" t="s">
        <v>43</v>
      </c>
      <c r="B31" s="404"/>
      <c r="C31" s="404"/>
      <c r="D31" s="125">
        <v>8672</v>
      </c>
      <c r="E31" s="125">
        <v>10172</v>
      </c>
      <c r="F31" s="154">
        <f t="shared" si="0"/>
        <v>1500</v>
      </c>
      <c r="G31" s="145">
        <f t="shared" si="1"/>
        <v>1.172970479704797</v>
      </c>
      <c r="H31" s="127">
        <v>12231</v>
      </c>
      <c r="I31" s="128"/>
      <c r="J31" s="156">
        <f t="shared" si="2"/>
        <v>12231</v>
      </c>
      <c r="K31" s="144">
        <f t="shared" si="3"/>
        <v>2059</v>
      </c>
      <c r="L31" s="150">
        <f t="shared" si="4"/>
        <v>1.2024184034604797</v>
      </c>
    </row>
    <row r="32" spans="1:12" s="101" customFormat="1" ht="13.5">
      <c r="A32" s="401" t="s">
        <v>44</v>
      </c>
      <c r="B32" s="402"/>
      <c r="C32" s="402"/>
      <c r="D32" s="138"/>
      <c r="E32" s="138"/>
      <c r="F32" s="154">
        <f t="shared" si="0"/>
        <v>0</v>
      </c>
      <c r="G32" s="145"/>
      <c r="H32" s="122"/>
      <c r="I32" s="123"/>
      <c r="J32" s="156">
        <f t="shared" si="2"/>
        <v>0</v>
      </c>
      <c r="K32" s="144">
        <f t="shared" si="3"/>
        <v>0</v>
      </c>
      <c r="L32" s="150"/>
    </row>
    <row r="33" spans="1:14" s="101" customFormat="1" ht="14.25" thickBot="1">
      <c r="A33" s="403" t="s">
        <v>45</v>
      </c>
      <c r="B33" s="404"/>
      <c r="C33" s="404"/>
      <c r="D33" s="153"/>
      <c r="E33" s="153"/>
      <c r="F33" s="154">
        <f t="shared" si="0"/>
        <v>0</v>
      </c>
      <c r="G33" s="145"/>
      <c r="H33" s="158"/>
      <c r="I33" s="159"/>
      <c r="J33" s="160">
        <f t="shared" si="2"/>
        <v>0</v>
      </c>
      <c r="K33" s="161">
        <f t="shared" si="3"/>
        <v>0</v>
      </c>
      <c r="L33" s="162"/>
      <c r="N33" s="129"/>
    </row>
    <row r="34" spans="1:12" s="101" customFormat="1" ht="14.25" thickBot="1">
      <c r="A34" s="410" t="s">
        <v>46</v>
      </c>
      <c r="B34" s="411"/>
      <c r="C34" s="411"/>
      <c r="D34" s="171">
        <v>26875</v>
      </c>
      <c r="E34" s="172">
        <v>26879</v>
      </c>
      <c r="F34" s="173">
        <f t="shared" si="0"/>
        <v>4</v>
      </c>
      <c r="G34" s="174">
        <f t="shared" si="1"/>
        <v>1.0001488372093024</v>
      </c>
      <c r="H34" s="172">
        <f>H7+H16+H18+H29</f>
        <v>27167</v>
      </c>
      <c r="I34" s="172"/>
      <c r="J34" s="175">
        <f t="shared" si="2"/>
        <v>27167</v>
      </c>
      <c r="K34" s="173">
        <f t="shared" si="3"/>
        <v>288</v>
      </c>
      <c r="L34" s="176">
        <f t="shared" si="4"/>
        <v>1.0107146843260537</v>
      </c>
    </row>
    <row r="35" spans="1:12" s="101" customFormat="1" ht="13.5">
      <c r="A35" s="412" t="s">
        <v>47</v>
      </c>
      <c r="B35" s="413"/>
      <c r="C35" s="413"/>
      <c r="D35" s="135">
        <v>3367</v>
      </c>
      <c r="E35" s="136">
        <v>3662</v>
      </c>
      <c r="F35" s="148">
        <f t="shared" si="0"/>
        <v>295</v>
      </c>
      <c r="G35" s="149">
        <f t="shared" si="1"/>
        <v>1.0876150876150876</v>
      </c>
      <c r="H35" s="137">
        <f>H36+H37+H39+H40+H41+H42+H45</f>
        <v>3765</v>
      </c>
      <c r="I35" s="137"/>
      <c r="J35" s="134">
        <f t="shared" si="2"/>
        <v>3765</v>
      </c>
      <c r="K35" s="148">
        <f t="shared" si="3"/>
        <v>103</v>
      </c>
      <c r="L35" s="152">
        <f t="shared" si="4"/>
        <v>1.0281267067176407</v>
      </c>
    </row>
    <row r="36" spans="1:12" s="101" customFormat="1" ht="13.5">
      <c r="A36" s="403" t="s">
        <v>48</v>
      </c>
      <c r="B36" s="404"/>
      <c r="C36" s="404"/>
      <c r="D36" s="125">
        <v>1930</v>
      </c>
      <c r="E36" s="126">
        <v>2184</v>
      </c>
      <c r="F36" s="144">
        <f t="shared" si="0"/>
        <v>254</v>
      </c>
      <c r="G36" s="145">
        <f t="shared" si="1"/>
        <v>1.1316062176165802</v>
      </c>
      <c r="H36" s="127">
        <v>2184</v>
      </c>
      <c r="I36" s="128"/>
      <c r="J36" s="124">
        <f t="shared" si="2"/>
        <v>2184</v>
      </c>
      <c r="K36" s="144">
        <f t="shared" si="3"/>
        <v>0</v>
      </c>
      <c r="L36" s="150">
        <f t="shared" si="4"/>
        <v>1</v>
      </c>
    </row>
    <row r="37" spans="1:12" s="101" customFormat="1" ht="13.5">
      <c r="A37" s="403" t="s">
        <v>49</v>
      </c>
      <c r="B37" s="404"/>
      <c r="C37" s="404"/>
      <c r="D37" s="125">
        <v>199</v>
      </c>
      <c r="E37" s="126">
        <v>228</v>
      </c>
      <c r="F37" s="144">
        <f t="shared" si="0"/>
        <v>29</v>
      </c>
      <c r="G37" s="145">
        <f t="shared" si="1"/>
        <v>1.1457286432160805</v>
      </c>
      <c r="H37" s="127">
        <v>260</v>
      </c>
      <c r="I37" s="128"/>
      <c r="J37" s="124">
        <f t="shared" si="2"/>
        <v>260</v>
      </c>
      <c r="K37" s="144">
        <f t="shared" si="3"/>
        <v>32</v>
      </c>
      <c r="L37" s="150">
        <f t="shared" si="4"/>
        <v>1.1403508771929824</v>
      </c>
    </row>
    <row r="38" spans="1:12" s="101" customFormat="1" ht="13.5">
      <c r="A38" s="403" t="s">
        <v>50</v>
      </c>
      <c r="B38" s="404"/>
      <c r="C38" s="404"/>
      <c r="D38" s="138">
        <v>15</v>
      </c>
      <c r="E38" s="130"/>
      <c r="F38" s="144">
        <f t="shared" si="0"/>
        <v>-15</v>
      </c>
      <c r="G38" s="145">
        <f t="shared" si="1"/>
        <v>0</v>
      </c>
      <c r="H38" s="122"/>
      <c r="I38" s="123"/>
      <c r="J38" s="124">
        <f t="shared" si="2"/>
        <v>0</v>
      </c>
      <c r="K38" s="144">
        <f t="shared" si="3"/>
        <v>0</v>
      </c>
      <c r="L38" s="150"/>
    </row>
    <row r="39" spans="1:12" s="101" customFormat="1" ht="13.5">
      <c r="A39" s="403" t="s">
        <v>51</v>
      </c>
      <c r="B39" s="404"/>
      <c r="C39" s="404"/>
      <c r="D39" s="125">
        <v>11</v>
      </c>
      <c r="E39" s="126">
        <v>22</v>
      </c>
      <c r="F39" s="144">
        <f t="shared" si="0"/>
        <v>11</v>
      </c>
      <c r="G39" s="145">
        <f t="shared" si="1"/>
        <v>2</v>
      </c>
      <c r="H39" s="127">
        <v>25</v>
      </c>
      <c r="I39" s="128"/>
      <c r="J39" s="124">
        <f t="shared" si="2"/>
        <v>25</v>
      </c>
      <c r="K39" s="144">
        <f t="shared" si="3"/>
        <v>3</v>
      </c>
      <c r="L39" s="150">
        <f t="shared" si="4"/>
        <v>1.1363636363636365</v>
      </c>
    </row>
    <row r="40" spans="1:12" s="101" customFormat="1" ht="13.5">
      <c r="A40" s="403" t="s">
        <v>52</v>
      </c>
      <c r="B40" s="404"/>
      <c r="C40" s="404"/>
      <c r="D40" s="125">
        <v>82</v>
      </c>
      <c r="E40" s="126">
        <v>64</v>
      </c>
      <c r="F40" s="144">
        <f t="shared" si="0"/>
        <v>-18</v>
      </c>
      <c r="G40" s="145">
        <f t="shared" si="1"/>
        <v>0.7804878048780488</v>
      </c>
      <c r="H40" s="127">
        <v>70</v>
      </c>
      <c r="I40" s="128"/>
      <c r="J40" s="124">
        <f t="shared" si="2"/>
        <v>70</v>
      </c>
      <c r="K40" s="144">
        <f t="shared" si="3"/>
        <v>6</v>
      </c>
      <c r="L40" s="150">
        <f t="shared" si="4"/>
        <v>1.09375</v>
      </c>
    </row>
    <row r="41" spans="1:14" s="101" customFormat="1" ht="13.5">
      <c r="A41" s="403" t="s">
        <v>53</v>
      </c>
      <c r="B41" s="404"/>
      <c r="C41" s="404"/>
      <c r="D41" s="125">
        <v>98</v>
      </c>
      <c r="E41" s="126">
        <v>69</v>
      </c>
      <c r="F41" s="144">
        <f t="shared" si="0"/>
        <v>-29</v>
      </c>
      <c r="G41" s="145">
        <f t="shared" si="1"/>
        <v>0.7040816326530612</v>
      </c>
      <c r="H41" s="127">
        <v>105</v>
      </c>
      <c r="I41" s="128"/>
      <c r="J41" s="124">
        <f t="shared" si="2"/>
        <v>105</v>
      </c>
      <c r="K41" s="144">
        <f t="shared" si="3"/>
        <v>36</v>
      </c>
      <c r="L41" s="150">
        <f t="shared" si="4"/>
        <v>1.5217391304347827</v>
      </c>
      <c r="N41" s="129"/>
    </row>
    <row r="42" spans="1:12" s="101" customFormat="1" ht="13.5">
      <c r="A42" s="403" t="s">
        <v>54</v>
      </c>
      <c r="B42" s="404"/>
      <c r="C42" s="404"/>
      <c r="D42" s="125">
        <v>96</v>
      </c>
      <c r="E42" s="126">
        <v>194</v>
      </c>
      <c r="F42" s="144">
        <f t="shared" si="0"/>
        <v>98</v>
      </c>
      <c r="G42" s="145">
        <f t="shared" si="1"/>
        <v>2.0208333333333335</v>
      </c>
      <c r="H42" s="127">
        <v>195</v>
      </c>
      <c r="I42" s="128"/>
      <c r="J42" s="124">
        <f t="shared" si="2"/>
        <v>195</v>
      </c>
      <c r="K42" s="144">
        <f t="shared" si="3"/>
        <v>1</v>
      </c>
      <c r="L42" s="150">
        <f t="shared" si="4"/>
        <v>1.0051546391752577</v>
      </c>
    </row>
    <row r="43" spans="1:14" s="101" customFormat="1" ht="13.5">
      <c r="A43" s="403" t="s">
        <v>166</v>
      </c>
      <c r="B43" s="404"/>
      <c r="C43" s="404"/>
      <c r="D43" s="125">
        <v>0</v>
      </c>
      <c r="E43" s="126"/>
      <c r="F43" s="144">
        <f t="shared" si="0"/>
        <v>0</v>
      </c>
      <c r="G43" s="145"/>
      <c r="H43" s="127"/>
      <c r="I43" s="128"/>
      <c r="J43" s="124">
        <f t="shared" si="2"/>
        <v>0</v>
      </c>
      <c r="K43" s="144">
        <f t="shared" si="3"/>
        <v>0</v>
      </c>
      <c r="L43" s="150"/>
      <c r="N43" s="129"/>
    </row>
    <row r="44" spans="1:12" s="101" customFormat="1" ht="13.5">
      <c r="A44" s="403" t="s">
        <v>167</v>
      </c>
      <c r="B44" s="404"/>
      <c r="C44" s="404"/>
      <c r="D44" s="125"/>
      <c r="E44" s="126"/>
      <c r="F44" s="144">
        <f t="shared" si="0"/>
        <v>0</v>
      </c>
      <c r="G44" s="145"/>
      <c r="H44" s="127"/>
      <c r="I44" s="128"/>
      <c r="J44" s="124">
        <f t="shared" si="2"/>
        <v>0</v>
      </c>
      <c r="K44" s="144">
        <f t="shared" si="3"/>
        <v>0</v>
      </c>
      <c r="L44" s="150"/>
    </row>
    <row r="45" spans="1:12" s="101" customFormat="1" ht="13.5">
      <c r="A45" s="403" t="s">
        <v>55</v>
      </c>
      <c r="B45" s="404"/>
      <c r="C45" s="404"/>
      <c r="D45" s="125">
        <v>936</v>
      </c>
      <c r="E45" s="126">
        <v>901</v>
      </c>
      <c r="F45" s="144">
        <f t="shared" si="0"/>
        <v>-35</v>
      </c>
      <c r="G45" s="145">
        <f t="shared" si="1"/>
        <v>0.9626068376068376</v>
      </c>
      <c r="H45" s="127">
        <v>926</v>
      </c>
      <c r="I45" s="128"/>
      <c r="J45" s="124">
        <f t="shared" si="2"/>
        <v>926</v>
      </c>
      <c r="K45" s="144">
        <f t="shared" si="3"/>
        <v>25</v>
      </c>
      <c r="L45" s="150">
        <f t="shared" si="4"/>
        <v>1.0277469478357382</v>
      </c>
    </row>
    <row r="46" spans="1:14" s="101" customFormat="1" ht="13.5">
      <c r="A46" s="412" t="s">
        <v>56</v>
      </c>
      <c r="B46" s="413"/>
      <c r="C46" s="413"/>
      <c r="D46" s="125">
        <v>778</v>
      </c>
      <c r="E46" s="126">
        <v>792</v>
      </c>
      <c r="F46" s="144">
        <f t="shared" si="0"/>
        <v>14</v>
      </c>
      <c r="G46" s="145">
        <f t="shared" si="1"/>
        <v>1.0179948586118253</v>
      </c>
      <c r="H46" s="127">
        <f>H47+H48+H49</f>
        <v>827</v>
      </c>
      <c r="I46" s="127"/>
      <c r="J46" s="124">
        <f t="shared" si="2"/>
        <v>827</v>
      </c>
      <c r="K46" s="144">
        <f t="shared" si="3"/>
        <v>35</v>
      </c>
      <c r="L46" s="150">
        <f t="shared" si="4"/>
        <v>1.0441919191919191</v>
      </c>
      <c r="N46" s="129"/>
    </row>
    <row r="47" spans="1:12" s="101" customFormat="1" ht="13.5">
      <c r="A47" s="403" t="s">
        <v>57</v>
      </c>
      <c r="B47" s="404"/>
      <c r="C47" s="404"/>
      <c r="D47" s="125">
        <v>729</v>
      </c>
      <c r="E47" s="126">
        <v>658</v>
      </c>
      <c r="F47" s="144">
        <f t="shared" si="0"/>
        <v>-71</v>
      </c>
      <c r="G47" s="145">
        <f t="shared" si="1"/>
        <v>0.9026063100137174</v>
      </c>
      <c r="H47" s="127">
        <v>662</v>
      </c>
      <c r="I47" s="128"/>
      <c r="J47" s="124">
        <f t="shared" si="2"/>
        <v>662</v>
      </c>
      <c r="K47" s="144">
        <f t="shared" si="3"/>
        <v>4</v>
      </c>
      <c r="L47" s="150">
        <f t="shared" si="4"/>
        <v>1.006079027355623</v>
      </c>
    </row>
    <row r="48" spans="1:12" s="101" customFormat="1" ht="13.5">
      <c r="A48" s="403" t="s">
        <v>58</v>
      </c>
      <c r="B48" s="404"/>
      <c r="C48" s="404"/>
      <c r="D48" s="125">
        <v>27</v>
      </c>
      <c r="E48" s="126">
        <v>25</v>
      </c>
      <c r="F48" s="144">
        <f t="shared" si="0"/>
        <v>-2</v>
      </c>
      <c r="G48" s="145">
        <f t="shared" si="1"/>
        <v>0.9259259259259259</v>
      </c>
      <c r="H48" s="127">
        <v>25</v>
      </c>
      <c r="I48" s="128"/>
      <c r="J48" s="124">
        <f t="shared" si="2"/>
        <v>25</v>
      </c>
      <c r="K48" s="144">
        <f t="shared" si="3"/>
        <v>0</v>
      </c>
      <c r="L48" s="150">
        <f t="shared" si="4"/>
        <v>1</v>
      </c>
    </row>
    <row r="49" spans="1:12" s="101" customFormat="1" ht="13.5">
      <c r="A49" s="403" t="s">
        <v>59</v>
      </c>
      <c r="B49" s="404"/>
      <c r="C49" s="404"/>
      <c r="D49" s="125">
        <v>22</v>
      </c>
      <c r="E49" s="126">
        <v>109</v>
      </c>
      <c r="F49" s="144">
        <f t="shared" si="0"/>
        <v>87</v>
      </c>
      <c r="G49" s="145">
        <f t="shared" si="1"/>
        <v>4.954545454545454</v>
      </c>
      <c r="H49" s="127">
        <v>140</v>
      </c>
      <c r="I49" s="128"/>
      <c r="J49" s="124">
        <f t="shared" si="2"/>
        <v>140</v>
      </c>
      <c r="K49" s="144">
        <f t="shared" si="3"/>
        <v>31</v>
      </c>
      <c r="L49" s="150">
        <f t="shared" si="4"/>
        <v>1.2844036697247707</v>
      </c>
    </row>
    <row r="50" spans="1:12" s="101" customFormat="1" ht="13.5">
      <c r="A50" s="403" t="s">
        <v>168</v>
      </c>
      <c r="B50" s="404"/>
      <c r="C50" s="404"/>
      <c r="D50" s="125"/>
      <c r="E50" s="126"/>
      <c r="F50" s="144">
        <f t="shared" si="0"/>
        <v>0</v>
      </c>
      <c r="G50" s="145"/>
      <c r="H50" s="127"/>
      <c r="I50" s="128"/>
      <c r="J50" s="124">
        <f t="shared" si="2"/>
        <v>0</v>
      </c>
      <c r="K50" s="144">
        <f t="shared" si="3"/>
        <v>0</v>
      </c>
      <c r="L50" s="150"/>
    </row>
    <row r="51" spans="1:12" s="101" customFormat="1" ht="13.5">
      <c r="A51" s="412" t="s">
        <v>60</v>
      </c>
      <c r="B51" s="413"/>
      <c r="C51" s="413"/>
      <c r="D51" s="125"/>
      <c r="E51" s="126"/>
      <c r="F51" s="144">
        <f t="shared" si="0"/>
        <v>0</v>
      </c>
      <c r="G51" s="145"/>
      <c r="H51" s="127"/>
      <c r="I51" s="128"/>
      <c r="J51" s="124">
        <f t="shared" si="2"/>
        <v>0</v>
      </c>
      <c r="K51" s="144">
        <f t="shared" si="3"/>
        <v>0</v>
      </c>
      <c r="L51" s="150"/>
    </row>
    <row r="52" spans="1:12" s="101" customFormat="1" ht="13.5">
      <c r="A52" s="412" t="s">
        <v>61</v>
      </c>
      <c r="B52" s="413"/>
      <c r="C52" s="413"/>
      <c r="D52" s="125"/>
      <c r="E52" s="126"/>
      <c r="F52" s="144">
        <f t="shared" si="0"/>
        <v>0</v>
      </c>
      <c r="G52" s="145"/>
      <c r="H52" s="127"/>
      <c r="I52" s="128"/>
      <c r="J52" s="124">
        <f t="shared" si="2"/>
        <v>0</v>
      </c>
      <c r="K52" s="144">
        <f t="shared" si="3"/>
        <v>0</v>
      </c>
      <c r="L52" s="150"/>
    </row>
    <row r="53" spans="1:12" s="101" customFormat="1" ht="13.5">
      <c r="A53" s="412" t="s">
        <v>62</v>
      </c>
      <c r="B53" s="413"/>
      <c r="C53" s="413"/>
      <c r="D53" s="125">
        <v>628</v>
      </c>
      <c r="E53" s="126">
        <v>377</v>
      </c>
      <c r="F53" s="144">
        <f t="shared" si="0"/>
        <v>-251</v>
      </c>
      <c r="G53" s="145">
        <f t="shared" si="1"/>
        <v>0.6003184713375797</v>
      </c>
      <c r="H53" s="127">
        <f>H54+H55+H56</f>
        <v>370</v>
      </c>
      <c r="I53" s="128"/>
      <c r="J53" s="124">
        <f t="shared" si="2"/>
        <v>370</v>
      </c>
      <c r="K53" s="144">
        <f t="shared" si="3"/>
        <v>-7</v>
      </c>
      <c r="L53" s="150">
        <f t="shared" si="4"/>
        <v>0.9814323607427056</v>
      </c>
    </row>
    <row r="54" spans="1:12" s="101" customFormat="1" ht="13.5">
      <c r="A54" s="414" t="s">
        <v>63</v>
      </c>
      <c r="B54" s="415"/>
      <c r="C54" s="415"/>
      <c r="D54" s="125">
        <v>408</v>
      </c>
      <c r="E54" s="126">
        <v>91</v>
      </c>
      <c r="F54" s="144">
        <f t="shared" si="0"/>
        <v>-317</v>
      </c>
      <c r="G54" s="145">
        <f t="shared" si="1"/>
        <v>0.22303921568627452</v>
      </c>
      <c r="H54" s="127">
        <v>100</v>
      </c>
      <c r="I54" s="128"/>
      <c r="J54" s="124">
        <f t="shared" si="2"/>
        <v>100</v>
      </c>
      <c r="K54" s="144">
        <f t="shared" si="3"/>
        <v>9</v>
      </c>
      <c r="L54" s="150">
        <f t="shared" si="4"/>
        <v>1.098901098901099</v>
      </c>
    </row>
    <row r="55" spans="1:12" s="101" customFormat="1" ht="13.5">
      <c r="A55" s="414" t="s">
        <v>169</v>
      </c>
      <c r="B55" s="415"/>
      <c r="C55" s="415"/>
      <c r="D55" s="125">
        <v>22</v>
      </c>
      <c r="E55" s="126">
        <v>234</v>
      </c>
      <c r="F55" s="144">
        <f t="shared" si="0"/>
        <v>212</v>
      </c>
      <c r="G55" s="145">
        <f t="shared" si="1"/>
        <v>10.636363636363637</v>
      </c>
      <c r="H55" s="127">
        <v>220</v>
      </c>
      <c r="I55" s="128"/>
      <c r="J55" s="124">
        <f t="shared" si="2"/>
        <v>220</v>
      </c>
      <c r="K55" s="144">
        <f t="shared" si="3"/>
        <v>-14</v>
      </c>
      <c r="L55" s="150">
        <f t="shared" si="4"/>
        <v>0.9401709401709402</v>
      </c>
    </row>
    <row r="56" spans="1:12" s="101" customFormat="1" ht="13.5">
      <c r="A56" s="414" t="s">
        <v>133</v>
      </c>
      <c r="B56" s="415"/>
      <c r="C56" s="415"/>
      <c r="D56" s="125">
        <v>198</v>
      </c>
      <c r="E56" s="126">
        <v>52</v>
      </c>
      <c r="F56" s="144">
        <f t="shared" si="0"/>
        <v>-146</v>
      </c>
      <c r="G56" s="145">
        <f t="shared" si="1"/>
        <v>0.26262626262626265</v>
      </c>
      <c r="H56" s="127">
        <v>50</v>
      </c>
      <c r="I56" s="128"/>
      <c r="J56" s="124">
        <f t="shared" si="2"/>
        <v>50</v>
      </c>
      <c r="K56" s="144">
        <f t="shared" si="3"/>
        <v>-2</v>
      </c>
      <c r="L56" s="150">
        <f t="shared" si="4"/>
        <v>0.9615384615384616</v>
      </c>
    </row>
    <row r="57" spans="1:12" s="101" customFormat="1" ht="13.5">
      <c r="A57" s="412" t="s">
        <v>64</v>
      </c>
      <c r="B57" s="413"/>
      <c r="C57" s="413"/>
      <c r="D57" s="125">
        <v>88</v>
      </c>
      <c r="E57" s="126">
        <v>154</v>
      </c>
      <c r="F57" s="144">
        <f t="shared" si="0"/>
        <v>66</v>
      </c>
      <c r="G57" s="145">
        <f t="shared" si="1"/>
        <v>1.75</v>
      </c>
      <c r="H57" s="127">
        <v>130</v>
      </c>
      <c r="I57" s="128"/>
      <c r="J57" s="124">
        <f t="shared" si="2"/>
        <v>130</v>
      </c>
      <c r="K57" s="144">
        <f t="shared" si="3"/>
        <v>-24</v>
      </c>
      <c r="L57" s="150">
        <f t="shared" si="4"/>
        <v>0.8441558441558441</v>
      </c>
    </row>
    <row r="58" spans="1:12" s="101" customFormat="1" ht="13.5">
      <c r="A58" s="412" t="s">
        <v>65</v>
      </c>
      <c r="B58" s="413"/>
      <c r="C58" s="413"/>
      <c r="D58" s="125">
        <v>54</v>
      </c>
      <c r="E58" s="126">
        <v>87</v>
      </c>
      <c r="F58" s="144">
        <f t="shared" si="0"/>
        <v>33</v>
      </c>
      <c r="G58" s="145">
        <f t="shared" si="1"/>
        <v>1.6111111111111112</v>
      </c>
      <c r="H58" s="127">
        <v>80</v>
      </c>
      <c r="I58" s="128"/>
      <c r="J58" s="124">
        <f t="shared" si="2"/>
        <v>80</v>
      </c>
      <c r="K58" s="144">
        <f t="shared" si="3"/>
        <v>-7</v>
      </c>
      <c r="L58" s="150">
        <f t="shared" si="4"/>
        <v>0.9195402298850575</v>
      </c>
    </row>
    <row r="59" spans="1:14" s="101" customFormat="1" ht="13.5">
      <c r="A59" s="412" t="s">
        <v>66</v>
      </c>
      <c r="B59" s="413"/>
      <c r="C59" s="413"/>
      <c r="D59" s="125">
        <v>2405</v>
      </c>
      <c r="E59" s="126">
        <v>1940</v>
      </c>
      <c r="F59" s="144">
        <f t="shared" si="0"/>
        <v>-465</v>
      </c>
      <c r="G59" s="145">
        <f t="shared" si="1"/>
        <v>0.8066528066528067</v>
      </c>
      <c r="H59" s="127">
        <f>H60+H61+H62+H63+H65+H66+H67</f>
        <v>1942</v>
      </c>
      <c r="I59" s="128"/>
      <c r="J59" s="124">
        <f t="shared" si="2"/>
        <v>1942</v>
      </c>
      <c r="K59" s="144">
        <f t="shared" si="3"/>
        <v>2</v>
      </c>
      <c r="L59" s="150">
        <f t="shared" si="4"/>
        <v>1.0010309278350515</v>
      </c>
      <c r="N59" s="129"/>
    </row>
    <row r="60" spans="1:12" s="101" customFormat="1" ht="13.5">
      <c r="A60" s="403" t="s">
        <v>67</v>
      </c>
      <c r="B60" s="404"/>
      <c r="C60" s="404"/>
      <c r="D60" s="125">
        <v>130</v>
      </c>
      <c r="E60" s="126">
        <v>121</v>
      </c>
      <c r="F60" s="144">
        <f t="shared" si="0"/>
        <v>-9</v>
      </c>
      <c r="G60" s="145">
        <f t="shared" si="1"/>
        <v>0.9307692307692308</v>
      </c>
      <c r="H60" s="127">
        <v>121</v>
      </c>
      <c r="I60" s="128"/>
      <c r="J60" s="124">
        <f t="shared" si="2"/>
        <v>121</v>
      </c>
      <c r="K60" s="144">
        <f t="shared" si="3"/>
        <v>0</v>
      </c>
      <c r="L60" s="150">
        <f t="shared" si="4"/>
        <v>1</v>
      </c>
    </row>
    <row r="61" spans="1:12" s="101" customFormat="1" ht="13.5">
      <c r="A61" s="403" t="s">
        <v>68</v>
      </c>
      <c r="B61" s="404"/>
      <c r="C61" s="404"/>
      <c r="D61" s="125"/>
      <c r="E61" s="126">
        <v>21</v>
      </c>
      <c r="F61" s="144">
        <f t="shared" si="0"/>
        <v>21</v>
      </c>
      <c r="G61" s="145"/>
      <c r="H61" s="127">
        <v>20</v>
      </c>
      <c r="I61" s="128"/>
      <c r="J61" s="124">
        <f t="shared" si="2"/>
        <v>20</v>
      </c>
      <c r="K61" s="144">
        <f t="shared" si="3"/>
        <v>-1</v>
      </c>
      <c r="L61" s="150">
        <f t="shared" si="4"/>
        <v>0.9523809523809523</v>
      </c>
    </row>
    <row r="62" spans="1:12" s="101" customFormat="1" ht="13.5">
      <c r="A62" s="403" t="s">
        <v>69</v>
      </c>
      <c r="B62" s="404"/>
      <c r="C62" s="404"/>
      <c r="D62" s="125">
        <v>877</v>
      </c>
      <c r="E62" s="126">
        <v>656</v>
      </c>
      <c r="F62" s="144">
        <f t="shared" si="0"/>
        <v>-221</v>
      </c>
      <c r="G62" s="145">
        <f t="shared" si="1"/>
        <v>0.7480045610034207</v>
      </c>
      <c r="H62" s="127">
        <v>656</v>
      </c>
      <c r="I62" s="128"/>
      <c r="J62" s="124">
        <f t="shared" si="2"/>
        <v>656</v>
      </c>
      <c r="K62" s="144">
        <f t="shared" si="3"/>
        <v>0</v>
      </c>
      <c r="L62" s="150">
        <f t="shared" si="4"/>
        <v>1</v>
      </c>
    </row>
    <row r="63" spans="1:12" s="101" customFormat="1" ht="13.5">
      <c r="A63" s="403" t="s">
        <v>70</v>
      </c>
      <c r="B63" s="404"/>
      <c r="C63" s="404"/>
      <c r="D63" s="125">
        <v>494</v>
      </c>
      <c r="E63" s="126">
        <v>436</v>
      </c>
      <c r="F63" s="144">
        <f t="shared" si="0"/>
        <v>-58</v>
      </c>
      <c r="G63" s="145">
        <f t="shared" si="1"/>
        <v>0.8825910931174089</v>
      </c>
      <c r="H63" s="127">
        <v>407</v>
      </c>
      <c r="I63" s="128"/>
      <c r="J63" s="124">
        <f t="shared" si="2"/>
        <v>407</v>
      </c>
      <c r="K63" s="144">
        <f t="shared" si="3"/>
        <v>-29</v>
      </c>
      <c r="L63" s="150">
        <f t="shared" si="4"/>
        <v>0.9334862385321101</v>
      </c>
    </row>
    <row r="64" spans="1:12" s="101" customFormat="1" ht="13.5">
      <c r="A64" s="403" t="s">
        <v>71</v>
      </c>
      <c r="B64" s="404"/>
      <c r="C64" s="404"/>
      <c r="D64" s="125"/>
      <c r="E64" s="126"/>
      <c r="F64" s="144">
        <f t="shared" si="0"/>
        <v>0</v>
      </c>
      <c r="G64" s="145"/>
      <c r="H64" s="127"/>
      <c r="I64" s="128"/>
      <c r="J64" s="124">
        <f t="shared" si="2"/>
        <v>0</v>
      </c>
      <c r="K64" s="144">
        <f t="shared" si="3"/>
        <v>0</v>
      </c>
      <c r="L64" s="150"/>
    </row>
    <row r="65" spans="1:12" s="101" customFormat="1" ht="13.5">
      <c r="A65" s="403" t="s">
        <v>170</v>
      </c>
      <c r="B65" s="404"/>
      <c r="C65" s="404"/>
      <c r="D65" s="125">
        <v>59</v>
      </c>
      <c r="E65" s="126">
        <v>41</v>
      </c>
      <c r="F65" s="144">
        <f t="shared" si="0"/>
        <v>-18</v>
      </c>
      <c r="G65" s="145">
        <f t="shared" si="1"/>
        <v>0.6949152542372882</v>
      </c>
      <c r="H65" s="127">
        <v>50</v>
      </c>
      <c r="I65" s="128"/>
      <c r="J65" s="124">
        <f t="shared" si="2"/>
        <v>50</v>
      </c>
      <c r="K65" s="144">
        <f t="shared" si="3"/>
        <v>9</v>
      </c>
      <c r="L65" s="150">
        <f t="shared" si="4"/>
        <v>1.2195121951219512</v>
      </c>
    </row>
    <row r="66" spans="1:12" s="101" customFormat="1" ht="13.5">
      <c r="A66" s="403" t="s">
        <v>72</v>
      </c>
      <c r="B66" s="404"/>
      <c r="C66" s="404"/>
      <c r="D66" s="125">
        <v>28</v>
      </c>
      <c r="E66" s="126">
        <v>128</v>
      </c>
      <c r="F66" s="144">
        <f t="shared" si="0"/>
        <v>100</v>
      </c>
      <c r="G66" s="145">
        <f t="shared" si="1"/>
        <v>4.571428571428571</v>
      </c>
      <c r="H66" s="127">
        <v>128</v>
      </c>
      <c r="I66" s="128"/>
      <c r="J66" s="124">
        <f t="shared" si="2"/>
        <v>128</v>
      </c>
      <c r="K66" s="144">
        <f t="shared" si="3"/>
        <v>0</v>
      </c>
      <c r="L66" s="150">
        <f t="shared" si="4"/>
        <v>1</v>
      </c>
    </row>
    <row r="67" spans="1:12" s="101" customFormat="1" ht="13.5">
      <c r="A67" s="403" t="s">
        <v>73</v>
      </c>
      <c r="B67" s="404"/>
      <c r="C67" s="404"/>
      <c r="D67" s="125">
        <v>817</v>
      </c>
      <c r="E67" s="126">
        <v>537</v>
      </c>
      <c r="F67" s="144">
        <f t="shared" si="0"/>
        <v>-280</v>
      </c>
      <c r="G67" s="145">
        <f>E67/D67</f>
        <v>0.6572827417380661</v>
      </c>
      <c r="H67" s="127">
        <v>560</v>
      </c>
      <c r="I67" s="128"/>
      <c r="J67" s="124">
        <f t="shared" si="2"/>
        <v>560</v>
      </c>
      <c r="K67" s="144">
        <f t="shared" si="3"/>
        <v>23</v>
      </c>
      <c r="L67" s="150">
        <f t="shared" si="4"/>
        <v>1.042830540037244</v>
      </c>
    </row>
    <row r="68" spans="1:12" s="101" customFormat="1" ht="13.5">
      <c r="A68" s="403" t="s">
        <v>171</v>
      </c>
      <c r="B68" s="404"/>
      <c r="C68" s="404"/>
      <c r="D68" s="125"/>
      <c r="E68" s="126"/>
      <c r="F68" s="144">
        <f t="shared" si="0"/>
        <v>0</v>
      </c>
      <c r="G68" s="145"/>
      <c r="H68" s="127"/>
      <c r="I68" s="128"/>
      <c r="J68" s="124">
        <f t="shared" si="2"/>
        <v>0</v>
      </c>
      <c r="K68" s="144">
        <f t="shared" si="3"/>
        <v>0</v>
      </c>
      <c r="L68" s="150"/>
    </row>
    <row r="69" spans="1:14" s="101" customFormat="1" ht="13.5">
      <c r="A69" s="412" t="s">
        <v>74</v>
      </c>
      <c r="B69" s="413"/>
      <c r="C69" s="413"/>
      <c r="D69" s="125">
        <v>17871</v>
      </c>
      <c r="E69" s="126">
        <v>18369</v>
      </c>
      <c r="F69" s="144">
        <f t="shared" si="0"/>
        <v>498</v>
      </c>
      <c r="G69" s="145">
        <f t="shared" si="1"/>
        <v>1.0278663756924626</v>
      </c>
      <c r="H69" s="127">
        <f>H70+H74</f>
        <v>18580</v>
      </c>
      <c r="I69" s="128"/>
      <c r="J69" s="124">
        <f t="shared" si="2"/>
        <v>18580</v>
      </c>
      <c r="K69" s="144">
        <f t="shared" si="3"/>
        <v>211</v>
      </c>
      <c r="L69" s="150">
        <f t="shared" si="4"/>
        <v>1.0114867439708204</v>
      </c>
      <c r="N69" s="129"/>
    </row>
    <row r="70" spans="1:12" s="101" customFormat="1" ht="13.5">
      <c r="A70" s="403" t="s">
        <v>75</v>
      </c>
      <c r="B70" s="404"/>
      <c r="C70" s="404"/>
      <c r="D70" s="125">
        <v>13194</v>
      </c>
      <c r="E70" s="126">
        <v>13341</v>
      </c>
      <c r="F70" s="144">
        <f t="shared" si="0"/>
        <v>147</v>
      </c>
      <c r="G70" s="145">
        <f t="shared" si="1"/>
        <v>1.0111414279217825</v>
      </c>
      <c r="H70" s="127">
        <f>H71+H73</f>
        <v>13530</v>
      </c>
      <c r="I70" s="128"/>
      <c r="J70" s="124">
        <f t="shared" si="2"/>
        <v>13530</v>
      </c>
      <c r="K70" s="144">
        <f t="shared" si="3"/>
        <v>189</v>
      </c>
      <c r="L70" s="150">
        <f t="shared" si="4"/>
        <v>1.0141668540589162</v>
      </c>
    </row>
    <row r="71" spans="1:12" s="101" customFormat="1" ht="13.5">
      <c r="A71" s="403" t="s">
        <v>76</v>
      </c>
      <c r="B71" s="404"/>
      <c r="C71" s="404"/>
      <c r="D71" s="125">
        <v>12894</v>
      </c>
      <c r="E71" s="126">
        <v>13095</v>
      </c>
      <c r="F71" s="144">
        <f t="shared" si="0"/>
        <v>201</v>
      </c>
      <c r="G71" s="145">
        <f t="shared" si="1"/>
        <v>1.0155886458818055</v>
      </c>
      <c r="H71" s="127">
        <v>13120</v>
      </c>
      <c r="I71" s="128"/>
      <c r="J71" s="124">
        <f t="shared" si="2"/>
        <v>13120</v>
      </c>
      <c r="K71" s="144">
        <f t="shared" si="3"/>
        <v>25</v>
      </c>
      <c r="L71" s="150">
        <f t="shared" si="4"/>
        <v>1.0019091256204657</v>
      </c>
    </row>
    <row r="72" spans="1:12" s="101" customFormat="1" ht="13.5">
      <c r="A72" s="403" t="s">
        <v>172</v>
      </c>
      <c r="B72" s="404"/>
      <c r="C72" s="404"/>
      <c r="D72" s="125">
        <v>12900</v>
      </c>
      <c r="E72" s="126">
        <v>13120</v>
      </c>
      <c r="F72" s="144">
        <f t="shared" si="0"/>
        <v>220</v>
      </c>
      <c r="G72" s="145">
        <f t="shared" si="1"/>
        <v>1.0170542635658915</v>
      </c>
      <c r="H72" s="127">
        <v>13120</v>
      </c>
      <c r="I72" s="128"/>
      <c r="J72" s="124">
        <f t="shared" si="2"/>
        <v>13120</v>
      </c>
      <c r="K72" s="144">
        <f t="shared" si="3"/>
        <v>0</v>
      </c>
      <c r="L72" s="150">
        <f t="shared" si="4"/>
        <v>1</v>
      </c>
    </row>
    <row r="73" spans="1:14" s="101" customFormat="1" ht="13.5">
      <c r="A73" s="403" t="s">
        <v>77</v>
      </c>
      <c r="B73" s="404"/>
      <c r="C73" s="404"/>
      <c r="D73" s="125">
        <v>300</v>
      </c>
      <c r="E73" s="126">
        <v>246</v>
      </c>
      <c r="F73" s="144">
        <f t="shared" si="0"/>
        <v>-54</v>
      </c>
      <c r="G73" s="145">
        <f t="shared" si="1"/>
        <v>0.82</v>
      </c>
      <c r="H73" s="127">
        <v>410</v>
      </c>
      <c r="I73" s="128"/>
      <c r="J73" s="124">
        <f t="shared" si="2"/>
        <v>410</v>
      </c>
      <c r="K73" s="144">
        <f t="shared" si="3"/>
        <v>164</v>
      </c>
      <c r="L73" s="150">
        <f t="shared" si="4"/>
        <v>1.6666666666666667</v>
      </c>
      <c r="N73" s="129"/>
    </row>
    <row r="74" spans="1:12" s="101" customFormat="1" ht="13.5">
      <c r="A74" s="403" t="s">
        <v>78</v>
      </c>
      <c r="B74" s="404"/>
      <c r="C74" s="404"/>
      <c r="D74" s="125">
        <v>4677</v>
      </c>
      <c r="E74" s="126">
        <v>5028</v>
      </c>
      <c r="F74" s="144">
        <f t="shared" si="0"/>
        <v>351</v>
      </c>
      <c r="G74" s="145">
        <f t="shared" si="1"/>
        <v>1.0750481077613856</v>
      </c>
      <c r="H74" s="127">
        <v>5050</v>
      </c>
      <c r="I74" s="128"/>
      <c r="J74" s="124">
        <f t="shared" si="2"/>
        <v>5050</v>
      </c>
      <c r="K74" s="144">
        <f t="shared" si="3"/>
        <v>22</v>
      </c>
      <c r="L74" s="150">
        <f t="shared" si="4"/>
        <v>1.0043754972155927</v>
      </c>
    </row>
    <row r="75" spans="1:15" s="101" customFormat="1" ht="13.5">
      <c r="A75" s="412" t="s">
        <v>79</v>
      </c>
      <c r="B75" s="413"/>
      <c r="C75" s="413"/>
      <c r="D75" s="125">
        <v>8</v>
      </c>
      <c r="E75" s="126">
        <v>9</v>
      </c>
      <c r="F75" s="144">
        <f t="shared" si="0"/>
        <v>1</v>
      </c>
      <c r="G75" s="145">
        <f t="shared" si="1"/>
        <v>1.125</v>
      </c>
      <c r="H75" s="127">
        <v>10</v>
      </c>
      <c r="I75" s="128"/>
      <c r="J75" s="124">
        <f t="shared" si="2"/>
        <v>10</v>
      </c>
      <c r="K75" s="144">
        <f t="shared" si="3"/>
        <v>1</v>
      </c>
      <c r="L75" s="150">
        <f t="shared" si="4"/>
        <v>1.1111111111111112</v>
      </c>
      <c r="N75" s="129"/>
      <c r="O75" s="139"/>
    </row>
    <row r="76" spans="1:12" s="101" customFormat="1" ht="13.5">
      <c r="A76" s="403" t="s">
        <v>80</v>
      </c>
      <c r="B76" s="404"/>
      <c r="C76" s="404"/>
      <c r="D76" s="125"/>
      <c r="E76" s="126"/>
      <c r="F76" s="144">
        <f aca="true" t="shared" si="5" ref="F76:F90">E76-D76</f>
        <v>0</v>
      </c>
      <c r="G76" s="145"/>
      <c r="H76" s="127"/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412" t="s">
        <v>81</v>
      </c>
      <c r="B77" s="413"/>
      <c r="C77" s="413"/>
      <c r="D77" s="125">
        <v>123</v>
      </c>
      <c r="E77" s="126">
        <v>69</v>
      </c>
      <c r="F77" s="144">
        <f t="shared" si="5"/>
        <v>-54</v>
      </c>
      <c r="G77" s="145">
        <f aca="true" t="shared" si="8" ref="G77:G87">E77/D77</f>
        <v>0.5609756097560976</v>
      </c>
      <c r="H77" s="127">
        <v>80</v>
      </c>
      <c r="I77" s="128"/>
      <c r="J77" s="124">
        <f t="shared" si="6"/>
        <v>80</v>
      </c>
      <c r="K77" s="144">
        <f t="shared" si="7"/>
        <v>11</v>
      </c>
      <c r="L77" s="150">
        <f aca="true" t="shared" si="9" ref="L77:L85">J77/E77</f>
        <v>1.1594202898550725</v>
      </c>
    </row>
    <row r="78" spans="1:12" s="101" customFormat="1" ht="13.5">
      <c r="A78" s="403" t="s">
        <v>82</v>
      </c>
      <c r="B78" s="404"/>
      <c r="C78" s="404"/>
      <c r="D78" s="138"/>
      <c r="E78" s="130"/>
      <c r="F78" s="144">
        <f t="shared" si="5"/>
        <v>0</v>
      </c>
      <c r="G78" s="145"/>
      <c r="H78" s="122"/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403" t="s">
        <v>83</v>
      </c>
      <c r="B79" s="404"/>
      <c r="C79" s="404"/>
      <c r="D79" s="125"/>
      <c r="E79" s="126"/>
      <c r="F79" s="144">
        <f t="shared" si="5"/>
        <v>0</v>
      </c>
      <c r="G79" s="145"/>
      <c r="H79" s="127"/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412" t="s">
        <v>84</v>
      </c>
      <c r="B80" s="413"/>
      <c r="C80" s="413"/>
      <c r="D80" s="125">
        <v>1517</v>
      </c>
      <c r="E80" s="126">
        <v>1373</v>
      </c>
      <c r="F80" s="144">
        <f t="shared" si="5"/>
        <v>-144</v>
      </c>
      <c r="G80" s="145">
        <f t="shared" si="8"/>
        <v>0.9050758075148319</v>
      </c>
      <c r="H80" s="127">
        <f>H81+H82+H84</f>
        <v>1383</v>
      </c>
      <c r="I80" s="128"/>
      <c r="J80" s="124">
        <f t="shared" si="6"/>
        <v>1383</v>
      </c>
      <c r="K80" s="144">
        <f t="shared" si="7"/>
        <v>10</v>
      </c>
      <c r="L80" s="150">
        <f t="shared" si="9"/>
        <v>1.0072833211944647</v>
      </c>
    </row>
    <row r="81" spans="1:12" s="101" customFormat="1" ht="13.5">
      <c r="A81" s="403" t="s">
        <v>85</v>
      </c>
      <c r="B81" s="404"/>
      <c r="C81" s="404"/>
      <c r="D81" s="125">
        <v>1055</v>
      </c>
      <c r="E81" s="126">
        <v>978</v>
      </c>
      <c r="F81" s="144">
        <f t="shared" si="5"/>
        <v>-77</v>
      </c>
      <c r="G81" s="145">
        <f t="shared" si="8"/>
        <v>0.9270142180094787</v>
      </c>
      <c r="H81" s="127">
        <v>1008</v>
      </c>
      <c r="I81" s="128"/>
      <c r="J81" s="124">
        <f t="shared" si="6"/>
        <v>1008</v>
      </c>
      <c r="K81" s="144">
        <f t="shared" si="7"/>
        <v>30</v>
      </c>
      <c r="L81" s="150">
        <f t="shared" si="9"/>
        <v>1.030674846625767</v>
      </c>
    </row>
    <row r="82" spans="1:12" s="101" customFormat="1" ht="13.5">
      <c r="A82" s="403" t="s">
        <v>86</v>
      </c>
      <c r="B82" s="404"/>
      <c r="C82" s="404"/>
      <c r="D82" s="125"/>
      <c r="E82" s="126">
        <v>25</v>
      </c>
      <c r="F82" s="144">
        <f t="shared" si="5"/>
        <v>25</v>
      </c>
      <c r="G82" s="145"/>
      <c r="H82" s="127">
        <v>25</v>
      </c>
      <c r="I82" s="128"/>
      <c r="J82" s="124">
        <f t="shared" si="6"/>
        <v>25</v>
      </c>
      <c r="K82" s="144">
        <f t="shared" si="7"/>
        <v>0</v>
      </c>
      <c r="L82" s="150">
        <f t="shared" si="9"/>
        <v>1</v>
      </c>
    </row>
    <row r="83" spans="1:12" s="101" customFormat="1" ht="13.5">
      <c r="A83" s="403" t="s">
        <v>173</v>
      </c>
      <c r="B83" s="404"/>
      <c r="C83" s="404"/>
      <c r="D83" s="125"/>
      <c r="E83" s="126"/>
      <c r="F83" s="144">
        <f t="shared" si="5"/>
        <v>0</v>
      </c>
      <c r="G83" s="145"/>
      <c r="H83" s="127"/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403" t="s">
        <v>87</v>
      </c>
      <c r="B84" s="404"/>
      <c r="C84" s="404"/>
      <c r="D84" s="125">
        <v>462</v>
      </c>
      <c r="E84" s="126">
        <v>370</v>
      </c>
      <c r="F84" s="144">
        <f t="shared" si="5"/>
        <v>-92</v>
      </c>
      <c r="G84" s="145">
        <f t="shared" si="8"/>
        <v>0.8008658008658008</v>
      </c>
      <c r="H84" s="127">
        <v>350</v>
      </c>
      <c r="I84" s="128"/>
      <c r="J84" s="124">
        <f t="shared" si="6"/>
        <v>350</v>
      </c>
      <c r="K84" s="144">
        <f t="shared" si="7"/>
        <v>-20</v>
      </c>
      <c r="L84" s="150">
        <f t="shared" si="9"/>
        <v>0.9459459459459459</v>
      </c>
    </row>
    <row r="85" spans="1:12" s="101" customFormat="1" ht="13.5">
      <c r="A85" s="403" t="s">
        <v>174</v>
      </c>
      <c r="B85" s="404"/>
      <c r="C85" s="404"/>
      <c r="D85" s="125">
        <v>462</v>
      </c>
      <c r="E85" s="126">
        <v>370</v>
      </c>
      <c r="F85" s="144">
        <f t="shared" si="5"/>
        <v>-92</v>
      </c>
      <c r="G85" s="145">
        <f t="shared" si="8"/>
        <v>0.8008658008658008</v>
      </c>
      <c r="H85" s="127">
        <v>350</v>
      </c>
      <c r="I85" s="128"/>
      <c r="J85" s="124">
        <f t="shared" si="6"/>
        <v>350</v>
      </c>
      <c r="K85" s="144">
        <f t="shared" si="7"/>
        <v>-20</v>
      </c>
      <c r="L85" s="150">
        <f t="shared" si="9"/>
        <v>0.9459459459459459</v>
      </c>
    </row>
    <row r="86" spans="1:14" s="101" customFormat="1" ht="13.5">
      <c r="A86" s="403" t="s">
        <v>175</v>
      </c>
      <c r="B86" s="404"/>
      <c r="C86" s="404"/>
      <c r="D86" s="125"/>
      <c r="E86" s="126"/>
      <c r="F86" s="144">
        <f t="shared" si="5"/>
        <v>0</v>
      </c>
      <c r="G86" s="145"/>
      <c r="H86" s="127"/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412" t="s">
        <v>88</v>
      </c>
      <c r="B87" s="413"/>
      <c r="C87" s="413"/>
      <c r="D87" s="125">
        <v>31</v>
      </c>
      <c r="E87" s="126"/>
      <c r="F87" s="144">
        <f t="shared" si="5"/>
        <v>-31</v>
      </c>
      <c r="G87" s="145">
        <f t="shared" si="8"/>
        <v>0</v>
      </c>
      <c r="H87" s="127"/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403" t="s">
        <v>89</v>
      </c>
      <c r="B88" s="404"/>
      <c r="C88" s="404"/>
      <c r="D88" s="125"/>
      <c r="E88" s="126"/>
      <c r="F88" s="144">
        <f t="shared" si="5"/>
        <v>0</v>
      </c>
      <c r="G88" s="145"/>
      <c r="H88" s="127"/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412" t="s">
        <v>90</v>
      </c>
      <c r="B89" s="413"/>
      <c r="C89" s="413"/>
      <c r="D89" s="125"/>
      <c r="E89" s="126"/>
      <c r="F89" s="144">
        <f t="shared" si="5"/>
        <v>0</v>
      </c>
      <c r="G89" s="145"/>
      <c r="H89" s="127"/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403" t="s">
        <v>176</v>
      </c>
      <c r="B90" s="404"/>
      <c r="C90" s="404"/>
      <c r="D90" s="102"/>
      <c r="E90" s="140"/>
      <c r="F90" s="144">
        <f t="shared" si="5"/>
        <v>0</v>
      </c>
      <c r="G90" s="145"/>
      <c r="H90" s="127"/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422" t="s">
        <v>91</v>
      </c>
      <c r="B91" s="423"/>
      <c r="C91" s="424"/>
      <c r="D91" s="177">
        <v>26870</v>
      </c>
      <c r="E91" s="178">
        <v>26832</v>
      </c>
      <c r="F91" s="179"/>
      <c r="G91" s="179"/>
      <c r="H91" s="180">
        <f>H35+H46+H53+H57+H58+H59+H69+H75+H77+H80</f>
        <v>27167</v>
      </c>
      <c r="I91" s="180"/>
      <c r="J91" s="181">
        <f>H91</f>
        <v>27167</v>
      </c>
      <c r="K91" s="182"/>
      <c r="L91" s="183"/>
      <c r="M91" s="141"/>
      <c r="N91" s="142"/>
      <c r="O91" s="143"/>
    </row>
    <row r="92" spans="1:15" s="100" customFormat="1" ht="14.25" thickBot="1">
      <c r="A92" s="422" t="s">
        <v>177</v>
      </c>
      <c r="B92" s="423"/>
      <c r="C92" s="424"/>
      <c r="D92" s="184">
        <v>5</v>
      </c>
      <c r="E92" s="184">
        <v>47</v>
      </c>
      <c r="F92" s="185"/>
      <c r="G92" s="185"/>
      <c r="H92" s="184">
        <f>H34-H91</f>
        <v>0</v>
      </c>
      <c r="I92" s="184"/>
      <c r="J92" s="186">
        <f>H92</f>
        <v>0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4.25" customHeight="1" thickBot="1">
      <c r="A94" s="416" t="s">
        <v>178</v>
      </c>
      <c r="B94" s="417"/>
      <c r="C94" s="420" t="s">
        <v>104</v>
      </c>
      <c r="D94" s="42"/>
      <c r="E94" s="425" t="s">
        <v>179</v>
      </c>
      <c r="F94" s="426"/>
      <c r="G94" s="426"/>
      <c r="H94" s="426"/>
      <c r="I94" s="429" t="s">
        <v>104</v>
      </c>
      <c r="J94" s="43"/>
      <c r="K94" s="43"/>
      <c r="L94" s="43"/>
      <c r="M94" s="43"/>
      <c r="N94" s="43"/>
    </row>
    <row r="95" spans="1:14" ht="14.25" thickBot="1">
      <c r="A95" s="418"/>
      <c r="B95" s="419"/>
      <c r="C95" s="421"/>
      <c r="D95" s="42"/>
      <c r="E95" s="427"/>
      <c r="F95" s="428"/>
      <c r="G95" s="428"/>
      <c r="H95" s="428"/>
      <c r="I95" s="430"/>
      <c r="J95" s="43"/>
      <c r="K95" s="43"/>
      <c r="L95" s="43"/>
      <c r="M95" s="43"/>
      <c r="N95" s="43"/>
    </row>
    <row r="96" spans="1:14" ht="14.25" thickBot="1">
      <c r="A96" s="431" t="s">
        <v>136</v>
      </c>
      <c r="B96" s="432"/>
      <c r="C96" s="204">
        <v>873</v>
      </c>
      <c r="D96" s="35"/>
      <c r="E96" s="437" t="s">
        <v>275</v>
      </c>
      <c r="F96" s="438"/>
      <c r="G96" s="438"/>
      <c r="H96" s="438"/>
      <c r="I96" s="110">
        <v>130</v>
      </c>
      <c r="J96" s="43"/>
      <c r="K96" s="43"/>
      <c r="L96" s="43"/>
      <c r="M96" s="43"/>
      <c r="N96" s="38" t="s">
        <v>105</v>
      </c>
    </row>
    <row r="97" spans="1:14" ht="13.5">
      <c r="A97" s="435" t="s">
        <v>358</v>
      </c>
      <c r="B97" s="436"/>
      <c r="C97" s="205">
        <v>370</v>
      </c>
      <c r="D97" s="35"/>
      <c r="E97" s="437" t="s">
        <v>276</v>
      </c>
      <c r="F97" s="438"/>
      <c r="G97" s="438"/>
      <c r="H97" s="438"/>
      <c r="I97" s="111">
        <v>30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435"/>
      <c r="B98" s="436"/>
      <c r="C98" s="205"/>
      <c r="D98" s="35"/>
      <c r="E98" s="437" t="s">
        <v>277</v>
      </c>
      <c r="F98" s="438"/>
      <c r="G98" s="438"/>
      <c r="H98" s="438"/>
      <c r="I98" s="111">
        <v>50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435"/>
      <c r="B99" s="436"/>
      <c r="C99" s="205"/>
      <c r="D99" s="35"/>
      <c r="E99" s="437" t="s">
        <v>279</v>
      </c>
      <c r="F99" s="438"/>
      <c r="G99" s="438"/>
      <c r="H99" s="438"/>
      <c r="I99" s="111">
        <v>80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435"/>
      <c r="B100" s="436"/>
      <c r="C100" s="205"/>
      <c r="D100" s="35"/>
      <c r="E100" s="437" t="s">
        <v>278</v>
      </c>
      <c r="F100" s="438"/>
      <c r="G100" s="438"/>
      <c r="H100" s="438"/>
      <c r="I100" s="208">
        <v>80</v>
      </c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435"/>
      <c r="B101" s="436"/>
      <c r="C101" s="107"/>
      <c r="D101" s="35"/>
      <c r="E101" s="437"/>
      <c r="F101" s="438"/>
      <c r="G101" s="438"/>
      <c r="H101" s="438"/>
      <c r="I101" s="97"/>
      <c r="J101" s="43"/>
      <c r="K101" s="43"/>
      <c r="L101" s="43"/>
      <c r="M101" s="43"/>
      <c r="N101" s="43"/>
    </row>
    <row r="102" spans="1:14" ht="13.5">
      <c r="A102" s="435"/>
      <c r="B102" s="436"/>
      <c r="C102" s="107"/>
      <c r="D102" s="35"/>
      <c r="E102" s="437"/>
      <c r="F102" s="438"/>
      <c r="G102" s="438"/>
      <c r="H102" s="438"/>
      <c r="I102" s="97"/>
      <c r="J102" s="43"/>
      <c r="K102" s="43"/>
      <c r="L102" s="43"/>
      <c r="M102" s="43"/>
      <c r="N102" s="43"/>
    </row>
    <row r="103" spans="1:14" ht="14.25" thickBot="1">
      <c r="A103" s="441"/>
      <c r="B103" s="442"/>
      <c r="C103" s="96"/>
      <c r="D103" s="35"/>
      <c r="E103" s="443"/>
      <c r="F103" s="444"/>
      <c r="G103" s="444"/>
      <c r="H103" s="444"/>
      <c r="I103" s="99"/>
      <c r="J103" s="43"/>
      <c r="K103" s="43"/>
      <c r="L103" s="43"/>
      <c r="M103" s="43"/>
      <c r="N103" s="43"/>
    </row>
    <row r="104" spans="1:14" ht="14.25" thickBot="1">
      <c r="A104" s="445" t="s">
        <v>97</v>
      </c>
      <c r="B104" s="446"/>
      <c r="C104" s="202">
        <f>SUM(C96:C102)</f>
        <v>1243</v>
      </c>
      <c r="D104" s="59"/>
      <c r="E104" s="447" t="s">
        <v>97</v>
      </c>
      <c r="F104" s="448"/>
      <c r="G104" s="448"/>
      <c r="H104" s="448"/>
      <c r="I104" s="203">
        <f>SUM(I96:I103)</f>
        <v>370</v>
      </c>
      <c r="J104" s="43"/>
      <c r="K104" s="43"/>
      <c r="L104" s="43"/>
      <c r="M104" s="43"/>
      <c r="N104" s="61"/>
    </row>
    <row r="105" spans="1:5" s="34" customFormat="1" ht="13.5" customHeight="1">
      <c r="A105" s="59"/>
      <c r="B105" s="62"/>
      <c r="C105" s="62"/>
      <c r="D105" s="62"/>
      <c r="E105" s="62"/>
    </row>
    <row r="106" spans="1:12" s="34" customFormat="1" ht="14.25" thickBot="1">
      <c r="A106" s="63" t="s">
        <v>181</v>
      </c>
      <c r="B106" s="36"/>
      <c r="C106" s="36"/>
      <c r="D106" s="36"/>
      <c r="E106" s="39"/>
      <c r="F106" s="41"/>
      <c r="G106" s="41"/>
      <c r="H106" s="35"/>
      <c r="I106" s="36"/>
      <c r="J106" s="36" t="s">
        <v>110</v>
      </c>
      <c r="K106" s="36"/>
      <c r="L106" s="39"/>
    </row>
    <row r="107" spans="1:11" s="34" customFormat="1" ht="13.5">
      <c r="A107" s="449" t="s">
        <v>111</v>
      </c>
      <c r="B107" s="452" t="s">
        <v>248</v>
      </c>
      <c r="C107" s="459" t="s">
        <v>182</v>
      </c>
      <c r="D107" s="460"/>
      <c r="E107" s="460"/>
      <c r="F107" s="460"/>
      <c r="G107" s="460"/>
      <c r="H107" s="460"/>
      <c r="I107" s="460"/>
      <c r="J107" s="461"/>
      <c r="K107" s="455" t="s">
        <v>183</v>
      </c>
    </row>
    <row r="108" spans="1:11" s="34" customFormat="1" ht="13.5">
      <c r="A108" s="450"/>
      <c r="B108" s="453"/>
      <c r="C108" s="458" t="s">
        <v>112</v>
      </c>
      <c r="D108" s="462" t="s">
        <v>113</v>
      </c>
      <c r="E108" s="462"/>
      <c r="F108" s="462"/>
      <c r="G108" s="462"/>
      <c r="H108" s="462"/>
      <c r="I108" s="462"/>
      <c r="J108" s="463"/>
      <c r="K108" s="456"/>
    </row>
    <row r="109" spans="1:12" s="34" customFormat="1" ht="14.25" thickBot="1">
      <c r="A109" s="451"/>
      <c r="B109" s="454"/>
      <c r="C109" s="458"/>
      <c r="D109" s="164">
        <v>1</v>
      </c>
      <c r="E109" s="164">
        <v>2</v>
      </c>
      <c r="F109" s="164">
        <v>3</v>
      </c>
      <c r="G109" s="164">
        <v>4</v>
      </c>
      <c r="H109" s="164">
        <v>5</v>
      </c>
      <c r="I109" s="164">
        <v>6</v>
      </c>
      <c r="J109" s="165">
        <v>7</v>
      </c>
      <c r="K109" s="457"/>
      <c r="L109" s="71"/>
    </row>
    <row r="110" spans="1:11" s="34" customFormat="1" ht="14.25" thickBot="1">
      <c r="A110" s="64">
        <v>24261</v>
      </c>
      <c r="B110" s="65">
        <v>8286</v>
      </c>
      <c r="C110" s="166">
        <f>SUM(D110:J110)</f>
        <v>1008</v>
      </c>
      <c r="D110" s="167">
        <v>0</v>
      </c>
      <c r="E110" s="167">
        <v>0</v>
      </c>
      <c r="F110" s="167">
        <v>31</v>
      </c>
      <c r="G110" s="167">
        <v>104</v>
      </c>
      <c r="H110" s="167">
        <v>0</v>
      </c>
      <c r="I110" s="168">
        <v>0</v>
      </c>
      <c r="J110" s="169">
        <v>873</v>
      </c>
      <c r="K110" s="163">
        <v>14967</v>
      </c>
    </row>
    <row r="111" spans="1:5" s="34" customFormat="1" ht="13.5">
      <c r="A111" s="59"/>
      <c r="B111" s="62"/>
      <c r="C111" s="62"/>
      <c r="D111" s="62"/>
      <c r="E111" s="62"/>
    </row>
    <row r="112" spans="1:8" s="34" customFormat="1" ht="14.25" thickBot="1">
      <c r="A112" s="63" t="s">
        <v>184</v>
      </c>
      <c r="C112" s="36"/>
      <c r="D112" s="36"/>
      <c r="E112" s="36"/>
      <c r="F112" s="36" t="s">
        <v>110</v>
      </c>
      <c r="G112" s="41"/>
      <c r="H112" s="35"/>
    </row>
    <row r="113" spans="1:6" s="34" customFormat="1" ht="15" customHeight="1" thickBot="1">
      <c r="A113" s="467" t="s">
        <v>114</v>
      </c>
      <c r="B113" s="469" t="s">
        <v>188</v>
      </c>
      <c r="C113" s="188" t="s">
        <v>185</v>
      </c>
      <c r="D113" s="189"/>
      <c r="E113" s="189"/>
      <c r="F113" s="190"/>
    </row>
    <row r="114" spans="1:6" s="34" customFormat="1" ht="27.75" thickBot="1">
      <c r="A114" s="468"/>
      <c r="B114" s="469"/>
      <c r="C114" s="67" t="s">
        <v>186</v>
      </c>
      <c r="D114" s="66" t="s">
        <v>115</v>
      </c>
      <c r="E114" s="67" t="s">
        <v>116</v>
      </c>
      <c r="F114" s="191" t="s">
        <v>187</v>
      </c>
    </row>
    <row r="115" spans="1:6" s="34" customFormat="1" ht="13.5">
      <c r="A115" s="192" t="s">
        <v>117</v>
      </c>
      <c r="B115" s="89">
        <v>1244.2</v>
      </c>
      <c r="C115" s="68" t="s">
        <v>118</v>
      </c>
      <c r="D115" s="69" t="s">
        <v>118</v>
      </c>
      <c r="E115" s="69" t="s">
        <v>118</v>
      </c>
      <c r="F115" s="193" t="s">
        <v>118</v>
      </c>
    </row>
    <row r="116" spans="1:13" s="34" customFormat="1" ht="13.5">
      <c r="A116" s="194" t="s">
        <v>119</v>
      </c>
      <c r="B116" s="70">
        <v>73</v>
      </c>
      <c r="C116" s="197">
        <v>73</v>
      </c>
      <c r="D116" s="51">
        <v>0</v>
      </c>
      <c r="E116" s="51">
        <v>0</v>
      </c>
      <c r="F116" s="198">
        <f>C116-E116</f>
        <v>73</v>
      </c>
      <c r="M116" s="71"/>
    </row>
    <row r="117" spans="1:13" s="34" customFormat="1" ht="13.5">
      <c r="A117" s="194" t="s">
        <v>120</v>
      </c>
      <c r="B117" s="70">
        <v>67</v>
      </c>
      <c r="C117" s="197">
        <f>47+20</f>
        <v>67</v>
      </c>
      <c r="D117" s="51">
        <v>47</v>
      </c>
      <c r="E117" s="51">
        <f>94+20</f>
        <v>114</v>
      </c>
      <c r="F117" s="198">
        <f>C117+D117-E117</f>
        <v>0</v>
      </c>
      <c r="M117" s="71"/>
    </row>
    <row r="118" spans="1:13" s="34" customFormat="1" ht="13.5">
      <c r="A118" s="194" t="s">
        <v>121</v>
      </c>
      <c r="B118" s="70">
        <v>374</v>
      </c>
      <c r="C118" s="72">
        <v>374</v>
      </c>
      <c r="D118" s="73">
        <v>1008</v>
      </c>
      <c r="E118" s="206">
        <v>1243</v>
      </c>
      <c r="F118" s="198">
        <f>C118+D118-E118</f>
        <v>139</v>
      </c>
      <c r="M118" s="71"/>
    </row>
    <row r="119" spans="1:13" s="34" customFormat="1" ht="13.5">
      <c r="A119" s="194" t="s">
        <v>122</v>
      </c>
      <c r="B119" s="70">
        <f>B115-B116-B117-B118</f>
        <v>730.2</v>
      </c>
      <c r="C119" s="74" t="s">
        <v>118</v>
      </c>
      <c r="D119" s="75" t="s">
        <v>118</v>
      </c>
      <c r="E119" s="76" t="s">
        <v>118</v>
      </c>
      <c r="F119" s="195" t="s">
        <v>118</v>
      </c>
      <c r="M119" s="71"/>
    </row>
    <row r="120" spans="1:13" s="34" customFormat="1" ht="14.25" thickBot="1">
      <c r="A120" s="196" t="s">
        <v>123</v>
      </c>
      <c r="B120" s="77">
        <v>263</v>
      </c>
      <c r="C120" s="199">
        <v>274</v>
      </c>
      <c r="D120" s="200">
        <v>132</v>
      </c>
      <c r="E120" s="207">
        <v>150</v>
      </c>
      <c r="F120" s="201">
        <f>C120+D120-E120</f>
        <v>256</v>
      </c>
      <c r="M120" s="71"/>
    </row>
    <row r="121" spans="1:15" s="34" customFormat="1" ht="13.5">
      <c r="A121" s="35"/>
      <c r="B121" s="36"/>
      <c r="C121" s="36"/>
      <c r="D121" s="37"/>
      <c r="E121" s="38"/>
      <c r="F121" s="36"/>
      <c r="G121" s="36"/>
      <c r="H121" s="39"/>
      <c r="I121" s="40"/>
      <c r="J121" s="41"/>
      <c r="K121" s="35"/>
      <c r="L121" s="36"/>
      <c r="M121" s="36"/>
      <c r="N121" s="36"/>
      <c r="O121" s="39"/>
    </row>
    <row r="122" spans="1:11" ht="13.5">
      <c r="A122" s="63"/>
      <c r="K122" s="36"/>
    </row>
    <row r="123" spans="1:11" ht="14.25" thickBot="1">
      <c r="A123" s="63" t="s">
        <v>189</v>
      </c>
      <c r="K123" s="36" t="s">
        <v>110</v>
      </c>
    </row>
    <row r="124" spans="1:11" ht="13.5">
      <c r="A124" s="464" t="s">
        <v>124</v>
      </c>
      <c r="B124" s="465"/>
      <c r="C124" s="466"/>
      <c r="D124" s="78"/>
      <c r="E124" s="464" t="s">
        <v>125</v>
      </c>
      <c r="F124" s="465"/>
      <c r="G124" s="466"/>
      <c r="I124" s="464" t="s">
        <v>126</v>
      </c>
      <c r="J124" s="465"/>
      <c r="K124" s="466"/>
    </row>
    <row r="125" spans="1:11" ht="14.25" thickBot="1">
      <c r="A125" s="79" t="s">
        <v>127</v>
      </c>
      <c r="B125" s="80" t="s">
        <v>128</v>
      </c>
      <c r="C125" s="81" t="s">
        <v>129</v>
      </c>
      <c r="D125" s="78"/>
      <c r="E125" s="82"/>
      <c r="F125" s="470" t="s">
        <v>130</v>
      </c>
      <c r="G125" s="471"/>
      <c r="I125" s="79"/>
      <c r="J125" s="80" t="s">
        <v>131</v>
      </c>
      <c r="K125" s="81" t="s">
        <v>129</v>
      </c>
    </row>
    <row r="126" spans="1:11" ht="13.5">
      <c r="A126" s="83">
        <v>2012</v>
      </c>
      <c r="B126" s="84">
        <v>59</v>
      </c>
      <c r="C126" s="85">
        <v>59</v>
      </c>
      <c r="D126" s="37"/>
      <c r="E126" s="83">
        <v>2012</v>
      </c>
      <c r="F126" s="472">
        <v>75</v>
      </c>
      <c r="G126" s="473"/>
      <c r="I126" s="83">
        <v>2012</v>
      </c>
      <c r="J126" s="84">
        <v>13120</v>
      </c>
      <c r="K126" s="85">
        <v>13120</v>
      </c>
    </row>
    <row r="127" spans="1:11" ht="14.25" thickBot="1">
      <c r="A127" s="86">
        <v>2013</v>
      </c>
      <c r="B127" s="87">
        <v>61</v>
      </c>
      <c r="C127" s="88" t="s">
        <v>92</v>
      </c>
      <c r="D127" s="37"/>
      <c r="E127" s="86">
        <v>2013</v>
      </c>
      <c r="F127" s="388">
        <v>75</v>
      </c>
      <c r="G127" s="389"/>
      <c r="I127" s="86">
        <v>2013</v>
      </c>
      <c r="J127" s="87">
        <v>13120</v>
      </c>
      <c r="K127" s="88" t="s">
        <v>92</v>
      </c>
    </row>
    <row r="128" ht="13.5">
      <c r="D128" s="37"/>
    </row>
  </sheetData>
  <sheetProtection selectLockedCells="1" selectUnlockedCells="1"/>
  <mergeCells count="129">
    <mergeCell ref="F125:G125"/>
    <mergeCell ref="F126:G126"/>
    <mergeCell ref="F127:G127"/>
    <mergeCell ref="C108:C109"/>
    <mergeCell ref="D108:J108"/>
    <mergeCell ref="A113:A114"/>
    <mergeCell ref="B113:B114"/>
    <mergeCell ref="A124:C124"/>
    <mergeCell ref="E124:G124"/>
    <mergeCell ref="I124:K124"/>
    <mergeCell ref="I94:I95"/>
    <mergeCell ref="A101:B101"/>
    <mergeCell ref="E101:H101"/>
    <mergeCell ref="A102:B102"/>
    <mergeCell ref="E102:H102"/>
    <mergeCell ref="A103:B103"/>
    <mergeCell ref="E103:H103"/>
    <mergeCell ref="A97:B97"/>
    <mergeCell ref="E97:H97"/>
    <mergeCell ref="A98:B98"/>
    <mergeCell ref="A107:A109"/>
    <mergeCell ref="B107:B109"/>
    <mergeCell ref="C107:J107"/>
    <mergeCell ref="K107:K109"/>
    <mergeCell ref="A100:B100"/>
    <mergeCell ref="E100:H100"/>
    <mergeCell ref="A104:B104"/>
    <mergeCell ref="E104:H104"/>
    <mergeCell ref="E98:H98"/>
    <mergeCell ref="A99:B99"/>
    <mergeCell ref="E99:H99"/>
    <mergeCell ref="A96:B96"/>
    <mergeCell ref="E96:H96"/>
    <mergeCell ref="A94:B95"/>
    <mergeCell ref="C94:C95"/>
    <mergeCell ref="E94:H95"/>
    <mergeCell ref="A90:C90"/>
    <mergeCell ref="A91:C91"/>
    <mergeCell ref="A92:C92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</mergeCells>
  <printOptions horizontalCentered="1"/>
  <pageMargins left="0.15763888888888888" right="0.15763888888888888" top="0.5902777777777778" bottom="0.15763888888888888" header="0.5118055555555555" footer="0.15763888888888888"/>
  <pageSetup horizontalDpi="300" verticalDpi="300" orientation="portrait" paperSize="9" scale="44" r:id="rId1"/>
  <headerFooter alignWithMargins="0">
    <oddFooter>&amp;C&amp;"Arial CE,Běžné"&amp;P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131"/>
  <sheetViews>
    <sheetView view="pageBreakPreview" zoomScale="70" zoomScaleNormal="90" zoomScaleSheetLayoutView="70" zoomScalePageLayoutView="0" workbookViewId="0" topLeftCell="A1">
      <selection activeCell="H30" sqref="H30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7" width="13.00390625" style="1" customWidth="1"/>
    <col min="8" max="8" width="15.2812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 thickBot="1">
      <c r="A4" s="391" t="s">
        <v>156</v>
      </c>
      <c r="B4" s="391"/>
      <c r="C4" s="391"/>
      <c r="D4" s="392" t="s">
        <v>157</v>
      </c>
      <c r="E4" s="393">
        <v>2012</v>
      </c>
      <c r="F4" s="394" t="s">
        <v>96</v>
      </c>
      <c r="G4" s="395"/>
      <c r="H4" s="396" t="s">
        <v>158</v>
      </c>
      <c r="I4" s="397"/>
      <c r="J4" s="398"/>
      <c r="K4" s="396" t="s">
        <v>159</v>
      </c>
      <c r="L4" s="398"/>
      <c r="M4" s="112"/>
      <c r="N4" s="112"/>
      <c r="O4" s="112"/>
    </row>
    <row r="5" spans="1:15" s="101" customFormat="1" ht="13.5" customHeight="1" thickBot="1">
      <c r="A5" s="391"/>
      <c r="B5" s="391"/>
      <c r="C5" s="391"/>
      <c r="D5" s="392"/>
      <c r="E5" s="393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391"/>
      <c r="B6" s="391"/>
      <c r="C6" s="391"/>
      <c r="D6" s="392"/>
      <c r="E6" s="393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399" t="s">
        <v>24</v>
      </c>
      <c r="B7" s="400"/>
      <c r="C7" s="400"/>
      <c r="D7" s="121">
        <v>10978</v>
      </c>
      <c r="E7" s="121">
        <v>11205</v>
      </c>
      <c r="F7" s="154">
        <f>E7-D7</f>
        <v>227</v>
      </c>
      <c r="G7" s="145">
        <f>E7/D7</f>
        <v>1.0206777190745127</v>
      </c>
      <c r="H7" s="122">
        <f>H10+H11+H12+H13+H14+H15</f>
        <v>11107</v>
      </c>
      <c r="I7" s="123"/>
      <c r="J7" s="156">
        <f>H7+I7</f>
        <v>11107</v>
      </c>
      <c r="K7" s="144">
        <f>J7-E7</f>
        <v>-98</v>
      </c>
      <c r="L7" s="150">
        <f>J7/E7</f>
        <v>0.9912539045069165</v>
      </c>
    </row>
    <row r="8" spans="1:12" s="101" customFormat="1" ht="13.5">
      <c r="A8" s="401" t="s">
        <v>25</v>
      </c>
      <c r="B8" s="402"/>
      <c r="C8" s="402"/>
      <c r="D8" s="125">
        <v>0</v>
      </c>
      <c r="E8" s="125">
        <v>0</v>
      </c>
      <c r="F8" s="154">
        <f aca="true" t="shared" si="0" ref="F8:F75">E8-D8</f>
        <v>0</v>
      </c>
      <c r="G8" s="145"/>
      <c r="H8" s="127"/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401" t="s">
        <v>26</v>
      </c>
      <c r="B9" s="402"/>
      <c r="C9" s="402"/>
      <c r="D9" s="125">
        <f>D7</f>
        <v>10978</v>
      </c>
      <c r="E9" s="125">
        <v>11205</v>
      </c>
      <c r="F9" s="154">
        <f t="shared" si="0"/>
        <v>227</v>
      </c>
      <c r="G9" s="145">
        <f>E9/D9</f>
        <v>1.0206777190745127</v>
      </c>
      <c r="H9" s="127">
        <f>H10+H11+H12+H13+H14+H15</f>
        <v>11107</v>
      </c>
      <c r="I9" s="128"/>
      <c r="J9" s="156">
        <f t="shared" si="1"/>
        <v>11107</v>
      </c>
      <c r="K9" s="144">
        <f t="shared" si="2"/>
        <v>-98</v>
      </c>
      <c r="L9" s="150">
        <f aca="true" t="shared" si="3" ref="L9:L75">J9/E9</f>
        <v>0.9912539045069165</v>
      </c>
    </row>
    <row r="10" spans="1:12" s="101" customFormat="1" ht="13.5">
      <c r="A10" s="403" t="s">
        <v>27</v>
      </c>
      <c r="B10" s="404"/>
      <c r="C10" s="404"/>
      <c r="D10" s="125">
        <v>5113</v>
      </c>
      <c r="E10" s="125">
        <v>5304</v>
      </c>
      <c r="F10" s="154">
        <f t="shared" si="0"/>
        <v>191</v>
      </c>
      <c r="G10" s="145">
        <f>E10/D10</f>
        <v>1.0373557598278897</v>
      </c>
      <c r="H10" s="127">
        <v>5109</v>
      </c>
      <c r="I10" s="128"/>
      <c r="J10" s="156">
        <f t="shared" si="1"/>
        <v>5109</v>
      </c>
      <c r="K10" s="144">
        <f t="shared" si="2"/>
        <v>-195</v>
      </c>
      <c r="L10" s="150">
        <f t="shared" si="3"/>
        <v>0.9632352941176471</v>
      </c>
    </row>
    <row r="11" spans="1:12" s="101" customFormat="1" ht="13.5">
      <c r="A11" s="403" t="s">
        <v>28</v>
      </c>
      <c r="B11" s="404"/>
      <c r="C11" s="404"/>
      <c r="D11" s="125">
        <v>5195</v>
      </c>
      <c r="E11" s="125">
        <v>5471</v>
      </c>
      <c r="F11" s="154">
        <f t="shared" si="0"/>
        <v>276</v>
      </c>
      <c r="G11" s="145">
        <f>E11/D11</f>
        <v>1.0531280076997112</v>
      </c>
      <c r="H11" s="127">
        <v>5452</v>
      </c>
      <c r="I11" s="128"/>
      <c r="J11" s="156">
        <f t="shared" si="1"/>
        <v>5452</v>
      </c>
      <c r="K11" s="144">
        <f t="shared" si="2"/>
        <v>-19</v>
      </c>
      <c r="L11" s="150">
        <f t="shared" si="3"/>
        <v>0.99652714311826</v>
      </c>
    </row>
    <row r="12" spans="1:12" s="101" customFormat="1" ht="13.5">
      <c r="A12" s="403" t="s">
        <v>29</v>
      </c>
      <c r="B12" s="404"/>
      <c r="C12" s="404"/>
      <c r="D12" s="125">
        <v>4</v>
      </c>
      <c r="E12" s="125">
        <v>12</v>
      </c>
      <c r="F12" s="154">
        <f t="shared" si="0"/>
        <v>8</v>
      </c>
      <c r="G12" s="145">
        <f>E12/D12</f>
        <v>3</v>
      </c>
      <c r="H12" s="127">
        <v>16</v>
      </c>
      <c r="I12" s="128"/>
      <c r="J12" s="156">
        <f t="shared" si="1"/>
        <v>16</v>
      </c>
      <c r="K12" s="144">
        <f t="shared" si="2"/>
        <v>4</v>
      </c>
      <c r="L12" s="150">
        <f t="shared" si="3"/>
        <v>1.3333333333333333</v>
      </c>
    </row>
    <row r="13" spans="1:12" s="101" customFormat="1" ht="13.5">
      <c r="A13" s="403" t="s">
        <v>30</v>
      </c>
      <c r="B13" s="404"/>
      <c r="C13" s="404"/>
      <c r="D13" s="125">
        <v>666</v>
      </c>
      <c r="E13" s="125">
        <v>417</v>
      </c>
      <c r="F13" s="154">
        <f t="shared" si="0"/>
        <v>-249</v>
      </c>
      <c r="G13" s="145">
        <f>E13/D13</f>
        <v>0.6261261261261262</v>
      </c>
      <c r="H13" s="127">
        <v>480</v>
      </c>
      <c r="I13" s="128"/>
      <c r="J13" s="156">
        <f t="shared" si="1"/>
        <v>480</v>
      </c>
      <c r="K13" s="144">
        <f t="shared" si="2"/>
        <v>63</v>
      </c>
      <c r="L13" s="150">
        <f t="shared" si="3"/>
        <v>1.1510791366906474</v>
      </c>
    </row>
    <row r="14" spans="1:12" s="101" customFormat="1" ht="13.5">
      <c r="A14" s="403" t="s">
        <v>31</v>
      </c>
      <c r="B14" s="404"/>
      <c r="C14" s="404"/>
      <c r="D14" s="125">
        <v>0</v>
      </c>
      <c r="E14" s="125">
        <v>0</v>
      </c>
      <c r="F14" s="154">
        <f t="shared" si="0"/>
        <v>0</v>
      </c>
      <c r="G14" s="145"/>
      <c r="H14" s="127">
        <v>0</v>
      </c>
      <c r="I14" s="128"/>
      <c r="J14" s="156">
        <f t="shared" si="1"/>
        <v>0</v>
      </c>
      <c r="K14" s="144">
        <f t="shared" si="2"/>
        <v>0</v>
      </c>
      <c r="L14" s="150"/>
    </row>
    <row r="15" spans="1:14" s="101" customFormat="1" ht="13.5">
      <c r="A15" s="403" t="s">
        <v>32</v>
      </c>
      <c r="B15" s="404"/>
      <c r="C15" s="404"/>
      <c r="D15" s="125">
        <v>0</v>
      </c>
      <c r="E15" s="125">
        <v>1</v>
      </c>
      <c r="F15" s="154">
        <f t="shared" si="0"/>
        <v>1</v>
      </c>
      <c r="G15" s="145"/>
      <c r="H15" s="127">
        <v>50</v>
      </c>
      <c r="I15" s="128"/>
      <c r="J15" s="156">
        <f t="shared" si="1"/>
        <v>50</v>
      </c>
      <c r="K15" s="144">
        <f t="shared" si="2"/>
        <v>49</v>
      </c>
      <c r="L15" s="150">
        <f t="shared" si="3"/>
        <v>50</v>
      </c>
      <c r="N15" s="129"/>
    </row>
    <row r="16" spans="1:12" s="101" customFormat="1" ht="13.5">
      <c r="A16" s="401" t="s">
        <v>33</v>
      </c>
      <c r="B16" s="402"/>
      <c r="C16" s="402"/>
      <c r="D16" s="125">
        <v>0</v>
      </c>
      <c r="E16" s="125">
        <v>0</v>
      </c>
      <c r="F16" s="154">
        <f t="shared" si="0"/>
        <v>0</v>
      </c>
      <c r="G16" s="145"/>
      <c r="H16" s="127">
        <v>0</v>
      </c>
      <c r="I16" s="128"/>
      <c r="J16" s="156">
        <f t="shared" si="1"/>
        <v>0</v>
      </c>
      <c r="K16" s="144">
        <f t="shared" si="2"/>
        <v>0</v>
      </c>
      <c r="L16" s="150"/>
    </row>
    <row r="17" spans="1:12" s="101" customFormat="1" ht="13.5">
      <c r="A17" s="401" t="s">
        <v>34</v>
      </c>
      <c r="B17" s="402"/>
      <c r="C17" s="402"/>
      <c r="D17" s="125">
        <v>0</v>
      </c>
      <c r="E17" s="125">
        <v>0</v>
      </c>
      <c r="F17" s="154">
        <f t="shared" si="0"/>
        <v>0</v>
      </c>
      <c r="G17" s="145"/>
      <c r="H17" s="127">
        <v>0</v>
      </c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405" t="s">
        <v>35</v>
      </c>
      <c r="B18" s="406"/>
      <c r="C18" s="406"/>
      <c r="D18" s="125">
        <v>127</v>
      </c>
      <c r="E18" s="125">
        <v>325</v>
      </c>
      <c r="F18" s="154">
        <f t="shared" si="0"/>
        <v>198</v>
      </c>
      <c r="G18" s="145">
        <f>E18/D18</f>
        <v>2.559055118110236</v>
      </c>
      <c r="H18" s="127">
        <v>0</v>
      </c>
      <c r="I18" s="128"/>
      <c r="J18" s="156">
        <f t="shared" si="1"/>
        <v>0</v>
      </c>
      <c r="K18" s="144">
        <f t="shared" si="2"/>
        <v>-325</v>
      </c>
      <c r="L18" s="150">
        <f t="shared" si="3"/>
        <v>0</v>
      </c>
    </row>
    <row r="19" spans="1:12" s="101" customFormat="1" ht="13.5">
      <c r="A19" s="401" t="s">
        <v>36</v>
      </c>
      <c r="B19" s="402"/>
      <c r="C19" s="402"/>
      <c r="D19" s="125">
        <v>0</v>
      </c>
      <c r="E19" s="125">
        <v>0</v>
      </c>
      <c r="F19" s="154">
        <f t="shared" si="0"/>
        <v>0</v>
      </c>
      <c r="G19" s="145"/>
      <c r="H19" s="127">
        <v>0</v>
      </c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401" t="s">
        <v>37</v>
      </c>
      <c r="B20" s="402"/>
      <c r="C20" s="402"/>
      <c r="D20" s="125">
        <v>0</v>
      </c>
      <c r="E20" s="138">
        <v>0</v>
      </c>
      <c r="F20" s="154">
        <f t="shared" si="0"/>
        <v>0</v>
      </c>
      <c r="G20" s="145"/>
      <c r="H20" s="122">
        <v>0</v>
      </c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407" t="s">
        <v>38</v>
      </c>
      <c r="B21" s="408"/>
      <c r="C21" s="408"/>
      <c r="D21" s="125">
        <v>109</v>
      </c>
      <c r="E21" s="125">
        <v>132</v>
      </c>
      <c r="F21" s="154">
        <f t="shared" si="0"/>
        <v>23</v>
      </c>
      <c r="G21" s="145">
        <f>E21/D21</f>
        <v>1.2110091743119267</v>
      </c>
      <c r="H21" s="127">
        <v>0</v>
      </c>
      <c r="I21" s="128"/>
      <c r="J21" s="156">
        <f t="shared" si="1"/>
        <v>0</v>
      </c>
      <c r="K21" s="144">
        <f t="shared" si="2"/>
        <v>-132</v>
      </c>
      <c r="L21" s="150">
        <f t="shared" si="3"/>
        <v>0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407" t="s">
        <v>160</v>
      </c>
      <c r="B22" s="409"/>
      <c r="C22" s="409"/>
      <c r="D22" s="125">
        <v>0</v>
      </c>
      <c r="E22" s="125">
        <v>132</v>
      </c>
      <c r="F22" s="154">
        <f t="shared" si="0"/>
        <v>132</v>
      </c>
      <c r="G22" s="145"/>
      <c r="H22" s="127">
        <v>0</v>
      </c>
      <c r="I22" s="128"/>
      <c r="J22" s="156">
        <f t="shared" si="1"/>
        <v>0</v>
      </c>
      <c r="K22" s="144">
        <f t="shared" si="2"/>
        <v>-132</v>
      </c>
      <c r="L22" s="150">
        <f t="shared" si="3"/>
        <v>0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407" t="s">
        <v>161</v>
      </c>
      <c r="B23" s="409"/>
      <c r="C23" s="409"/>
      <c r="D23" s="125">
        <v>0</v>
      </c>
      <c r="E23" s="125">
        <v>0</v>
      </c>
      <c r="F23" s="154">
        <f t="shared" si="0"/>
        <v>0</v>
      </c>
      <c r="G23" s="145"/>
      <c r="H23" s="127">
        <v>0</v>
      </c>
      <c r="I23" s="128"/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2" s="101" customFormat="1" ht="13.5">
      <c r="A24" s="407" t="s">
        <v>162</v>
      </c>
      <c r="B24" s="409"/>
      <c r="C24" s="409"/>
      <c r="D24" s="125">
        <v>0</v>
      </c>
      <c r="E24" s="125">
        <v>0</v>
      </c>
      <c r="F24" s="154">
        <f t="shared" si="0"/>
        <v>0</v>
      </c>
      <c r="G24" s="145"/>
      <c r="H24" s="127">
        <v>0</v>
      </c>
      <c r="I24" s="128"/>
      <c r="J24" s="156">
        <f t="shared" si="1"/>
        <v>0</v>
      </c>
      <c r="K24" s="144">
        <f t="shared" si="2"/>
        <v>0</v>
      </c>
      <c r="L24" s="150"/>
    </row>
    <row r="25" spans="1:12" s="101" customFormat="1" ht="13.5">
      <c r="A25" s="407" t="s">
        <v>163</v>
      </c>
      <c r="B25" s="409"/>
      <c r="C25" s="409"/>
      <c r="D25" s="125">
        <v>0</v>
      </c>
      <c r="E25" s="125">
        <v>0</v>
      </c>
      <c r="F25" s="154">
        <f t="shared" si="0"/>
        <v>0</v>
      </c>
      <c r="G25" s="145"/>
      <c r="H25" s="127">
        <v>0</v>
      </c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405" t="s">
        <v>39</v>
      </c>
      <c r="B26" s="406"/>
      <c r="C26" s="406"/>
      <c r="D26" s="125">
        <v>0</v>
      </c>
      <c r="E26" s="125">
        <v>2</v>
      </c>
      <c r="F26" s="154">
        <f t="shared" si="0"/>
        <v>2</v>
      </c>
      <c r="G26" s="145"/>
      <c r="H26" s="127">
        <v>5</v>
      </c>
      <c r="I26" s="128"/>
      <c r="J26" s="156">
        <f t="shared" si="1"/>
        <v>5</v>
      </c>
      <c r="K26" s="144">
        <f t="shared" si="2"/>
        <v>3</v>
      </c>
      <c r="L26" s="150">
        <f t="shared" si="3"/>
        <v>2.5</v>
      </c>
    </row>
    <row r="27" spans="1:12" s="101" customFormat="1" ht="13.5">
      <c r="A27" s="401" t="s">
        <v>40</v>
      </c>
      <c r="B27" s="402"/>
      <c r="C27" s="402"/>
      <c r="D27" s="125">
        <v>0</v>
      </c>
      <c r="E27" s="125">
        <v>2</v>
      </c>
      <c r="F27" s="154">
        <f t="shared" si="0"/>
        <v>2</v>
      </c>
      <c r="G27" s="145"/>
      <c r="H27" s="127">
        <v>5</v>
      </c>
      <c r="I27" s="128"/>
      <c r="J27" s="156">
        <f t="shared" si="1"/>
        <v>5</v>
      </c>
      <c r="K27" s="144">
        <f t="shared" si="2"/>
        <v>3</v>
      </c>
      <c r="L27" s="150">
        <f t="shared" si="3"/>
        <v>2.5</v>
      </c>
    </row>
    <row r="28" spans="1:12" s="101" customFormat="1" ht="13.5">
      <c r="A28" s="401" t="s">
        <v>41</v>
      </c>
      <c r="B28" s="402"/>
      <c r="C28" s="402"/>
      <c r="D28" s="125">
        <v>0</v>
      </c>
      <c r="E28" s="125">
        <v>0</v>
      </c>
      <c r="F28" s="154">
        <f t="shared" si="0"/>
        <v>0</v>
      </c>
      <c r="G28" s="145"/>
      <c r="H28" s="127">
        <v>0</v>
      </c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405" t="s">
        <v>42</v>
      </c>
      <c r="B29" s="406"/>
      <c r="C29" s="406"/>
      <c r="D29" s="125">
        <v>11146</v>
      </c>
      <c r="E29" s="138">
        <v>13289</v>
      </c>
      <c r="F29" s="154">
        <f t="shared" si="0"/>
        <v>2143</v>
      </c>
      <c r="G29" s="145">
        <f>E29/D29</f>
        <v>1.1922662838686524</v>
      </c>
      <c r="H29" s="122">
        <f>H30+H31+H33</f>
        <v>19264</v>
      </c>
      <c r="I29" s="123"/>
      <c r="J29" s="156">
        <f t="shared" si="1"/>
        <v>19264</v>
      </c>
      <c r="K29" s="144">
        <f t="shared" si="2"/>
        <v>5975</v>
      </c>
      <c r="L29" s="150">
        <f t="shared" si="3"/>
        <v>1.4496199864549628</v>
      </c>
    </row>
    <row r="30" spans="1:14" s="101" customFormat="1" ht="13.5">
      <c r="A30" s="403" t="s">
        <v>164</v>
      </c>
      <c r="B30" s="404"/>
      <c r="C30" s="404"/>
      <c r="D30" s="131">
        <v>2326</v>
      </c>
      <c r="E30" s="131">
        <v>3049</v>
      </c>
      <c r="F30" s="155">
        <f t="shared" si="0"/>
        <v>723</v>
      </c>
      <c r="G30" s="147">
        <f>E30/D30</f>
        <v>1.3108340498710231</v>
      </c>
      <c r="H30" s="363">
        <v>1226</v>
      </c>
      <c r="I30" s="133"/>
      <c r="J30" s="157">
        <f t="shared" si="1"/>
        <v>1226</v>
      </c>
      <c r="K30" s="146">
        <f t="shared" si="2"/>
        <v>-1823</v>
      </c>
      <c r="L30" s="151">
        <f t="shared" si="3"/>
        <v>0.40209904886848147</v>
      </c>
      <c r="N30" s="129"/>
    </row>
    <row r="31" spans="1:12" s="101" customFormat="1" ht="13.5">
      <c r="A31" s="403" t="s">
        <v>43</v>
      </c>
      <c r="B31" s="404"/>
      <c r="C31" s="404"/>
      <c r="D31" s="125">
        <v>8820</v>
      </c>
      <c r="E31" s="125">
        <v>10240</v>
      </c>
      <c r="F31" s="154">
        <f t="shared" si="0"/>
        <v>1420</v>
      </c>
      <c r="G31" s="145">
        <f>E31/D31</f>
        <v>1.1609977324263039</v>
      </c>
      <c r="H31" s="127">
        <v>18038</v>
      </c>
      <c r="I31" s="128"/>
      <c r="J31" s="156">
        <f t="shared" si="1"/>
        <v>18038</v>
      </c>
      <c r="K31" s="144">
        <f t="shared" si="2"/>
        <v>7798</v>
      </c>
      <c r="L31" s="150">
        <f t="shared" si="3"/>
        <v>1.7615234375</v>
      </c>
    </row>
    <row r="32" spans="1:12" s="101" customFormat="1" ht="13.5">
      <c r="A32" s="401" t="s">
        <v>44</v>
      </c>
      <c r="B32" s="402"/>
      <c r="C32" s="402"/>
      <c r="D32" s="138">
        <v>0</v>
      </c>
      <c r="E32" s="138"/>
      <c r="F32" s="154">
        <f t="shared" si="0"/>
        <v>0</v>
      </c>
      <c r="G32" s="145"/>
      <c r="H32" s="122">
        <v>0</v>
      </c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403" t="s">
        <v>45</v>
      </c>
      <c r="B33" s="404"/>
      <c r="C33" s="404"/>
      <c r="D33" s="153">
        <v>0</v>
      </c>
      <c r="E33" s="153"/>
      <c r="F33" s="154">
        <f t="shared" si="0"/>
        <v>0</v>
      </c>
      <c r="G33" s="145"/>
      <c r="H33" s="158"/>
      <c r="I33" s="159"/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410" t="s">
        <v>46</v>
      </c>
      <c r="B34" s="411"/>
      <c r="C34" s="411"/>
      <c r="D34" s="171">
        <f>D29+D18+D7</f>
        <v>22251</v>
      </c>
      <c r="E34" s="172">
        <f>E29+E26+E18+E7</f>
        <v>24821</v>
      </c>
      <c r="F34" s="173">
        <f t="shared" si="0"/>
        <v>2570</v>
      </c>
      <c r="G34" s="174">
        <f>E34/D34</f>
        <v>1.1155004269471036</v>
      </c>
      <c r="H34" s="172">
        <f>H29+H26+H7</f>
        <v>30376</v>
      </c>
      <c r="I34" s="172"/>
      <c r="J34" s="175">
        <f t="shared" si="1"/>
        <v>30376</v>
      </c>
      <c r="K34" s="173">
        <f t="shared" si="2"/>
        <v>5555</v>
      </c>
      <c r="L34" s="176">
        <f t="shared" si="3"/>
        <v>1.223802425365618</v>
      </c>
    </row>
    <row r="35" spans="1:12" s="101" customFormat="1" ht="13.5">
      <c r="A35" s="412" t="s">
        <v>47</v>
      </c>
      <c r="B35" s="413"/>
      <c r="C35" s="413"/>
      <c r="D35" s="135">
        <v>1472</v>
      </c>
      <c r="E35" s="136">
        <v>1365</v>
      </c>
      <c r="F35" s="148">
        <f t="shared" si="0"/>
        <v>-107</v>
      </c>
      <c r="G35" s="149">
        <f>E35/D35</f>
        <v>0.9273097826086957</v>
      </c>
      <c r="H35" s="137">
        <f>SUM(H36:H45)</f>
        <v>3494</v>
      </c>
      <c r="I35" s="137"/>
      <c r="J35" s="134">
        <f t="shared" si="1"/>
        <v>3494</v>
      </c>
      <c r="K35" s="148">
        <f t="shared" si="2"/>
        <v>2129</v>
      </c>
      <c r="L35" s="152">
        <f t="shared" si="3"/>
        <v>2.5597069597069595</v>
      </c>
    </row>
    <row r="36" spans="1:12" s="101" customFormat="1" ht="13.5">
      <c r="A36" s="403" t="s">
        <v>48</v>
      </c>
      <c r="B36" s="404"/>
      <c r="C36" s="404"/>
      <c r="D36" s="125">
        <v>633</v>
      </c>
      <c r="E36" s="126">
        <v>594</v>
      </c>
      <c r="F36" s="144">
        <f t="shared" si="0"/>
        <v>-39</v>
      </c>
      <c r="G36" s="145">
        <f>E36/D36</f>
        <v>0.9383886255924171</v>
      </c>
      <c r="H36" s="127">
        <v>585</v>
      </c>
      <c r="I36" s="128"/>
      <c r="J36" s="124">
        <f t="shared" si="1"/>
        <v>585</v>
      </c>
      <c r="K36" s="144">
        <f t="shared" si="2"/>
        <v>-9</v>
      </c>
      <c r="L36" s="150">
        <f t="shared" si="3"/>
        <v>0.9848484848484849</v>
      </c>
    </row>
    <row r="37" spans="1:12" s="101" customFormat="1" ht="13.5">
      <c r="A37" s="403" t="s">
        <v>49</v>
      </c>
      <c r="B37" s="404"/>
      <c r="C37" s="404"/>
      <c r="D37" s="125">
        <v>93</v>
      </c>
      <c r="E37" s="126">
        <v>103</v>
      </c>
      <c r="F37" s="144">
        <f t="shared" si="0"/>
        <v>10</v>
      </c>
      <c r="G37" s="145">
        <f>E37/D37</f>
        <v>1.10752688172043</v>
      </c>
      <c r="H37" s="127">
        <v>150</v>
      </c>
      <c r="I37" s="128"/>
      <c r="J37" s="124">
        <f t="shared" si="1"/>
        <v>150</v>
      </c>
      <c r="K37" s="144">
        <f t="shared" si="2"/>
        <v>47</v>
      </c>
      <c r="L37" s="150">
        <f t="shared" si="3"/>
        <v>1.4563106796116505</v>
      </c>
    </row>
    <row r="38" spans="1:12" s="101" customFormat="1" ht="13.5">
      <c r="A38" s="403" t="s">
        <v>50</v>
      </c>
      <c r="B38" s="404"/>
      <c r="C38" s="404"/>
      <c r="D38" s="138">
        <v>0</v>
      </c>
      <c r="E38" s="130">
        <v>26</v>
      </c>
      <c r="F38" s="144">
        <f t="shared" si="0"/>
        <v>26</v>
      </c>
      <c r="G38" s="145"/>
      <c r="H38" s="122">
        <v>60</v>
      </c>
      <c r="I38" s="123"/>
      <c r="J38" s="124">
        <f t="shared" si="1"/>
        <v>60</v>
      </c>
      <c r="K38" s="144">
        <f t="shared" si="2"/>
        <v>34</v>
      </c>
      <c r="L38" s="150">
        <f t="shared" si="3"/>
        <v>2.3076923076923075</v>
      </c>
    </row>
    <row r="39" spans="1:12" s="101" customFormat="1" ht="13.5">
      <c r="A39" s="403" t="s">
        <v>51</v>
      </c>
      <c r="B39" s="404"/>
      <c r="C39" s="404"/>
      <c r="D39" s="125">
        <v>0</v>
      </c>
      <c r="E39" s="126">
        <v>15</v>
      </c>
      <c r="F39" s="144">
        <f t="shared" si="0"/>
        <v>15</v>
      </c>
      <c r="G39" s="145"/>
      <c r="H39" s="127">
        <v>30</v>
      </c>
      <c r="I39" s="128"/>
      <c r="J39" s="124">
        <f t="shared" si="1"/>
        <v>30</v>
      </c>
      <c r="K39" s="144">
        <f t="shared" si="2"/>
        <v>15</v>
      </c>
      <c r="L39" s="150">
        <f t="shared" si="3"/>
        <v>2</v>
      </c>
    </row>
    <row r="40" spans="1:12" s="101" customFormat="1" ht="13.5">
      <c r="A40" s="403" t="s">
        <v>52</v>
      </c>
      <c r="B40" s="404"/>
      <c r="C40" s="404"/>
      <c r="D40" s="125">
        <v>0</v>
      </c>
      <c r="E40" s="126">
        <v>41</v>
      </c>
      <c r="F40" s="144">
        <f t="shared" si="0"/>
        <v>41</v>
      </c>
      <c r="G40" s="145"/>
      <c r="H40" s="127">
        <v>90</v>
      </c>
      <c r="I40" s="128"/>
      <c r="J40" s="124">
        <f t="shared" si="1"/>
        <v>90</v>
      </c>
      <c r="K40" s="144">
        <f t="shared" si="2"/>
        <v>49</v>
      </c>
      <c r="L40" s="150">
        <f t="shared" si="3"/>
        <v>2.1951219512195124</v>
      </c>
    </row>
    <row r="41" spans="1:14" s="101" customFormat="1" ht="13.5">
      <c r="A41" s="403" t="s">
        <v>53</v>
      </c>
      <c r="B41" s="404"/>
      <c r="C41" s="404"/>
      <c r="D41" s="125">
        <v>0</v>
      </c>
      <c r="E41" s="126">
        <v>135</v>
      </c>
      <c r="F41" s="144">
        <f t="shared" si="0"/>
        <v>135</v>
      </c>
      <c r="G41" s="145"/>
      <c r="H41" s="127">
        <v>140</v>
      </c>
      <c r="I41" s="128"/>
      <c r="J41" s="124">
        <f t="shared" si="1"/>
        <v>140</v>
      </c>
      <c r="K41" s="144">
        <f t="shared" si="2"/>
        <v>5</v>
      </c>
      <c r="L41" s="150">
        <f t="shared" si="3"/>
        <v>1.037037037037037</v>
      </c>
      <c r="N41" s="129"/>
    </row>
    <row r="42" spans="1:12" s="101" customFormat="1" ht="13.5">
      <c r="A42" s="403" t="s">
        <v>54</v>
      </c>
      <c r="B42" s="404"/>
      <c r="C42" s="404"/>
      <c r="D42" s="125">
        <v>0</v>
      </c>
      <c r="E42" s="126">
        <v>94</v>
      </c>
      <c r="F42" s="144">
        <f t="shared" si="0"/>
        <v>94</v>
      </c>
      <c r="G42" s="145"/>
      <c r="H42" s="127">
        <v>150</v>
      </c>
      <c r="I42" s="128"/>
      <c r="J42" s="124">
        <f t="shared" si="1"/>
        <v>150</v>
      </c>
      <c r="K42" s="144">
        <f t="shared" si="2"/>
        <v>56</v>
      </c>
      <c r="L42" s="150">
        <f t="shared" si="3"/>
        <v>1.5957446808510638</v>
      </c>
    </row>
    <row r="43" spans="1:14" s="101" customFormat="1" ht="13.5">
      <c r="A43" s="403" t="s">
        <v>166</v>
      </c>
      <c r="B43" s="404"/>
      <c r="C43" s="404"/>
      <c r="D43" s="125">
        <v>0</v>
      </c>
      <c r="E43" s="126">
        <v>0</v>
      </c>
      <c r="F43" s="144">
        <f t="shared" si="0"/>
        <v>0</v>
      </c>
      <c r="G43" s="145"/>
      <c r="H43" s="127">
        <v>0</v>
      </c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403" t="s">
        <v>167</v>
      </c>
      <c r="B44" s="404"/>
      <c r="C44" s="404"/>
      <c r="D44" s="125">
        <v>258</v>
      </c>
      <c r="E44" s="126">
        <v>0</v>
      </c>
      <c r="F44" s="144">
        <f t="shared" si="0"/>
        <v>-258</v>
      </c>
      <c r="G44" s="145">
        <f aca="true" t="shared" si="4" ref="G44:G49">E44/D44</f>
        <v>0</v>
      </c>
      <c r="H44" s="127">
        <f>1600+289</f>
        <v>1889</v>
      </c>
      <c r="I44" s="128"/>
      <c r="J44" s="124">
        <f t="shared" si="1"/>
        <v>1889</v>
      </c>
      <c r="K44" s="144">
        <f t="shared" si="2"/>
        <v>1889</v>
      </c>
      <c r="L44" s="150"/>
    </row>
    <row r="45" spans="1:12" s="101" customFormat="1" ht="13.5">
      <c r="A45" s="403" t="s">
        <v>55</v>
      </c>
      <c r="B45" s="404"/>
      <c r="C45" s="404"/>
      <c r="D45" s="125">
        <v>488</v>
      </c>
      <c r="E45" s="126">
        <v>357</v>
      </c>
      <c r="F45" s="144">
        <f t="shared" si="0"/>
        <v>-131</v>
      </c>
      <c r="G45" s="145">
        <f t="shared" si="4"/>
        <v>0.7315573770491803</v>
      </c>
      <c r="H45" s="127">
        <v>400</v>
      </c>
      <c r="I45" s="128"/>
      <c r="J45" s="124">
        <f t="shared" si="1"/>
        <v>400</v>
      </c>
      <c r="K45" s="144">
        <f t="shared" si="2"/>
        <v>43</v>
      </c>
      <c r="L45" s="150">
        <f t="shared" si="3"/>
        <v>1.1204481792717087</v>
      </c>
    </row>
    <row r="46" spans="1:14" s="101" customFormat="1" ht="13.5">
      <c r="A46" s="412" t="s">
        <v>56</v>
      </c>
      <c r="B46" s="413"/>
      <c r="C46" s="413"/>
      <c r="D46" s="125">
        <v>610</v>
      </c>
      <c r="E46" s="126">
        <v>900</v>
      </c>
      <c r="F46" s="144">
        <f t="shared" si="0"/>
        <v>290</v>
      </c>
      <c r="G46" s="145">
        <f t="shared" si="4"/>
        <v>1.4754098360655739</v>
      </c>
      <c r="H46" s="127">
        <f>SUM(H47:H49)</f>
        <v>1100</v>
      </c>
      <c r="I46" s="127"/>
      <c r="J46" s="124">
        <f t="shared" si="1"/>
        <v>1100</v>
      </c>
      <c r="K46" s="144">
        <f t="shared" si="2"/>
        <v>200</v>
      </c>
      <c r="L46" s="150">
        <f t="shared" si="3"/>
        <v>1.2222222222222223</v>
      </c>
      <c r="N46" s="129"/>
    </row>
    <row r="47" spans="1:12" s="101" customFormat="1" ht="13.5">
      <c r="A47" s="403" t="s">
        <v>57</v>
      </c>
      <c r="B47" s="404"/>
      <c r="C47" s="404"/>
      <c r="D47" s="125">
        <v>208</v>
      </c>
      <c r="E47" s="126">
        <v>306</v>
      </c>
      <c r="F47" s="144">
        <f t="shared" si="0"/>
        <v>98</v>
      </c>
      <c r="G47" s="145">
        <f t="shared" si="4"/>
        <v>1.4711538461538463</v>
      </c>
      <c r="H47" s="127">
        <v>400</v>
      </c>
      <c r="I47" s="128"/>
      <c r="J47" s="124">
        <f t="shared" si="1"/>
        <v>400</v>
      </c>
      <c r="K47" s="144">
        <f t="shared" si="2"/>
        <v>94</v>
      </c>
      <c r="L47" s="150">
        <f t="shared" si="3"/>
        <v>1.3071895424836601</v>
      </c>
    </row>
    <row r="48" spans="1:12" s="101" customFormat="1" ht="13.5">
      <c r="A48" s="403" t="s">
        <v>58</v>
      </c>
      <c r="B48" s="404"/>
      <c r="C48" s="404"/>
      <c r="D48" s="125">
        <v>284</v>
      </c>
      <c r="E48" s="126">
        <v>435</v>
      </c>
      <c r="F48" s="144">
        <f t="shared" si="0"/>
        <v>151</v>
      </c>
      <c r="G48" s="145">
        <f t="shared" si="4"/>
        <v>1.5316901408450705</v>
      </c>
      <c r="H48" s="127">
        <v>450</v>
      </c>
      <c r="I48" s="128"/>
      <c r="J48" s="124">
        <f t="shared" si="1"/>
        <v>450</v>
      </c>
      <c r="K48" s="144">
        <f t="shared" si="2"/>
        <v>15</v>
      </c>
      <c r="L48" s="150">
        <f t="shared" si="3"/>
        <v>1.0344827586206897</v>
      </c>
    </row>
    <row r="49" spans="1:12" s="101" customFormat="1" ht="13.5">
      <c r="A49" s="403" t="s">
        <v>59</v>
      </c>
      <c r="B49" s="404"/>
      <c r="C49" s="404"/>
      <c r="D49" s="125">
        <v>118</v>
      </c>
      <c r="E49" s="126">
        <v>159</v>
      </c>
      <c r="F49" s="144">
        <f t="shared" si="0"/>
        <v>41</v>
      </c>
      <c r="G49" s="145">
        <f t="shared" si="4"/>
        <v>1.347457627118644</v>
      </c>
      <c r="H49" s="127">
        <v>250</v>
      </c>
      <c r="I49" s="128"/>
      <c r="J49" s="124">
        <f t="shared" si="1"/>
        <v>250</v>
      </c>
      <c r="K49" s="144">
        <f t="shared" si="2"/>
        <v>91</v>
      </c>
      <c r="L49" s="150">
        <f t="shared" si="3"/>
        <v>1.5723270440251573</v>
      </c>
    </row>
    <row r="50" spans="1:12" s="101" customFormat="1" ht="13.5">
      <c r="A50" s="403" t="s">
        <v>168</v>
      </c>
      <c r="B50" s="404"/>
      <c r="C50" s="404"/>
      <c r="D50" s="125">
        <v>0</v>
      </c>
      <c r="E50" s="126">
        <v>0</v>
      </c>
      <c r="F50" s="144">
        <f t="shared" si="0"/>
        <v>0</v>
      </c>
      <c r="G50" s="145"/>
      <c r="H50" s="127">
        <v>0</v>
      </c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412" t="s">
        <v>60</v>
      </c>
      <c r="B51" s="413"/>
      <c r="C51" s="413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/>
      <c r="J51" s="124">
        <f t="shared" si="1"/>
        <v>0</v>
      </c>
      <c r="K51" s="144">
        <f t="shared" si="2"/>
        <v>0</v>
      </c>
      <c r="L51" s="150"/>
    </row>
    <row r="52" spans="1:12" s="101" customFormat="1" ht="13.5">
      <c r="A52" s="412" t="s">
        <v>61</v>
      </c>
      <c r="B52" s="413"/>
      <c r="C52" s="413"/>
      <c r="D52" s="125">
        <v>0</v>
      </c>
      <c r="E52" s="126">
        <v>0</v>
      </c>
      <c r="F52" s="144">
        <f t="shared" si="0"/>
        <v>0</v>
      </c>
      <c r="G52" s="145"/>
      <c r="H52" s="127">
        <v>0</v>
      </c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412" t="s">
        <v>62</v>
      </c>
      <c r="B53" s="413"/>
      <c r="C53" s="413"/>
      <c r="D53" s="125">
        <v>108</v>
      </c>
      <c r="E53" s="126">
        <v>73</v>
      </c>
      <c r="F53" s="144">
        <f t="shared" si="0"/>
        <v>-35</v>
      </c>
      <c r="G53" s="145">
        <f>E53/D53</f>
        <v>0.6759259259259259</v>
      </c>
      <c r="H53" s="127">
        <f>H56+H55</f>
        <v>105</v>
      </c>
      <c r="I53" s="128"/>
      <c r="J53" s="124">
        <f t="shared" si="1"/>
        <v>105</v>
      </c>
      <c r="K53" s="144">
        <f t="shared" si="2"/>
        <v>32</v>
      </c>
      <c r="L53" s="150">
        <f t="shared" si="3"/>
        <v>1.4383561643835616</v>
      </c>
    </row>
    <row r="54" spans="1:12" s="101" customFormat="1" ht="13.5">
      <c r="A54" s="414" t="s">
        <v>63</v>
      </c>
      <c r="B54" s="415"/>
      <c r="C54" s="415"/>
      <c r="D54" s="125">
        <v>0</v>
      </c>
      <c r="E54" s="126">
        <v>0</v>
      </c>
      <c r="F54" s="144">
        <f t="shared" si="0"/>
        <v>0</v>
      </c>
      <c r="G54" s="145"/>
      <c r="H54" s="127">
        <v>0</v>
      </c>
      <c r="I54" s="128"/>
      <c r="J54" s="124">
        <f t="shared" si="1"/>
        <v>0</v>
      </c>
      <c r="K54" s="144">
        <f t="shared" si="2"/>
        <v>0</v>
      </c>
      <c r="L54" s="150"/>
    </row>
    <row r="55" spans="1:12" s="101" customFormat="1" ht="13.5">
      <c r="A55" s="414" t="s">
        <v>169</v>
      </c>
      <c r="B55" s="415"/>
      <c r="C55" s="415"/>
      <c r="D55" s="125">
        <v>0</v>
      </c>
      <c r="E55" s="126">
        <v>68</v>
      </c>
      <c r="F55" s="144">
        <f t="shared" si="0"/>
        <v>68</v>
      </c>
      <c r="G55" s="145"/>
      <c r="H55" s="127">
        <v>85</v>
      </c>
      <c r="I55" s="128"/>
      <c r="J55" s="124">
        <f t="shared" si="1"/>
        <v>85</v>
      </c>
      <c r="K55" s="144">
        <f t="shared" si="2"/>
        <v>17</v>
      </c>
      <c r="L55" s="150">
        <f t="shared" si="3"/>
        <v>1.25</v>
      </c>
    </row>
    <row r="56" spans="1:12" s="101" customFormat="1" ht="13.5">
      <c r="A56" s="414" t="s">
        <v>133</v>
      </c>
      <c r="B56" s="415"/>
      <c r="C56" s="415"/>
      <c r="D56" s="125">
        <v>0</v>
      </c>
      <c r="E56" s="126">
        <v>5</v>
      </c>
      <c r="F56" s="144">
        <f t="shared" si="0"/>
        <v>5</v>
      </c>
      <c r="G56" s="145"/>
      <c r="H56" s="127">
        <v>20</v>
      </c>
      <c r="I56" s="128"/>
      <c r="J56" s="124">
        <f t="shared" si="1"/>
        <v>20</v>
      </c>
      <c r="K56" s="144">
        <f t="shared" si="2"/>
        <v>15</v>
      </c>
      <c r="L56" s="150">
        <f t="shared" si="3"/>
        <v>4</v>
      </c>
    </row>
    <row r="57" spans="1:12" s="101" customFormat="1" ht="13.5">
      <c r="A57" s="412" t="s">
        <v>64</v>
      </c>
      <c r="B57" s="413"/>
      <c r="C57" s="413"/>
      <c r="D57" s="125">
        <v>107</v>
      </c>
      <c r="E57" s="126">
        <v>144</v>
      </c>
      <c r="F57" s="144">
        <f t="shared" si="0"/>
        <v>37</v>
      </c>
      <c r="G57" s="145">
        <f>E57/D57</f>
        <v>1.3457943925233644</v>
      </c>
      <c r="H57" s="127">
        <v>180</v>
      </c>
      <c r="I57" s="128"/>
      <c r="J57" s="124">
        <f t="shared" si="1"/>
        <v>180</v>
      </c>
      <c r="K57" s="144">
        <f t="shared" si="2"/>
        <v>36</v>
      </c>
      <c r="L57" s="150">
        <f t="shared" si="3"/>
        <v>1.25</v>
      </c>
    </row>
    <row r="58" spans="1:12" s="101" customFormat="1" ht="13.5">
      <c r="A58" s="412" t="s">
        <v>65</v>
      </c>
      <c r="B58" s="413"/>
      <c r="C58" s="413"/>
      <c r="D58" s="125">
        <v>5</v>
      </c>
      <c r="E58" s="126">
        <v>4</v>
      </c>
      <c r="F58" s="144">
        <f t="shared" si="0"/>
        <v>-1</v>
      </c>
      <c r="G58" s="145">
        <f>E58/D58</f>
        <v>0.8</v>
      </c>
      <c r="H58" s="127">
        <v>20</v>
      </c>
      <c r="I58" s="128"/>
      <c r="J58" s="124">
        <f t="shared" si="1"/>
        <v>20</v>
      </c>
      <c r="K58" s="144">
        <f t="shared" si="2"/>
        <v>16</v>
      </c>
      <c r="L58" s="150">
        <f t="shared" si="3"/>
        <v>5</v>
      </c>
    </row>
    <row r="59" spans="1:14" s="101" customFormat="1" ht="13.5">
      <c r="A59" s="412" t="s">
        <v>66</v>
      </c>
      <c r="B59" s="413"/>
      <c r="C59" s="413"/>
      <c r="D59" s="125">
        <v>4968</v>
      </c>
      <c r="E59" s="126">
        <v>4688</v>
      </c>
      <c r="F59" s="144">
        <f t="shared" si="0"/>
        <v>-280</v>
      </c>
      <c r="G59" s="145">
        <f>E59/D59</f>
        <v>0.9436392914653784</v>
      </c>
      <c r="H59" s="127">
        <f>SUM(H60:H68)</f>
        <v>3740</v>
      </c>
      <c r="I59" s="128"/>
      <c r="J59" s="124">
        <f t="shared" si="1"/>
        <v>3740</v>
      </c>
      <c r="K59" s="144">
        <f t="shared" si="2"/>
        <v>-948</v>
      </c>
      <c r="L59" s="150">
        <f t="shared" si="3"/>
        <v>0.7977815699658704</v>
      </c>
      <c r="N59" s="129"/>
    </row>
    <row r="60" spans="1:12" s="101" customFormat="1" ht="13.5">
      <c r="A60" s="403" t="s">
        <v>67</v>
      </c>
      <c r="B60" s="404"/>
      <c r="C60" s="404"/>
      <c r="D60" s="125">
        <v>149</v>
      </c>
      <c r="E60" s="126">
        <v>149</v>
      </c>
      <c r="F60" s="144">
        <f t="shared" si="0"/>
        <v>0</v>
      </c>
      <c r="G60" s="145">
        <f>E60/D60</f>
        <v>1</v>
      </c>
      <c r="H60" s="127">
        <v>149</v>
      </c>
      <c r="I60" s="128"/>
      <c r="J60" s="124">
        <f t="shared" si="1"/>
        <v>149</v>
      </c>
      <c r="K60" s="144">
        <f t="shared" si="2"/>
        <v>0</v>
      </c>
      <c r="L60" s="150">
        <f t="shared" si="3"/>
        <v>1</v>
      </c>
    </row>
    <row r="61" spans="1:12" s="101" customFormat="1" ht="13.5">
      <c r="A61" s="403" t="s">
        <v>68</v>
      </c>
      <c r="B61" s="404"/>
      <c r="C61" s="404"/>
      <c r="D61" s="125">
        <v>2989</v>
      </c>
      <c r="E61" s="126">
        <v>2669</v>
      </c>
      <c r="F61" s="144">
        <f t="shared" si="0"/>
        <v>-320</v>
      </c>
      <c r="G61" s="145">
        <f>E61/D61</f>
        <v>0.8929407828705253</v>
      </c>
      <c r="H61" s="127">
        <v>1500</v>
      </c>
      <c r="I61" s="128"/>
      <c r="J61" s="124">
        <f t="shared" si="1"/>
        <v>1500</v>
      </c>
      <c r="K61" s="144">
        <f t="shared" si="2"/>
        <v>-1169</v>
      </c>
      <c r="L61" s="150">
        <f t="shared" si="3"/>
        <v>0.5620082427875609</v>
      </c>
    </row>
    <row r="62" spans="1:12" s="101" customFormat="1" ht="13.5">
      <c r="A62" s="403" t="s">
        <v>69</v>
      </c>
      <c r="B62" s="404"/>
      <c r="C62" s="404"/>
      <c r="D62" s="125"/>
      <c r="E62" s="126">
        <v>0</v>
      </c>
      <c r="F62" s="144">
        <f t="shared" si="0"/>
        <v>0</v>
      </c>
      <c r="G62" s="145"/>
      <c r="H62" s="127">
        <v>0</v>
      </c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403" t="s">
        <v>70</v>
      </c>
      <c r="B63" s="404"/>
      <c r="C63" s="404"/>
      <c r="D63" s="125"/>
      <c r="E63" s="126">
        <v>412</v>
      </c>
      <c r="F63" s="144">
        <f t="shared" si="0"/>
        <v>412</v>
      </c>
      <c r="G63" s="145"/>
      <c r="H63" s="127">
        <v>250</v>
      </c>
      <c r="I63" s="128"/>
      <c r="J63" s="124">
        <f t="shared" si="1"/>
        <v>250</v>
      </c>
      <c r="K63" s="144">
        <f t="shared" si="2"/>
        <v>-162</v>
      </c>
      <c r="L63" s="150">
        <f t="shared" si="3"/>
        <v>0.6067961165048543</v>
      </c>
    </row>
    <row r="64" spans="1:12" s="101" customFormat="1" ht="13.5">
      <c r="A64" s="403" t="s">
        <v>71</v>
      </c>
      <c r="B64" s="404"/>
      <c r="C64" s="404"/>
      <c r="D64" s="125"/>
      <c r="E64" s="126">
        <v>936</v>
      </c>
      <c r="F64" s="144">
        <f t="shared" si="0"/>
        <v>936</v>
      </c>
      <c r="G64" s="145"/>
      <c r="H64" s="127">
        <v>1041</v>
      </c>
      <c r="I64" s="128"/>
      <c r="J64" s="124">
        <f t="shared" si="1"/>
        <v>1041</v>
      </c>
      <c r="K64" s="144">
        <f t="shared" si="2"/>
        <v>105</v>
      </c>
      <c r="L64" s="150">
        <f t="shared" si="3"/>
        <v>1.1121794871794872</v>
      </c>
    </row>
    <row r="65" spans="1:12" s="101" customFormat="1" ht="13.5">
      <c r="A65" s="403" t="s">
        <v>170</v>
      </c>
      <c r="B65" s="404"/>
      <c r="C65" s="404"/>
      <c r="D65" s="125"/>
      <c r="E65" s="126">
        <v>60</v>
      </c>
      <c r="F65" s="144">
        <f t="shared" si="0"/>
        <v>60</v>
      </c>
      <c r="G65" s="145"/>
      <c r="H65" s="127">
        <v>100</v>
      </c>
      <c r="I65" s="128"/>
      <c r="J65" s="124">
        <f t="shared" si="1"/>
        <v>100</v>
      </c>
      <c r="K65" s="144">
        <f t="shared" si="2"/>
        <v>40</v>
      </c>
      <c r="L65" s="150">
        <f t="shared" si="3"/>
        <v>1.6666666666666667</v>
      </c>
    </row>
    <row r="66" spans="1:12" s="101" customFormat="1" ht="13.5">
      <c r="A66" s="403" t="s">
        <v>72</v>
      </c>
      <c r="B66" s="404"/>
      <c r="C66" s="404"/>
      <c r="D66" s="125"/>
      <c r="E66" s="126">
        <v>19</v>
      </c>
      <c r="F66" s="144">
        <f t="shared" si="0"/>
        <v>19</v>
      </c>
      <c r="G66" s="145"/>
      <c r="H66" s="127">
        <v>120</v>
      </c>
      <c r="I66" s="128"/>
      <c r="J66" s="124">
        <f t="shared" si="1"/>
        <v>120</v>
      </c>
      <c r="K66" s="144">
        <f t="shared" si="2"/>
        <v>101</v>
      </c>
      <c r="L66" s="150">
        <f t="shared" si="3"/>
        <v>6.315789473684211</v>
      </c>
    </row>
    <row r="67" spans="1:12" s="101" customFormat="1" ht="13.5">
      <c r="A67" s="403" t="s">
        <v>73</v>
      </c>
      <c r="B67" s="404"/>
      <c r="C67" s="404"/>
      <c r="D67" s="125">
        <v>1830</v>
      </c>
      <c r="E67" s="126">
        <v>443</v>
      </c>
      <c r="F67" s="144">
        <f t="shared" si="0"/>
        <v>-1387</v>
      </c>
      <c r="G67" s="145">
        <f>E67/D67</f>
        <v>0.24207650273224043</v>
      </c>
      <c r="H67" s="127">
        <v>580</v>
      </c>
      <c r="I67" s="128"/>
      <c r="J67" s="124">
        <f t="shared" si="1"/>
        <v>580</v>
      </c>
      <c r="K67" s="144">
        <f t="shared" si="2"/>
        <v>137</v>
      </c>
      <c r="L67" s="150">
        <f t="shared" si="3"/>
        <v>1.309255079006772</v>
      </c>
    </row>
    <row r="68" spans="1:12" s="101" customFormat="1" ht="13.5">
      <c r="A68" s="403" t="s">
        <v>171</v>
      </c>
      <c r="B68" s="404"/>
      <c r="C68" s="404"/>
      <c r="D68" s="125"/>
      <c r="E68" s="126">
        <v>0</v>
      </c>
      <c r="F68" s="144">
        <f t="shared" si="0"/>
        <v>0</v>
      </c>
      <c r="G68" s="145"/>
      <c r="H68" s="127">
        <v>0</v>
      </c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412" t="s">
        <v>74</v>
      </c>
      <c r="B69" s="413"/>
      <c r="C69" s="413"/>
      <c r="D69" s="125">
        <v>14575</v>
      </c>
      <c r="E69" s="126">
        <v>16524</v>
      </c>
      <c r="F69" s="144">
        <f t="shared" si="0"/>
        <v>1949</v>
      </c>
      <c r="G69" s="145">
        <f>E69/D69</f>
        <v>1.133722126929674</v>
      </c>
      <c r="H69" s="127">
        <f>H70+H74</f>
        <v>20265</v>
      </c>
      <c r="I69" s="128"/>
      <c r="J69" s="124">
        <f t="shared" si="1"/>
        <v>20265</v>
      </c>
      <c r="K69" s="144">
        <f t="shared" si="2"/>
        <v>3741</v>
      </c>
      <c r="L69" s="150">
        <f t="shared" si="3"/>
        <v>1.226397966594045</v>
      </c>
      <c r="N69" s="129"/>
    </row>
    <row r="70" spans="1:12" s="101" customFormat="1" ht="13.5">
      <c r="A70" s="403" t="s">
        <v>75</v>
      </c>
      <c r="B70" s="404"/>
      <c r="C70" s="404"/>
      <c r="D70" s="125">
        <v>10646</v>
      </c>
      <c r="E70" s="126">
        <v>12153</v>
      </c>
      <c r="F70" s="144">
        <f t="shared" si="0"/>
        <v>1507</v>
      </c>
      <c r="G70" s="145">
        <f>E70/D70</f>
        <v>1.141555513808003</v>
      </c>
      <c r="H70" s="127">
        <f>H71+H73</f>
        <v>15250</v>
      </c>
      <c r="I70" s="128"/>
      <c r="J70" s="124">
        <f t="shared" si="1"/>
        <v>15250</v>
      </c>
      <c r="K70" s="144">
        <f t="shared" si="2"/>
        <v>3097</v>
      </c>
      <c r="L70" s="150">
        <f t="shared" si="3"/>
        <v>1.2548341973175348</v>
      </c>
    </row>
    <row r="71" spans="1:12" s="101" customFormat="1" ht="13.5">
      <c r="A71" s="403" t="s">
        <v>76</v>
      </c>
      <c r="B71" s="404"/>
      <c r="C71" s="404"/>
      <c r="D71" s="125">
        <v>10560</v>
      </c>
      <c r="E71" s="126">
        <v>11926</v>
      </c>
      <c r="F71" s="144">
        <f t="shared" si="0"/>
        <v>1366</v>
      </c>
      <c r="G71" s="145">
        <f>E71/D71</f>
        <v>1.1293560606060606</v>
      </c>
      <c r="H71" s="127">
        <f>H72+H73</f>
        <v>15000</v>
      </c>
      <c r="I71" s="128"/>
      <c r="J71" s="124">
        <f t="shared" si="1"/>
        <v>15000</v>
      </c>
      <c r="K71" s="144">
        <f t="shared" si="2"/>
        <v>3074</v>
      </c>
      <c r="L71" s="150">
        <f t="shared" si="3"/>
        <v>1.2577561630051988</v>
      </c>
    </row>
    <row r="72" spans="1:12" s="101" customFormat="1" ht="13.5">
      <c r="A72" s="403" t="s">
        <v>172</v>
      </c>
      <c r="B72" s="404"/>
      <c r="C72" s="404"/>
      <c r="D72" s="125"/>
      <c r="E72" s="126">
        <v>11833</v>
      </c>
      <c r="F72" s="144">
        <f t="shared" si="0"/>
        <v>11833</v>
      </c>
      <c r="G72" s="145"/>
      <c r="H72" s="127">
        <v>14750</v>
      </c>
      <c r="I72" s="128"/>
      <c r="J72" s="124">
        <f t="shared" si="1"/>
        <v>14750</v>
      </c>
      <c r="K72" s="144">
        <f t="shared" si="2"/>
        <v>2917</v>
      </c>
      <c r="L72" s="150">
        <f t="shared" si="3"/>
        <v>1.2465139863094734</v>
      </c>
    </row>
    <row r="73" spans="1:14" s="101" customFormat="1" ht="13.5">
      <c r="A73" s="403" t="s">
        <v>77</v>
      </c>
      <c r="B73" s="404"/>
      <c r="C73" s="404"/>
      <c r="D73" s="125">
        <v>86</v>
      </c>
      <c r="E73" s="126">
        <v>227</v>
      </c>
      <c r="F73" s="144">
        <f t="shared" si="0"/>
        <v>141</v>
      </c>
      <c r="G73" s="145">
        <f>E73/D73</f>
        <v>2.63953488372093</v>
      </c>
      <c r="H73" s="127">
        <v>250</v>
      </c>
      <c r="I73" s="128"/>
      <c r="J73" s="124">
        <f t="shared" si="1"/>
        <v>250</v>
      </c>
      <c r="K73" s="144">
        <f t="shared" si="2"/>
        <v>23</v>
      </c>
      <c r="L73" s="150">
        <f t="shared" si="3"/>
        <v>1.1013215859030836</v>
      </c>
      <c r="N73" s="129"/>
    </row>
    <row r="74" spans="1:12" s="101" customFormat="1" ht="13.5">
      <c r="A74" s="403" t="s">
        <v>78</v>
      </c>
      <c r="B74" s="404"/>
      <c r="C74" s="404"/>
      <c r="D74" s="125">
        <v>3929</v>
      </c>
      <c r="E74" s="126">
        <v>4371</v>
      </c>
      <c r="F74" s="144">
        <f t="shared" si="0"/>
        <v>442</v>
      </c>
      <c r="G74" s="145">
        <f>E74/D74</f>
        <v>1.1124968185288877</v>
      </c>
      <c r="H74" s="127">
        <v>5015</v>
      </c>
      <c r="I74" s="128"/>
      <c r="J74" s="124">
        <f t="shared" si="1"/>
        <v>5015</v>
      </c>
      <c r="K74" s="144">
        <f t="shared" si="2"/>
        <v>644</v>
      </c>
      <c r="L74" s="150">
        <f t="shared" si="3"/>
        <v>1.1473347060169297</v>
      </c>
    </row>
    <row r="75" spans="1:15" s="101" customFormat="1" ht="13.5">
      <c r="A75" s="412" t="s">
        <v>79</v>
      </c>
      <c r="B75" s="413"/>
      <c r="C75" s="413"/>
      <c r="D75" s="125">
        <v>2</v>
      </c>
      <c r="E75" s="126">
        <v>5</v>
      </c>
      <c r="F75" s="144">
        <f t="shared" si="0"/>
        <v>3</v>
      </c>
      <c r="G75" s="145">
        <f>E75/D75</f>
        <v>2.5</v>
      </c>
      <c r="H75" s="127">
        <v>5</v>
      </c>
      <c r="I75" s="128"/>
      <c r="J75" s="124">
        <f t="shared" si="1"/>
        <v>5</v>
      </c>
      <c r="K75" s="144">
        <f t="shared" si="2"/>
        <v>0</v>
      </c>
      <c r="L75" s="150">
        <f t="shared" si="3"/>
        <v>1</v>
      </c>
      <c r="N75" s="129"/>
      <c r="O75" s="139"/>
    </row>
    <row r="76" spans="1:12" s="101" customFormat="1" ht="13.5">
      <c r="A76" s="403" t="s">
        <v>80</v>
      </c>
      <c r="B76" s="404"/>
      <c r="C76" s="404"/>
      <c r="D76" s="125"/>
      <c r="E76" s="126"/>
      <c r="F76" s="144">
        <f aca="true" t="shared" si="5" ref="F76:F90">E76-D76</f>
        <v>0</v>
      </c>
      <c r="G76" s="145"/>
      <c r="H76" s="127">
        <v>0</v>
      </c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412" t="s">
        <v>81</v>
      </c>
      <c r="B77" s="413"/>
      <c r="C77" s="413"/>
      <c r="D77" s="125">
        <v>87</v>
      </c>
      <c r="E77" s="126">
        <v>232</v>
      </c>
      <c r="F77" s="144">
        <f t="shared" si="5"/>
        <v>145</v>
      </c>
      <c r="G77" s="145">
        <f>E77/D77</f>
        <v>2.6666666666666665</v>
      </c>
      <c r="H77" s="127">
        <v>250</v>
      </c>
      <c r="I77" s="128"/>
      <c r="J77" s="124">
        <f t="shared" si="6"/>
        <v>250</v>
      </c>
      <c r="K77" s="144">
        <f t="shared" si="7"/>
        <v>18</v>
      </c>
      <c r="L77" s="150">
        <f>J77/E77</f>
        <v>1.0775862068965518</v>
      </c>
    </row>
    <row r="78" spans="1:12" s="101" customFormat="1" ht="13.5">
      <c r="A78" s="403" t="s">
        <v>82</v>
      </c>
      <c r="B78" s="404"/>
      <c r="C78" s="404"/>
      <c r="D78" s="138"/>
      <c r="E78" s="130"/>
      <c r="F78" s="144">
        <f t="shared" si="5"/>
        <v>0</v>
      </c>
      <c r="G78" s="145"/>
      <c r="H78" s="122">
        <v>0</v>
      </c>
      <c r="I78" s="123"/>
      <c r="J78" s="124">
        <f t="shared" si="6"/>
        <v>0</v>
      </c>
      <c r="K78" s="144">
        <f t="shared" si="7"/>
        <v>0</v>
      </c>
      <c r="L78" s="150"/>
    </row>
    <row r="79" spans="1:12" s="101" customFormat="1" ht="13.5">
      <c r="A79" s="403" t="s">
        <v>83</v>
      </c>
      <c r="B79" s="404"/>
      <c r="C79" s="404"/>
      <c r="D79" s="125"/>
      <c r="E79" s="126"/>
      <c r="F79" s="144">
        <f t="shared" si="5"/>
        <v>0</v>
      </c>
      <c r="G79" s="145"/>
      <c r="H79" s="127">
        <v>0</v>
      </c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412" t="s">
        <v>84</v>
      </c>
      <c r="B80" s="413"/>
      <c r="C80" s="413"/>
      <c r="D80" s="125">
        <v>198</v>
      </c>
      <c r="E80" s="126">
        <v>628</v>
      </c>
      <c r="F80" s="144">
        <f t="shared" si="5"/>
        <v>430</v>
      </c>
      <c r="G80" s="145">
        <f>E80/D80</f>
        <v>3.1717171717171717</v>
      </c>
      <c r="H80" s="127">
        <f>H81+H84</f>
        <v>1217</v>
      </c>
      <c r="I80" s="128"/>
      <c r="J80" s="124">
        <f t="shared" si="6"/>
        <v>1217</v>
      </c>
      <c r="K80" s="144">
        <f t="shared" si="7"/>
        <v>589</v>
      </c>
      <c r="L80" s="150">
        <f>J80/E80</f>
        <v>1.9378980891719746</v>
      </c>
    </row>
    <row r="81" spans="1:12" s="101" customFormat="1" ht="13.5">
      <c r="A81" s="403" t="s">
        <v>85</v>
      </c>
      <c r="B81" s="404"/>
      <c r="C81" s="404"/>
      <c r="D81" s="125">
        <v>198</v>
      </c>
      <c r="E81" s="126">
        <v>288</v>
      </c>
      <c r="F81" s="144">
        <f t="shared" si="5"/>
        <v>90</v>
      </c>
      <c r="G81" s="145">
        <f>E81/D81</f>
        <v>1.4545454545454546</v>
      </c>
      <c r="H81" s="366">
        <v>267</v>
      </c>
      <c r="I81" s="128"/>
      <c r="J81" s="124">
        <f t="shared" si="6"/>
        <v>267</v>
      </c>
      <c r="K81" s="144">
        <f t="shared" si="7"/>
        <v>-21</v>
      </c>
      <c r="L81" s="150">
        <f>J81/E81</f>
        <v>0.9270833333333334</v>
      </c>
    </row>
    <row r="82" spans="1:12" s="101" customFormat="1" ht="13.5">
      <c r="A82" s="403" t="s">
        <v>86</v>
      </c>
      <c r="B82" s="404"/>
      <c r="C82" s="404"/>
      <c r="D82" s="125"/>
      <c r="E82" s="126"/>
      <c r="F82" s="144">
        <f t="shared" si="5"/>
        <v>0</v>
      </c>
      <c r="G82" s="145"/>
      <c r="H82" s="127">
        <v>0</v>
      </c>
      <c r="I82" s="128"/>
      <c r="J82" s="124">
        <f t="shared" si="6"/>
        <v>0</v>
      </c>
      <c r="K82" s="144">
        <f t="shared" si="7"/>
        <v>0</v>
      </c>
      <c r="L82" s="150"/>
    </row>
    <row r="83" spans="1:12" s="101" customFormat="1" ht="13.5">
      <c r="A83" s="403" t="s">
        <v>173</v>
      </c>
      <c r="B83" s="404"/>
      <c r="C83" s="404"/>
      <c r="D83" s="125"/>
      <c r="E83" s="126"/>
      <c r="F83" s="144">
        <f t="shared" si="5"/>
        <v>0</v>
      </c>
      <c r="G83" s="145"/>
      <c r="H83" s="127">
        <v>0</v>
      </c>
      <c r="I83" s="128"/>
      <c r="J83" s="124">
        <f t="shared" si="6"/>
        <v>0</v>
      </c>
      <c r="K83" s="144">
        <f t="shared" si="7"/>
        <v>0</v>
      </c>
      <c r="L83" s="150"/>
    </row>
    <row r="84" spans="1:12" s="101" customFormat="1" ht="13.5">
      <c r="A84" s="403" t="s">
        <v>87</v>
      </c>
      <c r="B84" s="404"/>
      <c r="C84" s="404"/>
      <c r="D84" s="125"/>
      <c r="E84" s="126">
        <v>340</v>
      </c>
      <c r="F84" s="144">
        <f t="shared" si="5"/>
        <v>340</v>
      </c>
      <c r="G84" s="145"/>
      <c r="H84" s="127">
        <v>950</v>
      </c>
      <c r="I84" s="128"/>
      <c r="J84" s="124">
        <f t="shared" si="6"/>
        <v>950</v>
      </c>
      <c r="K84" s="144">
        <f t="shared" si="7"/>
        <v>610</v>
      </c>
      <c r="L84" s="150">
        <f>J84/E84</f>
        <v>2.7941176470588234</v>
      </c>
    </row>
    <row r="85" spans="1:12" s="101" customFormat="1" ht="13.5">
      <c r="A85" s="403" t="s">
        <v>174</v>
      </c>
      <c r="B85" s="404"/>
      <c r="C85" s="404"/>
      <c r="D85" s="125"/>
      <c r="E85" s="126">
        <v>340</v>
      </c>
      <c r="F85" s="144">
        <f t="shared" si="5"/>
        <v>340</v>
      </c>
      <c r="G85" s="145"/>
      <c r="H85" s="127">
        <v>950</v>
      </c>
      <c r="I85" s="128"/>
      <c r="J85" s="124">
        <f t="shared" si="6"/>
        <v>950</v>
      </c>
      <c r="K85" s="144">
        <f t="shared" si="7"/>
        <v>610</v>
      </c>
      <c r="L85" s="150">
        <f>J85/E85</f>
        <v>2.7941176470588234</v>
      </c>
    </row>
    <row r="86" spans="1:14" s="101" customFormat="1" ht="13.5">
      <c r="A86" s="403" t="s">
        <v>175</v>
      </c>
      <c r="B86" s="404"/>
      <c r="C86" s="404"/>
      <c r="D86" s="125"/>
      <c r="E86" s="126"/>
      <c r="F86" s="144">
        <f t="shared" si="5"/>
        <v>0</v>
      </c>
      <c r="G86" s="145"/>
      <c r="H86" s="127">
        <v>0</v>
      </c>
      <c r="I86" s="128"/>
      <c r="J86" s="124">
        <f t="shared" si="6"/>
        <v>0</v>
      </c>
      <c r="K86" s="144">
        <f t="shared" si="7"/>
        <v>0</v>
      </c>
      <c r="L86" s="150"/>
      <c r="N86" s="129"/>
    </row>
    <row r="87" spans="1:12" s="101" customFormat="1" ht="13.5">
      <c r="A87" s="412" t="s">
        <v>88</v>
      </c>
      <c r="B87" s="413"/>
      <c r="C87" s="413"/>
      <c r="D87" s="125">
        <v>27</v>
      </c>
      <c r="E87" s="126"/>
      <c r="F87" s="144">
        <f t="shared" si="5"/>
        <v>-27</v>
      </c>
      <c r="G87" s="145">
        <f>E87/D87</f>
        <v>0</v>
      </c>
      <c r="H87" s="127">
        <v>0</v>
      </c>
      <c r="I87" s="128"/>
      <c r="J87" s="124">
        <f t="shared" si="6"/>
        <v>0</v>
      </c>
      <c r="K87" s="144">
        <f t="shared" si="7"/>
        <v>0</v>
      </c>
      <c r="L87" s="150"/>
    </row>
    <row r="88" spans="1:12" s="101" customFormat="1" ht="13.5">
      <c r="A88" s="403" t="s">
        <v>89</v>
      </c>
      <c r="B88" s="404"/>
      <c r="C88" s="404"/>
      <c r="D88" s="125"/>
      <c r="E88" s="126"/>
      <c r="F88" s="144">
        <f t="shared" si="5"/>
        <v>0</v>
      </c>
      <c r="G88" s="145"/>
      <c r="H88" s="127">
        <v>0</v>
      </c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412" t="s">
        <v>90</v>
      </c>
      <c r="B89" s="413"/>
      <c r="C89" s="413"/>
      <c r="D89" s="125"/>
      <c r="E89" s="126"/>
      <c r="F89" s="144">
        <f t="shared" si="5"/>
        <v>0</v>
      </c>
      <c r="G89" s="145"/>
      <c r="H89" s="127">
        <v>0</v>
      </c>
      <c r="I89" s="128"/>
      <c r="J89" s="124">
        <f t="shared" si="6"/>
        <v>0</v>
      </c>
      <c r="K89" s="144">
        <f t="shared" si="7"/>
        <v>0</v>
      </c>
      <c r="L89" s="150"/>
      <c r="N89" s="129"/>
    </row>
    <row r="90" spans="1:15" s="100" customFormat="1" ht="14.25" thickBot="1">
      <c r="A90" s="403" t="s">
        <v>176</v>
      </c>
      <c r="B90" s="404"/>
      <c r="C90" s="404"/>
      <c r="D90" s="102"/>
      <c r="E90" s="140"/>
      <c r="F90" s="144">
        <f t="shared" si="5"/>
        <v>0</v>
      </c>
      <c r="G90" s="145"/>
      <c r="H90" s="127">
        <v>0</v>
      </c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422" t="s">
        <v>91</v>
      </c>
      <c r="B91" s="423"/>
      <c r="C91" s="424"/>
      <c r="D91" s="177">
        <f>D87+D80+D77+D75+D69+D59+D58+D57+D53+D46+D35</f>
        <v>22159</v>
      </c>
      <c r="E91" s="178">
        <f>E80+E77+E75+E69+E59+E58+E57+E53+E46+E35</f>
        <v>24563</v>
      </c>
      <c r="F91" s="179"/>
      <c r="G91" s="179"/>
      <c r="H91" s="180">
        <f>H80+H75+H69+H59+H58+H57+H53+H46+H35+H77</f>
        <v>30376</v>
      </c>
      <c r="I91" s="180"/>
      <c r="J91" s="181">
        <f>H91</f>
        <v>30376</v>
      </c>
      <c r="K91" s="182"/>
      <c r="L91" s="183"/>
      <c r="M91" s="141"/>
      <c r="N91" s="142"/>
      <c r="O91" s="143"/>
    </row>
    <row r="92" spans="1:15" s="100" customFormat="1" ht="14.25" thickBot="1">
      <c r="A92" s="422" t="s">
        <v>177</v>
      </c>
      <c r="B92" s="423"/>
      <c r="C92" s="424"/>
      <c r="D92" s="184">
        <f>D34-D91</f>
        <v>92</v>
      </c>
      <c r="E92" s="184">
        <f>E34-E91</f>
        <v>258</v>
      </c>
      <c r="F92" s="185"/>
      <c r="G92" s="185"/>
      <c r="H92" s="184">
        <f>H34-H91</f>
        <v>0</v>
      </c>
      <c r="I92" s="184"/>
      <c r="J92" s="186">
        <f>H92</f>
        <v>0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4.25" customHeight="1" thickBot="1">
      <c r="A94" s="416" t="s">
        <v>178</v>
      </c>
      <c r="B94" s="417"/>
      <c r="C94" s="420" t="s">
        <v>104</v>
      </c>
      <c r="D94" s="42"/>
      <c r="E94" s="425" t="s">
        <v>179</v>
      </c>
      <c r="F94" s="426"/>
      <c r="G94" s="426"/>
      <c r="H94" s="426"/>
      <c r="I94" s="429" t="s">
        <v>104</v>
      </c>
      <c r="J94" s="43"/>
      <c r="K94" s="43"/>
      <c r="L94" s="43"/>
      <c r="M94" s="43"/>
      <c r="N94" s="43"/>
    </row>
    <row r="95" spans="1:14" ht="13.5">
      <c r="A95" s="418"/>
      <c r="B95" s="419"/>
      <c r="C95" s="421"/>
      <c r="D95" s="42"/>
      <c r="E95" s="427"/>
      <c r="F95" s="428"/>
      <c r="G95" s="428"/>
      <c r="H95" s="428"/>
      <c r="I95" s="430"/>
      <c r="J95" s="43"/>
      <c r="K95" s="43"/>
      <c r="L95" s="43"/>
      <c r="M95" s="43"/>
      <c r="N95" s="43"/>
    </row>
    <row r="96" spans="1:14" ht="14.25" thickBot="1">
      <c r="A96" s="435" t="s">
        <v>280</v>
      </c>
      <c r="B96" s="436"/>
      <c r="C96" s="109">
        <v>350</v>
      </c>
      <c r="D96" s="35"/>
      <c r="E96" s="486" t="s">
        <v>199</v>
      </c>
      <c r="F96" s="487"/>
      <c r="G96" s="487"/>
      <c r="H96" s="487"/>
      <c r="I96" s="110">
        <v>85</v>
      </c>
      <c r="J96" s="43"/>
      <c r="K96" s="43"/>
      <c r="L96" s="43"/>
      <c r="M96" s="43"/>
      <c r="N96" s="38" t="s">
        <v>105</v>
      </c>
    </row>
    <row r="97" spans="1:14" ht="13.5">
      <c r="A97" s="435" t="s">
        <v>281</v>
      </c>
      <c r="B97" s="436"/>
      <c r="C97" s="109">
        <v>62</v>
      </c>
      <c r="D97" s="35"/>
      <c r="E97" s="486" t="s">
        <v>198</v>
      </c>
      <c r="F97" s="487"/>
      <c r="G97" s="487"/>
      <c r="H97" s="487"/>
      <c r="I97" s="111">
        <v>20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484"/>
      <c r="B98" s="485"/>
      <c r="C98" s="205"/>
      <c r="D98" s="35"/>
      <c r="E98" s="486"/>
      <c r="F98" s="487"/>
      <c r="G98" s="487"/>
      <c r="H98" s="487"/>
      <c r="I98" s="111"/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435"/>
      <c r="B99" s="436"/>
      <c r="C99" s="205"/>
      <c r="D99" s="35"/>
      <c r="E99" s="486"/>
      <c r="F99" s="487"/>
      <c r="G99" s="487"/>
      <c r="H99" s="487"/>
      <c r="I99" s="111"/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435"/>
      <c r="B100" s="436"/>
      <c r="C100" s="205"/>
      <c r="D100" s="35"/>
      <c r="E100" s="437"/>
      <c r="F100" s="438"/>
      <c r="G100" s="438"/>
      <c r="H100" s="438"/>
      <c r="I100" s="208"/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435"/>
      <c r="B101" s="436"/>
      <c r="C101" s="107"/>
      <c r="D101" s="35"/>
      <c r="E101" s="437"/>
      <c r="F101" s="438"/>
      <c r="G101" s="438"/>
      <c r="H101" s="438"/>
      <c r="I101" s="97"/>
      <c r="J101" s="43"/>
      <c r="K101" s="43"/>
      <c r="L101" s="43"/>
      <c r="M101" s="43"/>
      <c r="N101" s="43"/>
    </row>
    <row r="102" spans="1:14" ht="13.5">
      <c r="A102" s="435"/>
      <c r="B102" s="436"/>
      <c r="C102" s="107"/>
      <c r="D102" s="35"/>
      <c r="E102" s="437"/>
      <c r="F102" s="438"/>
      <c r="G102" s="438"/>
      <c r="H102" s="438"/>
      <c r="I102" s="97"/>
      <c r="J102" s="43"/>
      <c r="K102" s="43"/>
      <c r="L102" s="43"/>
      <c r="M102" s="43"/>
      <c r="N102" s="43"/>
    </row>
    <row r="103" spans="1:14" ht="14.25" thickBot="1">
      <c r="A103" s="441"/>
      <c r="B103" s="442"/>
      <c r="C103" s="96"/>
      <c r="D103" s="35"/>
      <c r="E103" s="443"/>
      <c r="F103" s="444"/>
      <c r="G103" s="444"/>
      <c r="H103" s="444"/>
      <c r="I103" s="99"/>
      <c r="J103" s="43"/>
      <c r="K103" s="43"/>
      <c r="L103" s="43"/>
      <c r="M103" s="43"/>
      <c r="N103" s="43"/>
    </row>
    <row r="104" spans="1:14" ht="14.25" thickBot="1">
      <c r="A104" s="445" t="s">
        <v>97</v>
      </c>
      <c r="B104" s="446"/>
      <c r="C104" s="370">
        <f>SUM(C96:C102)</f>
        <v>412</v>
      </c>
      <c r="D104" s="59"/>
      <c r="E104" s="447" t="s">
        <v>97</v>
      </c>
      <c r="F104" s="448"/>
      <c r="G104" s="448"/>
      <c r="H104" s="448"/>
      <c r="I104" s="203">
        <f>SUM(I96:I103)</f>
        <v>105</v>
      </c>
      <c r="J104" s="43"/>
      <c r="K104" s="43"/>
      <c r="L104" s="43"/>
      <c r="M104" s="43"/>
      <c r="N104" s="61"/>
    </row>
    <row r="105" spans="1:5" s="34" customFormat="1" ht="13.5" customHeight="1">
      <c r="A105" s="59"/>
      <c r="B105" s="62"/>
      <c r="C105" s="62"/>
      <c r="D105" s="62"/>
      <c r="E105" s="62"/>
    </row>
    <row r="106" spans="1:12" s="34" customFormat="1" ht="14.25" thickBot="1">
      <c r="A106" s="63" t="s">
        <v>181</v>
      </c>
      <c r="B106" s="36"/>
      <c r="C106" s="36"/>
      <c r="D106" s="36"/>
      <c r="E106" s="39"/>
      <c r="F106" s="41"/>
      <c r="G106" s="41"/>
      <c r="H106" s="35"/>
      <c r="I106" s="36"/>
      <c r="J106" s="36" t="s">
        <v>110</v>
      </c>
      <c r="K106" s="36"/>
      <c r="L106" s="39"/>
    </row>
    <row r="107" spans="1:11" s="34" customFormat="1" ht="13.5">
      <c r="A107" s="449" t="s">
        <v>111</v>
      </c>
      <c r="B107" s="452" t="s">
        <v>248</v>
      </c>
      <c r="C107" s="459" t="s">
        <v>182</v>
      </c>
      <c r="D107" s="460"/>
      <c r="E107" s="460"/>
      <c r="F107" s="460"/>
      <c r="G107" s="460"/>
      <c r="H107" s="460"/>
      <c r="I107" s="460"/>
      <c r="J107" s="461"/>
      <c r="K107" s="455" t="s">
        <v>183</v>
      </c>
    </row>
    <row r="108" spans="1:11" s="34" customFormat="1" ht="13.5">
      <c r="A108" s="450"/>
      <c r="B108" s="453"/>
      <c r="C108" s="458" t="s">
        <v>112</v>
      </c>
      <c r="D108" s="462" t="s">
        <v>113</v>
      </c>
      <c r="E108" s="462"/>
      <c r="F108" s="462"/>
      <c r="G108" s="462"/>
      <c r="H108" s="462"/>
      <c r="I108" s="462"/>
      <c r="J108" s="463"/>
      <c r="K108" s="456"/>
    </row>
    <row r="109" spans="1:12" s="34" customFormat="1" ht="14.25" thickBot="1">
      <c r="A109" s="451"/>
      <c r="B109" s="454"/>
      <c r="C109" s="458"/>
      <c r="D109" s="164">
        <v>1</v>
      </c>
      <c r="E109" s="164">
        <v>2</v>
      </c>
      <c r="F109" s="164">
        <v>3</v>
      </c>
      <c r="G109" s="164">
        <v>4</v>
      </c>
      <c r="H109" s="164">
        <v>5</v>
      </c>
      <c r="I109" s="164">
        <v>6</v>
      </c>
      <c r="J109" s="165">
        <v>7</v>
      </c>
      <c r="K109" s="457"/>
      <c r="L109" s="71"/>
    </row>
    <row r="110" spans="1:11" s="34" customFormat="1" ht="14.25" thickBot="1">
      <c r="A110" s="226">
        <v>6877</v>
      </c>
      <c r="B110" s="227">
        <v>657</v>
      </c>
      <c r="C110" s="364">
        <f>SUM(D110:J110)</f>
        <v>267</v>
      </c>
      <c r="D110" s="228">
        <v>161</v>
      </c>
      <c r="E110" s="228">
        <v>55</v>
      </c>
      <c r="F110" s="228">
        <v>0</v>
      </c>
      <c r="G110" s="228">
        <v>0</v>
      </c>
      <c r="H110" s="228">
        <v>0</v>
      </c>
      <c r="I110" s="229">
        <v>0</v>
      </c>
      <c r="J110" s="230">
        <v>51</v>
      </c>
      <c r="K110" s="231">
        <v>5952</v>
      </c>
    </row>
    <row r="111" spans="1:5" s="34" customFormat="1" ht="13.5">
      <c r="A111" s="59"/>
      <c r="B111" s="62"/>
      <c r="C111" s="62"/>
      <c r="D111" s="62"/>
      <c r="E111" s="62"/>
    </row>
    <row r="112" spans="1:8" s="34" customFormat="1" ht="14.25" thickBot="1">
      <c r="A112" s="63" t="s">
        <v>184</v>
      </c>
      <c r="C112" s="36"/>
      <c r="D112" s="36"/>
      <c r="E112" s="36"/>
      <c r="F112" s="36" t="s">
        <v>110</v>
      </c>
      <c r="G112" s="41"/>
      <c r="H112" s="35"/>
    </row>
    <row r="113" spans="1:7" s="34" customFormat="1" ht="15" customHeight="1" thickBot="1">
      <c r="A113" s="467" t="s">
        <v>114</v>
      </c>
      <c r="B113" s="469" t="s">
        <v>188</v>
      </c>
      <c r="C113" s="188" t="s">
        <v>185</v>
      </c>
      <c r="D113" s="189"/>
      <c r="E113" s="189"/>
      <c r="F113" s="190"/>
      <c r="G113" s="232"/>
    </row>
    <row r="114" spans="1:7" s="34" customFormat="1" ht="27.75" thickBot="1">
      <c r="A114" s="468"/>
      <c r="B114" s="469"/>
      <c r="C114" s="67" t="s">
        <v>186</v>
      </c>
      <c r="D114" s="66" t="s">
        <v>115</v>
      </c>
      <c r="E114" s="67" t="s">
        <v>116</v>
      </c>
      <c r="F114" s="191" t="s">
        <v>187</v>
      </c>
      <c r="G114" s="232"/>
    </row>
    <row r="115" spans="1:7" s="34" customFormat="1" ht="13.5">
      <c r="A115" s="192" t="s">
        <v>117</v>
      </c>
      <c r="B115" s="89">
        <v>3567</v>
      </c>
      <c r="C115" s="68" t="s">
        <v>118</v>
      </c>
      <c r="D115" s="69" t="s">
        <v>118</v>
      </c>
      <c r="E115" s="69" t="s">
        <v>118</v>
      </c>
      <c r="F115" s="193" t="s">
        <v>118</v>
      </c>
      <c r="G115" s="232"/>
    </row>
    <row r="116" spans="1:13" s="34" customFormat="1" ht="13.5">
      <c r="A116" s="194" t="s">
        <v>119</v>
      </c>
      <c r="B116" s="70">
        <v>0</v>
      </c>
      <c r="C116" s="197">
        <v>0</v>
      </c>
      <c r="D116" s="51">
        <v>0</v>
      </c>
      <c r="E116" s="51">
        <v>0</v>
      </c>
      <c r="F116" s="198">
        <f>C116-E116</f>
        <v>0</v>
      </c>
      <c r="G116" s="232"/>
      <c r="M116" s="71"/>
    </row>
    <row r="117" spans="1:13" s="34" customFormat="1" ht="13.5">
      <c r="A117" s="194" t="s">
        <v>120</v>
      </c>
      <c r="B117" s="70">
        <v>92</v>
      </c>
      <c r="C117" s="197">
        <f>92+63</f>
        <v>155</v>
      </c>
      <c r="D117" s="51">
        <v>285</v>
      </c>
      <c r="E117" s="51">
        <f>0+0</f>
        <v>0</v>
      </c>
      <c r="F117" s="198">
        <f>C117+D117-E117</f>
        <v>440</v>
      </c>
      <c r="G117" s="232"/>
      <c r="M117" s="71"/>
    </row>
    <row r="118" spans="1:13" s="34" customFormat="1" ht="13.5">
      <c r="A118" s="194" t="s">
        <v>121</v>
      </c>
      <c r="B118" s="70">
        <v>412</v>
      </c>
      <c r="C118" s="72">
        <v>412</v>
      </c>
      <c r="D118" s="206">
        <v>267</v>
      </c>
      <c r="E118" s="206">
        <v>412</v>
      </c>
      <c r="F118" s="198">
        <f>C118+D118-E118</f>
        <v>267</v>
      </c>
      <c r="G118" s="232"/>
      <c r="M118" s="71"/>
    </row>
    <row r="119" spans="1:13" s="34" customFormat="1" ht="13.5">
      <c r="A119" s="194" t="s">
        <v>122</v>
      </c>
      <c r="B119" s="70">
        <f>B115-B116-B117-B118</f>
        <v>3063</v>
      </c>
      <c r="C119" s="74" t="s">
        <v>118</v>
      </c>
      <c r="D119" s="75" t="s">
        <v>118</v>
      </c>
      <c r="E119" s="76" t="s">
        <v>118</v>
      </c>
      <c r="F119" s="195" t="s">
        <v>118</v>
      </c>
      <c r="G119" s="232"/>
      <c r="M119" s="71"/>
    </row>
    <row r="120" spans="1:13" s="34" customFormat="1" ht="14.25" thickBot="1">
      <c r="A120" s="196" t="s">
        <v>123</v>
      </c>
      <c r="B120" s="77">
        <v>56</v>
      </c>
      <c r="C120" s="199">
        <v>50</v>
      </c>
      <c r="D120" s="200">
        <v>120</v>
      </c>
      <c r="E120" s="207">
        <v>115</v>
      </c>
      <c r="F120" s="201">
        <f>C120+D120-E120</f>
        <v>55</v>
      </c>
      <c r="G120" s="232"/>
      <c r="M120" s="71"/>
    </row>
    <row r="121" spans="1:15" s="34" customFormat="1" ht="13.5">
      <c r="A121" s="35"/>
      <c r="B121" s="36"/>
      <c r="C121" s="36"/>
      <c r="D121" s="37"/>
      <c r="E121" s="38"/>
      <c r="F121" s="36"/>
      <c r="G121" s="36"/>
      <c r="H121" s="39"/>
      <c r="I121" s="40"/>
      <c r="J121" s="41"/>
      <c r="K121" s="35"/>
      <c r="L121" s="36"/>
      <c r="M121" s="36"/>
      <c r="N121" s="36"/>
      <c r="O121" s="39"/>
    </row>
    <row r="122" spans="1:11" ht="13.5">
      <c r="A122" s="63"/>
      <c r="K122" s="36"/>
    </row>
    <row r="123" spans="1:11" ht="14.25" thickBot="1">
      <c r="A123" s="63" t="s">
        <v>189</v>
      </c>
      <c r="K123" s="36" t="s">
        <v>110</v>
      </c>
    </row>
    <row r="124" spans="1:11" ht="13.5">
      <c r="A124" s="464" t="s">
        <v>124</v>
      </c>
      <c r="B124" s="465"/>
      <c r="C124" s="466"/>
      <c r="D124" s="78"/>
      <c r="E124" s="464" t="s">
        <v>125</v>
      </c>
      <c r="F124" s="465"/>
      <c r="G124" s="466"/>
      <c r="I124" s="464" t="s">
        <v>126</v>
      </c>
      <c r="J124" s="465"/>
      <c r="K124" s="466"/>
    </row>
    <row r="125" spans="1:11" ht="14.25" thickBot="1">
      <c r="A125" s="79" t="s">
        <v>127</v>
      </c>
      <c r="B125" s="80" t="s">
        <v>128</v>
      </c>
      <c r="C125" s="81" t="s">
        <v>129</v>
      </c>
      <c r="D125" s="78"/>
      <c r="E125" s="82"/>
      <c r="F125" s="470" t="s">
        <v>130</v>
      </c>
      <c r="G125" s="471"/>
      <c r="I125" s="79"/>
      <c r="J125" s="80" t="s">
        <v>131</v>
      </c>
      <c r="K125" s="81" t="s">
        <v>129</v>
      </c>
    </row>
    <row r="126" spans="1:11" ht="13.5">
      <c r="A126" s="83">
        <v>2012</v>
      </c>
      <c r="B126" s="84">
        <v>57</v>
      </c>
      <c r="C126" s="85">
        <v>57</v>
      </c>
      <c r="D126" s="37"/>
      <c r="E126" s="83">
        <v>2012</v>
      </c>
      <c r="F126" s="472">
        <v>70</v>
      </c>
      <c r="G126" s="473"/>
      <c r="I126" s="83">
        <v>2012</v>
      </c>
      <c r="J126" s="84">
        <v>12015</v>
      </c>
      <c r="K126" s="85">
        <v>11833</v>
      </c>
    </row>
    <row r="127" spans="1:11" ht="14.25" thickBot="1">
      <c r="A127" s="86">
        <v>2013</v>
      </c>
      <c r="B127" s="87">
        <v>64</v>
      </c>
      <c r="C127" s="88" t="s">
        <v>92</v>
      </c>
      <c r="D127" s="37"/>
      <c r="E127" s="86">
        <v>2013</v>
      </c>
      <c r="F127" s="388">
        <v>72</v>
      </c>
      <c r="G127" s="389"/>
      <c r="I127" s="86">
        <v>2013</v>
      </c>
      <c r="J127" s="87">
        <v>14750</v>
      </c>
      <c r="K127" s="88" t="s">
        <v>92</v>
      </c>
    </row>
    <row r="128" ht="13.5">
      <c r="D128" s="78"/>
    </row>
    <row r="129" ht="13.5">
      <c r="D129" s="78"/>
    </row>
    <row r="130" ht="13.5">
      <c r="D130" s="37"/>
    </row>
    <row r="131" ht="13.5">
      <c r="D131" s="37"/>
    </row>
  </sheetData>
  <sheetProtection selectLockedCells="1" selectUnlockedCells="1"/>
  <mergeCells count="129">
    <mergeCell ref="E102:H102"/>
    <mergeCell ref="A103:B103"/>
    <mergeCell ref="E103:H103"/>
    <mergeCell ref="A104:B104"/>
    <mergeCell ref="E104:H104"/>
    <mergeCell ref="A91:C91"/>
    <mergeCell ref="A92:C92"/>
    <mergeCell ref="A100:B100"/>
    <mergeCell ref="E100:H100"/>
    <mergeCell ref="A101:B101"/>
    <mergeCell ref="E101:H101"/>
    <mergeCell ref="E99:H99"/>
    <mergeCell ref="A94:B95"/>
    <mergeCell ref="C94:C95"/>
    <mergeCell ref="E94:H95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I124:K124"/>
    <mergeCell ref="A97:B97"/>
    <mergeCell ref="E97:H97"/>
    <mergeCell ref="A2:L2"/>
    <mergeCell ref="A4:C6"/>
    <mergeCell ref="D4:D6"/>
    <mergeCell ref="E4:E6"/>
    <mergeCell ref="F4:G4"/>
    <mergeCell ref="H4:J4"/>
    <mergeCell ref="K4:L4"/>
    <mergeCell ref="F125:G125"/>
    <mergeCell ref="F126:G126"/>
    <mergeCell ref="F127:G127"/>
    <mergeCell ref="I94:I95"/>
    <mergeCell ref="A96:B96"/>
    <mergeCell ref="E96:H96"/>
    <mergeCell ref="A113:A114"/>
    <mergeCell ref="B113:B114"/>
    <mergeCell ref="A124:C124"/>
    <mergeCell ref="E124:G124"/>
    <mergeCell ref="K107:K109"/>
    <mergeCell ref="C108:C109"/>
    <mergeCell ref="D108:J108"/>
    <mergeCell ref="A98:B98"/>
    <mergeCell ref="E98:H98"/>
    <mergeCell ref="A99:B99"/>
    <mergeCell ref="A107:A109"/>
    <mergeCell ref="B107:B109"/>
    <mergeCell ref="C107:J107"/>
    <mergeCell ref="A102:B102"/>
  </mergeCells>
  <printOptions horizontalCentered="1"/>
  <pageMargins left="0.15763888888888888" right="0.15763888888888888" top="0.7597222222222222" bottom="0.1597222222222222" header="0.5118055555555555" footer="0.15763888888888888"/>
  <pageSetup horizontalDpi="300" verticalDpi="300" orientation="portrait" paperSize="9" scale="42" r:id="rId1"/>
  <headerFooter alignWithMargins="0">
    <oddFooter>&amp;C&amp;"Arial CE,Běžné"&amp;P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T132"/>
  <sheetViews>
    <sheetView view="pageBreakPreview" zoomScale="70" zoomScaleSheetLayoutView="70" zoomScalePageLayoutView="0" workbookViewId="0" topLeftCell="A1">
      <selection activeCell="H92" sqref="H92"/>
    </sheetView>
  </sheetViews>
  <sheetFormatPr defaultColWidth="9.140625" defaultRowHeight="12.75"/>
  <cols>
    <col min="1" max="1" width="27.8515625" style="1" customWidth="1"/>
    <col min="2" max="2" width="11.7109375" style="1" customWidth="1"/>
    <col min="3" max="3" width="11.8515625" style="1" customWidth="1"/>
    <col min="4" max="4" width="10.140625" style="33" customWidth="1"/>
    <col min="5" max="5" width="11.28125" style="4" customWidth="1"/>
    <col min="6" max="7" width="13.00390625" style="1" customWidth="1"/>
    <col min="8" max="8" width="15.14062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15.8515625" style="1" customWidth="1"/>
    <col min="13" max="13" width="9.7109375" style="1" customWidth="1"/>
    <col min="14" max="14" width="10.28125" style="1" customWidth="1"/>
    <col min="15" max="15" width="10.7109375" style="1" customWidth="1"/>
    <col min="16" max="16384" width="9.140625" style="1" customWidth="1"/>
  </cols>
  <sheetData>
    <row r="2" spans="1:12" ht="13.5">
      <c r="A2" s="390" t="s">
        <v>137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4.25" thickBot="1">
      <c r="A3" s="3" t="s">
        <v>180</v>
      </c>
      <c r="L3" s="4" t="s">
        <v>95</v>
      </c>
    </row>
    <row r="4" spans="1:15" s="101" customFormat="1" ht="13.5" customHeight="1">
      <c r="A4" s="488" t="s">
        <v>156</v>
      </c>
      <c r="B4" s="489"/>
      <c r="C4" s="490"/>
      <c r="D4" s="497" t="s">
        <v>157</v>
      </c>
      <c r="E4" s="500">
        <v>2012</v>
      </c>
      <c r="F4" s="503" t="s">
        <v>96</v>
      </c>
      <c r="G4" s="504"/>
      <c r="H4" s="505" t="s">
        <v>158</v>
      </c>
      <c r="I4" s="506"/>
      <c r="J4" s="507"/>
      <c r="K4" s="505" t="s">
        <v>159</v>
      </c>
      <c r="L4" s="507"/>
      <c r="M4" s="112"/>
      <c r="N4" s="112"/>
      <c r="O4" s="112"/>
    </row>
    <row r="5" spans="1:15" s="101" customFormat="1" ht="13.5" customHeight="1">
      <c r="A5" s="491"/>
      <c r="B5" s="492"/>
      <c r="C5" s="493"/>
      <c r="D5" s="498"/>
      <c r="E5" s="501"/>
      <c r="F5" s="113" t="s">
        <v>97</v>
      </c>
      <c r="G5" s="114" t="s">
        <v>98</v>
      </c>
      <c r="H5" s="115" t="s">
        <v>99</v>
      </c>
      <c r="I5" s="116" t="s">
        <v>100</v>
      </c>
      <c r="J5" s="117" t="s">
        <v>97</v>
      </c>
      <c r="K5" s="115" t="s">
        <v>97</v>
      </c>
      <c r="L5" s="117" t="s">
        <v>98</v>
      </c>
      <c r="M5" s="118"/>
      <c r="N5" s="118"/>
      <c r="O5" s="118"/>
    </row>
    <row r="6" spans="1:15" s="101" customFormat="1" ht="13.5" customHeight="1" thickBot="1">
      <c r="A6" s="494"/>
      <c r="B6" s="495"/>
      <c r="C6" s="496"/>
      <c r="D6" s="499"/>
      <c r="E6" s="502"/>
      <c r="F6" s="119" t="s">
        <v>101</v>
      </c>
      <c r="G6" s="120" t="s">
        <v>102</v>
      </c>
      <c r="H6" s="115" t="s">
        <v>103</v>
      </c>
      <c r="I6" s="116" t="s">
        <v>103</v>
      </c>
      <c r="J6" s="117"/>
      <c r="K6" s="115" t="s">
        <v>101</v>
      </c>
      <c r="L6" s="117" t="s">
        <v>102</v>
      </c>
      <c r="M6" s="118"/>
      <c r="N6" s="118"/>
      <c r="O6" s="118"/>
    </row>
    <row r="7" spans="1:12" s="101" customFormat="1" ht="13.5">
      <c r="A7" s="508" t="s">
        <v>24</v>
      </c>
      <c r="B7" s="509"/>
      <c r="C7" s="510"/>
      <c r="D7" s="121">
        <v>13398</v>
      </c>
      <c r="E7" s="121">
        <v>13917</v>
      </c>
      <c r="F7" s="154">
        <f>E7-D7</f>
        <v>519</v>
      </c>
      <c r="G7" s="145">
        <f>E7/D7</f>
        <v>1.0387371249440216</v>
      </c>
      <c r="H7" s="122">
        <v>13956</v>
      </c>
      <c r="I7" s="123"/>
      <c r="J7" s="156">
        <f>H7+I7</f>
        <v>13956</v>
      </c>
      <c r="K7" s="144">
        <f>J7-E7</f>
        <v>39</v>
      </c>
      <c r="L7" s="150">
        <f>J7/E7</f>
        <v>1.00280232808795</v>
      </c>
    </row>
    <row r="8" spans="1:12" s="101" customFormat="1" ht="13.5">
      <c r="A8" s="511" t="s">
        <v>25</v>
      </c>
      <c r="B8" s="512"/>
      <c r="C8" s="513"/>
      <c r="D8" s="125">
        <v>0</v>
      </c>
      <c r="E8" s="125">
        <v>0</v>
      </c>
      <c r="F8" s="154">
        <f aca="true" t="shared" si="0" ref="F8:F75">E8-D8</f>
        <v>0</v>
      </c>
      <c r="G8" s="145"/>
      <c r="H8" s="127">
        <v>0</v>
      </c>
      <c r="I8" s="128"/>
      <c r="J8" s="156">
        <f aca="true" t="shared" si="1" ref="J8:J75">H8+I8</f>
        <v>0</v>
      </c>
      <c r="K8" s="144">
        <f aca="true" t="shared" si="2" ref="K8:K75">J8-E8</f>
        <v>0</v>
      </c>
      <c r="L8" s="150"/>
    </row>
    <row r="9" spans="1:12" s="101" customFormat="1" ht="13.5">
      <c r="A9" s="511" t="s">
        <v>26</v>
      </c>
      <c r="B9" s="512"/>
      <c r="C9" s="513"/>
      <c r="D9" s="125">
        <v>13327</v>
      </c>
      <c r="E9" s="125">
        <v>13851</v>
      </c>
      <c r="F9" s="154">
        <f t="shared" si="0"/>
        <v>524</v>
      </c>
      <c r="G9" s="145">
        <f aca="true" t="shared" si="3" ref="G9:G74">E9/D9</f>
        <v>1.0393186763712763</v>
      </c>
      <c r="H9" s="127">
        <v>13890</v>
      </c>
      <c r="I9" s="128"/>
      <c r="J9" s="156">
        <f t="shared" si="1"/>
        <v>13890</v>
      </c>
      <c r="K9" s="144">
        <f t="shared" si="2"/>
        <v>39</v>
      </c>
      <c r="L9" s="150">
        <f aca="true" t="shared" si="4" ref="L9:L75">J9/E9</f>
        <v>1.0028156811782543</v>
      </c>
    </row>
    <row r="10" spans="1:12" s="101" customFormat="1" ht="13.5">
      <c r="A10" s="514" t="s">
        <v>27</v>
      </c>
      <c r="B10" s="515"/>
      <c r="C10" s="516"/>
      <c r="D10" s="125">
        <v>7741</v>
      </c>
      <c r="E10" s="125">
        <v>8133</v>
      </c>
      <c r="F10" s="154">
        <f t="shared" si="0"/>
        <v>392</v>
      </c>
      <c r="G10" s="145">
        <f t="shared" si="3"/>
        <v>1.050639452267149</v>
      </c>
      <c r="H10" s="127">
        <v>8250</v>
      </c>
      <c r="I10" s="128"/>
      <c r="J10" s="156">
        <f t="shared" si="1"/>
        <v>8250</v>
      </c>
      <c r="K10" s="144">
        <f t="shared" si="2"/>
        <v>117</v>
      </c>
      <c r="L10" s="150">
        <f t="shared" si="4"/>
        <v>1.0143858354850608</v>
      </c>
    </row>
    <row r="11" spans="1:12" s="101" customFormat="1" ht="13.5">
      <c r="A11" s="514" t="s">
        <v>28</v>
      </c>
      <c r="B11" s="515"/>
      <c r="C11" s="516"/>
      <c r="D11" s="125">
        <v>4609</v>
      </c>
      <c r="E11" s="125">
        <v>4730</v>
      </c>
      <c r="F11" s="154">
        <f t="shared" si="0"/>
        <v>121</v>
      </c>
      <c r="G11" s="145">
        <f t="shared" si="3"/>
        <v>1.026252983293556</v>
      </c>
      <c r="H11" s="127">
        <v>4730</v>
      </c>
      <c r="I11" s="128"/>
      <c r="J11" s="156">
        <v>4730</v>
      </c>
      <c r="K11" s="144">
        <f t="shared" si="2"/>
        <v>0</v>
      </c>
      <c r="L11" s="150">
        <f t="shared" si="4"/>
        <v>1</v>
      </c>
    </row>
    <row r="12" spans="1:12" s="101" customFormat="1" ht="13.5">
      <c r="A12" s="514" t="s">
        <v>29</v>
      </c>
      <c r="B12" s="515"/>
      <c r="C12" s="516"/>
      <c r="D12" s="125">
        <v>0</v>
      </c>
      <c r="E12" s="125">
        <v>0</v>
      </c>
      <c r="F12" s="154">
        <f t="shared" si="0"/>
        <v>0</v>
      </c>
      <c r="G12" s="145"/>
      <c r="H12" s="127">
        <v>0</v>
      </c>
      <c r="I12" s="128"/>
      <c r="J12" s="156">
        <f t="shared" si="1"/>
        <v>0</v>
      </c>
      <c r="K12" s="144">
        <f t="shared" si="2"/>
        <v>0</v>
      </c>
      <c r="L12" s="150"/>
    </row>
    <row r="13" spans="1:12" s="101" customFormat="1" ht="13.5">
      <c r="A13" s="514" t="s">
        <v>30</v>
      </c>
      <c r="B13" s="515"/>
      <c r="C13" s="516"/>
      <c r="D13" s="125">
        <v>621</v>
      </c>
      <c r="E13" s="125">
        <v>633</v>
      </c>
      <c r="F13" s="154">
        <f t="shared" si="0"/>
        <v>12</v>
      </c>
      <c r="G13" s="145">
        <f t="shared" si="3"/>
        <v>1.0193236714975846</v>
      </c>
      <c r="H13" s="127">
        <v>633</v>
      </c>
      <c r="I13" s="128"/>
      <c r="J13" s="156">
        <f t="shared" si="1"/>
        <v>633</v>
      </c>
      <c r="K13" s="144">
        <f t="shared" si="2"/>
        <v>0</v>
      </c>
      <c r="L13" s="150">
        <f t="shared" si="4"/>
        <v>1</v>
      </c>
    </row>
    <row r="14" spans="1:12" s="101" customFormat="1" ht="13.5">
      <c r="A14" s="514" t="s">
        <v>31</v>
      </c>
      <c r="B14" s="515"/>
      <c r="C14" s="516"/>
      <c r="D14" s="125">
        <v>341</v>
      </c>
      <c r="E14" s="125">
        <v>348</v>
      </c>
      <c r="F14" s="154">
        <f t="shared" si="0"/>
        <v>7</v>
      </c>
      <c r="G14" s="145">
        <f t="shared" si="3"/>
        <v>1.0205278592375366</v>
      </c>
      <c r="H14" s="127">
        <v>300</v>
      </c>
      <c r="I14" s="128"/>
      <c r="J14" s="156">
        <f t="shared" si="1"/>
        <v>300</v>
      </c>
      <c r="K14" s="144">
        <f t="shared" si="2"/>
        <v>-48</v>
      </c>
      <c r="L14" s="150">
        <f t="shared" si="4"/>
        <v>0.8620689655172413</v>
      </c>
    </row>
    <row r="15" spans="1:14" s="101" customFormat="1" ht="13.5">
      <c r="A15" s="514" t="s">
        <v>32</v>
      </c>
      <c r="B15" s="515"/>
      <c r="C15" s="516"/>
      <c r="D15" s="125">
        <v>15</v>
      </c>
      <c r="E15" s="125">
        <v>7</v>
      </c>
      <c r="F15" s="154">
        <f t="shared" si="0"/>
        <v>-8</v>
      </c>
      <c r="G15" s="145">
        <f t="shared" si="3"/>
        <v>0.4666666666666667</v>
      </c>
      <c r="H15" s="127">
        <v>7</v>
      </c>
      <c r="I15" s="128"/>
      <c r="J15" s="156">
        <f t="shared" si="1"/>
        <v>7</v>
      </c>
      <c r="K15" s="144">
        <f t="shared" si="2"/>
        <v>0</v>
      </c>
      <c r="L15" s="150">
        <f t="shared" si="4"/>
        <v>1</v>
      </c>
      <c r="N15" s="129"/>
    </row>
    <row r="16" spans="1:12" s="101" customFormat="1" ht="13.5">
      <c r="A16" s="511" t="s">
        <v>33</v>
      </c>
      <c r="B16" s="512"/>
      <c r="C16" s="513"/>
      <c r="D16" s="125">
        <v>71</v>
      </c>
      <c r="E16" s="125">
        <v>66</v>
      </c>
      <c r="F16" s="154">
        <f t="shared" si="0"/>
        <v>-5</v>
      </c>
      <c r="G16" s="145">
        <f t="shared" si="3"/>
        <v>0.9295774647887324</v>
      </c>
      <c r="H16" s="127">
        <v>66</v>
      </c>
      <c r="I16" s="128"/>
      <c r="J16" s="156">
        <f t="shared" si="1"/>
        <v>66</v>
      </c>
      <c r="K16" s="144">
        <f t="shared" si="2"/>
        <v>0</v>
      </c>
      <c r="L16" s="150">
        <f t="shared" si="4"/>
        <v>1</v>
      </c>
    </row>
    <row r="17" spans="1:12" s="101" customFormat="1" ht="13.5">
      <c r="A17" s="511" t="s">
        <v>34</v>
      </c>
      <c r="B17" s="512"/>
      <c r="C17" s="513"/>
      <c r="D17" s="125">
        <v>0</v>
      </c>
      <c r="E17" s="125">
        <v>0</v>
      </c>
      <c r="F17" s="154">
        <f t="shared" si="0"/>
        <v>0</v>
      </c>
      <c r="G17" s="145"/>
      <c r="H17" s="127">
        <v>0</v>
      </c>
      <c r="I17" s="128"/>
      <c r="J17" s="156">
        <f t="shared" si="1"/>
        <v>0</v>
      </c>
      <c r="K17" s="144">
        <f t="shared" si="2"/>
        <v>0</v>
      </c>
      <c r="L17" s="150"/>
    </row>
    <row r="18" spans="1:12" s="101" customFormat="1" ht="13.5">
      <c r="A18" s="517" t="s">
        <v>35</v>
      </c>
      <c r="B18" s="518"/>
      <c r="C18" s="519"/>
      <c r="D18" s="125">
        <v>0</v>
      </c>
      <c r="E18" s="125">
        <v>170</v>
      </c>
      <c r="F18" s="154">
        <f t="shared" si="0"/>
        <v>170</v>
      </c>
      <c r="G18" s="145"/>
      <c r="H18" s="127">
        <v>240</v>
      </c>
      <c r="I18" s="128"/>
      <c r="J18" s="156">
        <f t="shared" si="1"/>
        <v>240</v>
      </c>
      <c r="K18" s="144">
        <f t="shared" si="2"/>
        <v>70</v>
      </c>
      <c r="L18" s="150">
        <f t="shared" si="4"/>
        <v>1.411764705882353</v>
      </c>
    </row>
    <row r="19" spans="1:12" s="101" customFormat="1" ht="13.5">
      <c r="A19" s="511" t="s">
        <v>36</v>
      </c>
      <c r="B19" s="512"/>
      <c r="C19" s="513"/>
      <c r="D19" s="125">
        <v>0</v>
      </c>
      <c r="E19" s="125">
        <v>0</v>
      </c>
      <c r="F19" s="154">
        <f t="shared" si="0"/>
        <v>0</v>
      </c>
      <c r="G19" s="145"/>
      <c r="H19" s="127">
        <v>0</v>
      </c>
      <c r="I19" s="128"/>
      <c r="J19" s="156">
        <f t="shared" si="1"/>
        <v>0</v>
      </c>
      <c r="K19" s="144">
        <f t="shared" si="2"/>
        <v>0</v>
      </c>
      <c r="L19" s="150"/>
    </row>
    <row r="20" spans="1:20" s="101" customFormat="1" ht="13.5">
      <c r="A20" s="511" t="s">
        <v>37</v>
      </c>
      <c r="B20" s="512"/>
      <c r="C20" s="513"/>
      <c r="D20" s="125">
        <v>0</v>
      </c>
      <c r="E20" s="138">
        <v>0</v>
      </c>
      <c r="F20" s="154">
        <f t="shared" si="0"/>
        <v>0</v>
      </c>
      <c r="G20" s="145"/>
      <c r="H20" s="122">
        <v>0</v>
      </c>
      <c r="I20" s="123"/>
      <c r="J20" s="156">
        <f t="shared" si="1"/>
        <v>0</v>
      </c>
      <c r="K20" s="144">
        <f t="shared" si="2"/>
        <v>0</v>
      </c>
      <c r="L20" s="150"/>
      <c r="N20" s="112"/>
      <c r="O20" s="112"/>
      <c r="P20" s="112"/>
      <c r="Q20" s="112"/>
      <c r="R20" s="112"/>
      <c r="S20" s="112"/>
      <c r="T20" s="112"/>
    </row>
    <row r="21" spans="1:20" s="101" customFormat="1" ht="13.5">
      <c r="A21" s="520" t="s">
        <v>38</v>
      </c>
      <c r="B21" s="521"/>
      <c r="C21" s="522"/>
      <c r="D21" s="125">
        <v>0</v>
      </c>
      <c r="E21" s="125">
        <v>170</v>
      </c>
      <c r="F21" s="154">
        <f t="shared" si="0"/>
        <v>170</v>
      </c>
      <c r="G21" s="145"/>
      <c r="H21" s="127">
        <v>239</v>
      </c>
      <c r="I21" s="128"/>
      <c r="J21" s="156">
        <f t="shared" si="1"/>
        <v>239</v>
      </c>
      <c r="K21" s="144">
        <f t="shared" si="2"/>
        <v>69</v>
      </c>
      <c r="L21" s="150">
        <f t="shared" si="4"/>
        <v>1.4058823529411764</v>
      </c>
      <c r="N21" s="118"/>
      <c r="O21" s="118"/>
      <c r="P21" s="118"/>
      <c r="Q21" s="118"/>
      <c r="R21" s="118"/>
      <c r="S21" s="118"/>
      <c r="T21" s="118"/>
    </row>
    <row r="22" spans="1:20" s="101" customFormat="1" ht="13.5">
      <c r="A22" s="520" t="s">
        <v>160</v>
      </c>
      <c r="B22" s="521"/>
      <c r="C22" s="522"/>
      <c r="D22" s="125">
        <v>0</v>
      </c>
      <c r="E22" s="125">
        <v>170</v>
      </c>
      <c r="F22" s="154">
        <f t="shared" si="0"/>
        <v>170</v>
      </c>
      <c r="G22" s="145"/>
      <c r="H22" s="127">
        <v>239</v>
      </c>
      <c r="I22" s="128"/>
      <c r="J22" s="156">
        <f t="shared" si="1"/>
        <v>239</v>
      </c>
      <c r="K22" s="144">
        <f t="shared" si="2"/>
        <v>69</v>
      </c>
      <c r="L22" s="150">
        <f t="shared" si="4"/>
        <v>1.4058823529411764</v>
      </c>
      <c r="N22" s="118"/>
      <c r="O22" s="118"/>
      <c r="P22" s="118"/>
      <c r="Q22" s="118"/>
      <c r="R22" s="118"/>
      <c r="S22" s="118"/>
      <c r="T22" s="118"/>
    </row>
    <row r="23" spans="1:20" s="101" customFormat="1" ht="13.5">
      <c r="A23" s="520" t="s">
        <v>161</v>
      </c>
      <c r="B23" s="521"/>
      <c r="C23" s="522"/>
      <c r="D23" s="125">
        <v>0</v>
      </c>
      <c r="E23" s="125">
        <v>0</v>
      </c>
      <c r="F23" s="154">
        <f t="shared" si="0"/>
        <v>0</v>
      </c>
      <c r="G23" s="145"/>
      <c r="H23" s="127">
        <v>0</v>
      </c>
      <c r="I23" s="128"/>
      <c r="J23" s="156">
        <f t="shared" si="1"/>
        <v>0</v>
      </c>
      <c r="K23" s="144">
        <f t="shared" si="2"/>
        <v>0</v>
      </c>
      <c r="L23" s="150"/>
      <c r="N23" s="100"/>
      <c r="O23" s="100"/>
      <c r="P23" s="100"/>
      <c r="Q23" s="100"/>
      <c r="R23" s="100"/>
      <c r="S23" s="100"/>
      <c r="T23" s="100"/>
    </row>
    <row r="24" spans="1:13" s="101" customFormat="1" ht="13.5">
      <c r="A24" s="520" t="s">
        <v>162</v>
      </c>
      <c r="B24" s="521"/>
      <c r="C24" s="522"/>
      <c r="D24" s="125">
        <v>0</v>
      </c>
      <c r="E24" s="125">
        <v>0</v>
      </c>
      <c r="F24" s="154">
        <f t="shared" si="0"/>
        <v>0</v>
      </c>
      <c r="G24" s="145"/>
      <c r="H24" s="127">
        <v>1</v>
      </c>
      <c r="I24" s="372"/>
      <c r="J24" s="156">
        <f t="shared" si="1"/>
        <v>1</v>
      </c>
      <c r="K24" s="144">
        <f t="shared" si="2"/>
        <v>1</v>
      </c>
      <c r="L24" s="150"/>
      <c r="M24" s="371"/>
    </row>
    <row r="25" spans="1:12" s="101" customFormat="1" ht="13.5">
      <c r="A25" s="520" t="s">
        <v>163</v>
      </c>
      <c r="B25" s="521"/>
      <c r="C25" s="522"/>
      <c r="D25" s="125">
        <v>0</v>
      </c>
      <c r="E25" s="125">
        <v>0</v>
      </c>
      <c r="F25" s="154">
        <f t="shared" si="0"/>
        <v>0</v>
      </c>
      <c r="G25" s="145"/>
      <c r="H25" s="127">
        <v>0</v>
      </c>
      <c r="I25" s="128"/>
      <c r="J25" s="156">
        <f t="shared" si="1"/>
        <v>0</v>
      </c>
      <c r="K25" s="144">
        <f t="shared" si="2"/>
        <v>0</v>
      </c>
      <c r="L25" s="150"/>
    </row>
    <row r="26" spans="1:12" s="101" customFormat="1" ht="13.5">
      <c r="A26" s="517" t="s">
        <v>39</v>
      </c>
      <c r="B26" s="518"/>
      <c r="C26" s="519"/>
      <c r="D26" s="125">
        <v>1</v>
      </c>
      <c r="E26" s="125">
        <v>1</v>
      </c>
      <c r="F26" s="154">
        <f t="shared" si="0"/>
        <v>0</v>
      </c>
      <c r="G26" s="145">
        <f t="shared" si="3"/>
        <v>1</v>
      </c>
      <c r="H26" s="127">
        <v>1</v>
      </c>
      <c r="I26" s="128"/>
      <c r="J26" s="156">
        <f t="shared" si="1"/>
        <v>1</v>
      </c>
      <c r="K26" s="144">
        <f t="shared" si="2"/>
        <v>0</v>
      </c>
      <c r="L26" s="150">
        <f t="shared" si="4"/>
        <v>1</v>
      </c>
    </row>
    <row r="27" spans="1:12" s="101" customFormat="1" ht="13.5">
      <c r="A27" s="511" t="s">
        <v>40</v>
      </c>
      <c r="B27" s="512"/>
      <c r="C27" s="513"/>
      <c r="D27" s="125">
        <v>1</v>
      </c>
      <c r="E27" s="125">
        <v>1</v>
      </c>
      <c r="F27" s="154">
        <f t="shared" si="0"/>
        <v>0</v>
      </c>
      <c r="G27" s="145">
        <f t="shared" si="3"/>
        <v>1</v>
      </c>
      <c r="H27" s="127">
        <v>1</v>
      </c>
      <c r="I27" s="128"/>
      <c r="J27" s="156">
        <f t="shared" si="1"/>
        <v>1</v>
      </c>
      <c r="K27" s="144">
        <f t="shared" si="2"/>
        <v>0</v>
      </c>
      <c r="L27" s="150">
        <f t="shared" si="4"/>
        <v>1</v>
      </c>
    </row>
    <row r="28" spans="1:12" s="101" customFormat="1" ht="13.5">
      <c r="A28" s="511" t="s">
        <v>41</v>
      </c>
      <c r="B28" s="512"/>
      <c r="C28" s="513"/>
      <c r="D28" s="125">
        <v>0</v>
      </c>
      <c r="E28" s="125">
        <v>0</v>
      </c>
      <c r="F28" s="154">
        <f t="shared" si="0"/>
        <v>0</v>
      </c>
      <c r="G28" s="145"/>
      <c r="H28" s="127">
        <v>0</v>
      </c>
      <c r="I28" s="128"/>
      <c r="J28" s="156">
        <f t="shared" si="1"/>
        <v>0</v>
      </c>
      <c r="K28" s="144">
        <f t="shared" si="2"/>
        <v>0</v>
      </c>
      <c r="L28" s="150"/>
    </row>
    <row r="29" spans="1:12" s="101" customFormat="1" ht="13.5">
      <c r="A29" s="517" t="s">
        <v>42</v>
      </c>
      <c r="B29" s="518"/>
      <c r="C29" s="519"/>
      <c r="D29" s="125">
        <v>11561</v>
      </c>
      <c r="E29" s="138">
        <v>10913</v>
      </c>
      <c r="F29" s="154">
        <f t="shared" si="0"/>
        <v>-648</v>
      </c>
      <c r="G29" s="145">
        <f t="shared" si="3"/>
        <v>0.9439494853386385</v>
      </c>
      <c r="H29" s="122">
        <v>8376</v>
      </c>
      <c r="I29" s="123"/>
      <c r="J29" s="156">
        <f t="shared" si="1"/>
        <v>8376</v>
      </c>
      <c r="K29" s="144">
        <f t="shared" si="2"/>
        <v>-2537</v>
      </c>
      <c r="L29" s="150">
        <f t="shared" si="4"/>
        <v>0.7675249702190049</v>
      </c>
    </row>
    <row r="30" spans="1:14" s="101" customFormat="1" ht="13.5">
      <c r="A30" s="514" t="s">
        <v>164</v>
      </c>
      <c r="B30" s="515"/>
      <c r="C30" s="516"/>
      <c r="D30" s="131">
        <v>576</v>
      </c>
      <c r="E30" s="131">
        <v>1576</v>
      </c>
      <c r="F30" s="155">
        <f t="shared" si="0"/>
        <v>1000</v>
      </c>
      <c r="G30" s="147">
        <f t="shared" si="3"/>
        <v>2.736111111111111</v>
      </c>
      <c r="H30" s="363">
        <v>1576</v>
      </c>
      <c r="I30" s="133"/>
      <c r="J30" s="157">
        <f t="shared" si="1"/>
        <v>1576</v>
      </c>
      <c r="K30" s="146">
        <f t="shared" si="2"/>
        <v>0</v>
      </c>
      <c r="L30" s="151">
        <f t="shared" si="4"/>
        <v>1</v>
      </c>
      <c r="N30" s="129"/>
    </row>
    <row r="31" spans="1:12" s="101" customFormat="1" ht="13.5">
      <c r="A31" s="514" t="s">
        <v>43</v>
      </c>
      <c r="B31" s="515"/>
      <c r="C31" s="516"/>
      <c r="D31" s="125">
        <v>10985</v>
      </c>
      <c r="E31" s="125">
        <v>9337</v>
      </c>
      <c r="F31" s="154">
        <f t="shared" si="0"/>
        <v>-1648</v>
      </c>
      <c r="G31" s="145">
        <f t="shared" si="3"/>
        <v>0.849977241693218</v>
      </c>
      <c r="H31" s="127">
        <v>6800</v>
      </c>
      <c r="I31" s="128"/>
      <c r="J31" s="156">
        <f t="shared" si="1"/>
        <v>6800</v>
      </c>
      <c r="K31" s="144">
        <f t="shared" si="2"/>
        <v>-2537</v>
      </c>
      <c r="L31" s="150">
        <f t="shared" si="4"/>
        <v>0.7282853164828104</v>
      </c>
    </row>
    <row r="32" spans="1:12" s="101" customFormat="1" ht="13.5">
      <c r="A32" s="511" t="s">
        <v>44</v>
      </c>
      <c r="B32" s="512"/>
      <c r="C32" s="513"/>
      <c r="D32" s="138">
        <v>0</v>
      </c>
      <c r="E32" s="138">
        <v>0</v>
      </c>
      <c r="F32" s="154">
        <f t="shared" si="0"/>
        <v>0</v>
      </c>
      <c r="G32" s="145"/>
      <c r="H32" s="122">
        <v>0</v>
      </c>
      <c r="I32" s="123"/>
      <c r="J32" s="156">
        <f t="shared" si="1"/>
        <v>0</v>
      </c>
      <c r="K32" s="144">
        <f t="shared" si="2"/>
        <v>0</v>
      </c>
      <c r="L32" s="150"/>
    </row>
    <row r="33" spans="1:14" s="101" customFormat="1" ht="14.25" thickBot="1">
      <c r="A33" s="514" t="s">
        <v>45</v>
      </c>
      <c r="B33" s="515"/>
      <c r="C33" s="516"/>
      <c r="D33" s="153">
        <v>0</v>
      </c>
      <c r="E33" s="153">
        <v>0</v>
      </c>
      <c r="F33" s="154">
        <f t="shared" si="0"/>
        <v>0</v>
      </c>
      <c r="G33" s="145"/>
      <c r="H33" s="158">
        <v>0</v>
      </c>
      <c r="I33" s="159"/>
      <c r="J33" s="160">
        <f t="shared" si="1"/>
        <v>0</v>
      </c>
      <c r="K33" s="161">
        <f t="shared" si="2"/>
        <v>0</v>
      </c>
      <c r="L33" s="162"/>
      <c r="N33" s="129"/>
    </row>
    <row r="34" spans="1:12" s="101" customFormat="1" ht="14.25" thickBot="1">
      <c r="A34" s="523" t="s">
        <v>46</v>
      </c>
      <c r="B34" s="524"/>
      <c r="C34" s="525"/>
      <c r="D34" s="171">
        <v>24960</v>
      </c>
      <c r="E34" s="172">
        <v>25001</v>
      </c>
      <c r="F34" s="173">
        <f t="shared" si="0"/>
        <v>41</v>
      </c>
      <c r="G34" s="174">
        <f>E34/D34</f>
        <v>1.0016426282051283</v>
      </c>
      <c r="H34" s="172">
        <v>22573</v>
      </c>
      <c r="I34" s="172"/>
      <c r="J34" s="175">
        <f>SUM(J7+J18+J26+J29)</f>
        <v>22573</v>
      </c>
      <c r="K34" s="173">
        <f t="shared" si="2"/>
        <v>-2428</v>
      </c>
      <c r="L34" s="176">
        <f t="shared" si="4"/>
        <v>0.9028838846446142</v>
      </c>
    </row>
    <row r="35" spans="1:12" s="101" customFormat="1" ht="13.5">
      <c r="A35" s="526" t="s">
        <v>47</v>
      </c>
      <c r="B35" s="527"/>
      <c r="C35" s="528"/>
      <c r="D35" s="135">
        <v>3753</v>
      </c>
      <c r="E35" s="136">
        <v>3472</v>
      </c>
      <c r="F35" s="148">
        <f t="shared" si="0"/>
        <v>-281</v>
      </c>
      <c r="G35" s="149">
        <f t="shared" si="3"/>
        <v>0.9251265654143352</v>
      </c>
      <c r="H35" s="137">
        <v>3407</v>
      </c>
      <c r="I35" s="137"/>
      <c r="J35" s="134">
        <f>SUM(J36:J45)</f>
        <v>3407</v>
      </c>
      <c r="K35" s="148">
        <f t="shared" si="2"/>
        <v>-65</v>
      </c>
      <c r="L35" s="152">
        <f t="shared" si="4"/>
        <v>0.981278801843318</v>
      </c>
    </row>
    <row r="36" spans="1:12" s="101" customFormat="1" ht="13.5">
      <c r="A36" s="514" t="s">
        <v>48</v>
      </c>
      <c r="B36" s="515"/>
      <c r="C36" s="516"/>
      <c r="D36" s="125">
        <v>2432</v>
      </c>
      <c r="E36" s="126">
        <v>2645</v>
      </c>
      <c r="F36" s="144">
        <f t="shared" si="0"/>
        <v>213</v>
      </c>
      <c r="G36" s="145">
        <f t="shared" si="3"/>
        <v>1.0875822368421053</v>
      </c>
      <c r="H36" s="127">
        <v>2672</v>
      </c>
      <c r="I36" s="128"/>
      <c r="J36" s="124">
        <f t="shared" si="1"/>
        <v>2672</v>
      </c>
      <c r="K36" s="144">
        <f t="shared" si="2"/>
        <v>27</v>
      </c>
      <c r="L36" s="150">
        <f t="shared" si="4"/>
        <v>1.0102079395085066</v>
      </c>
    </row>
    <row r="37" spans="1:12" s="101" customFormat="1" ht="13.5">
      <c r="A37" s="514" t="s">
        <v>49</v>
      </c>
      <c r="B37" s="515"/>
      <c r="C37" s="516"/>
      <c r="D37" s="125">
        <v>79</v>
      </c>
      <c r="E37" s="126">
        <v>80</v>
      </c>
      <c r="F37" s="144">
        <f t="shared" si="0"/>
        <v>1</v>
      </c>
      <c r="G37" s="145">
        <f t="shared" si="3"/>
        <v>1.0126582278481013</v>
      </c>
      <c r="H37" s="127">
        <v>80</v>
      </c>
      <c r="I37" s="128"/>
      <c r="J37" s="124">
        <f t="shared" si="1"/>
        <v>80</v>
      </c>
      <c r="K37" s="144">
        <f t="shared" si="2"/>
        <v>0</v>
      </c>
      <c r="L37" s="150">
        <f t="shared" si="4"/>
        <v>1</v>
      </c>
    </row>
    <row r="38" spans="1:12" s="101" customFormat="1" ht="13.5">
      <c r="A38" s="514" t="s">
        <v>50</v>
      </c>
      <c r="B38" s="515"/>
      <c r="C38" s="516"/>
      <c r="D38" s="138">
        <v>253</v>
      </c>
      <c r="E38" s="130">
        <v>156</v>
      </c>
      <c r="F38" s="144">
        <f t="shared" si="0"/>
        <v>-97</v>
      </c>
      <c r="G38" s="145">
        <f t="shared" si="3"/>
        <v>0.616600790513834</v>
      </c>
      <c r="H38" s="122">
        <v>60</v>
      </c>
      <c r="I38" s="123"/>
      <c r="J38" s="124">
        <v>60</v>
      </c>
      <c r="K38" s="144">
        <f t="shared" si="2"/>
        <v>-96</v>
      </c>
      <c r="L38" s="150">
        <f t="shared" si="4"/>
        <v>0.38461538461538464</v>
      </c>
    </row>
    <row r="39" spans="1:12" s="101" customFormat="1" ht="13.5">
      <c r="A39" s="514" t="s">
        <v>51</v>
      </c>
      <c r="B39" s="515"/>
      <c r="C39" s="516"/>
      <c r="D39" s="125">
        <v>26</v>
      </c>
      <c r="E39" s="126">
        <v>15</v>
      </c>
      <c r="F39" s="144">
        <f t="shared" si="0"/>
        <v>-11</v>
      </c>
      <c r="G39" s="145">
        <f t="shared" si="3"/>
        <v>0.5769230769230769</v>
      </c>
      <c r="H39" s="127">
        <v>15</v>
      </c>
      <c r="I39" s="128"/>
      <c r="J39" s="124">
        <f t="shared" si="1"/>
        <v>15</v>
      </c>
      <c r="K39" s="144">
        <f t="shared" si="2"/>
        <v>0</v>
      </c>
      <c r="L39" s="150">
        <f t="shared" si="4"/>
        <v>1</v>
      </c>
    </row>
    <row r="40" spans="1:12" s="101" customFormat="1" ht="13.5">
      <c r="A40" s="514" t="s">
        <v>52</v>
      </c>
      <c r="B40" s="515"/>
      <c r="C40" s="516"/>
      <c r="D40" s="125">
        <v>312</v>
      </c>
      <c r="E40" s="126">
        <v>20</v>
      </c>
      <c r="F40" s="144">
        <f t="shared" si="0"/>
        <v>-292</v>
      </c>
      <c r="G40" s="145">
        <f t="shared" si="3"/>
        <v>0.0641025641025641</v>
      </c>
      <c r="H40" s="127">
        <v>20</v>
      </c>
      <c r="I40" s="128"/>
      <c r="J40" s="124">
        <f t="shared" si="1"/>
        <v>20</v>
      </c>
      <c r="K40" s="144">
        <f t="shared" si="2"/>
        <v>0</v>
      </c>
      <c r="L40" s="150">
        <f t="shared" si="4"/>
        <v>1</v>
      </c>
    </row>
    <row r="41" spans="1:14" s="101" customFormat="1" ht="13.5">
      <c r="A41" s="514" t="s">
        <v>53</v>
      </c>
      <c r="B41" s="515"/>
      <c r="C41" s="516"/>
      <c r="D41" s="125">
        <v>62</v>
      </c>
      <c r="E41" s="126">
        <v>37</v>
      </c>
      <c r="F41" s="144">
        <f t="shared" si="0"/>
        <v>-25</v>
      </c>
      <c r="G41" s="145">
        <f t="shared" si="3"/>
        <v>0.5967741935483871</v>
      </c>
      <c r="H41" s="127">
        <v>40</v>
      </c>
      <c r="I41" s="128"/>
      <c r="J41" s="124">
        <f t="shared" si="1"/>
        <v>40</v>
      </c>
      <c r="K41" s="144">
        <f t="shared" si="2"/>
        <v>3</v>
      </c>
      <c r="L41" s="150">
        <f t="shared" si="4"/>
        <v>1.0810810810810811</v>
      </c>
      <c r="N41" s="129"/>
    </row>
    <row r="42" spans="1:12" s="101" customFormat="1" ht="13.5">
      <c r="A42" s="514" t="s">
        <v>54</v>
      </c>
      <c r="B42" s="515"/>
      <c r="C42" s="516"/>
      <c r="D42" s="125">
        <v>237</v>
      </c>
      <c r="E42" s="126">
        <v>251</v>
      </c>
      <c r="F42" s="144">
        <f t="shared" si="0"/>
        <v>14</v>
      </c>
      <c r="G42" s="145">
        <f t="shared" si="3"/>
        <v>1.0590717299578059</v>
      </c>
      <c r="H42" s="127">
        <v>250</v>
      </c>
      <c r="I42" s="128"/>
      <c r="J42" s="124">
        <v>250</v>
      </c>
      <c r="K42" s="144">
        <f t="shared" si="2"/>
        <v>-1</v>
      </c>
      <c r="L42" s="150">
        <f t="shared" si="4"/>
        <v>0.9960159362549801</v>
      </c>
    </row>
    <row r="43" spans="1:14" s="101" customFormat="1" ht="13.5">
      <c r="A43" s="514" t="s">
        <v>166</v>
      </c>
      <c r="B43" s="515"/>
      <c r="C43" s="516"/>
      <c r="D43" s="125">
        <v>0</v>
      </c>
      <c r="E43" s="126">
        <v>0</v>
      </c>
      <c r="F43" s="144">
        <f t="shared" si="0"/>
        <v>0</v>
      </c>
      <c r="G43" s="145"/>
      <c r="H43" s="127">
        <v>0</v>
      </c>
      <c r="I43" s="128"/>
      <c r="J43" s="124">
        <f t="shared" si="1"/>
        <v>0</v>
      </c>
      <c r="K43" s="144">
        <f t="shared" si="2"/>
        <v>0</v>
      </c>
      <c r="L43" s="150"/>
      <c r="N43" s="129"/>
    </row>
    <row r="44" spans="1:12" s="101" customFormat="1" ht="13.5">
      <c r="A44" s="514" t="s">
        <v>167</v>
      </c>
      <c r="B44" s="515"/>
      <c r="C44" s="516"/>
      <c r="D44" s="125">
        <v>0</v>
      </c>
      <c r="E44" s="126">
        <v>52</v>
      </c>
      <c r="F44" s="144">
        <f t="shared" si="0"/>
        <v>52</v>
      </c>
      <c r="G44" s="145"/>
      <c r="H44" s="127">
        <v>52</v>
      </c>
      <c r="I44" s="128"/>
      <c r="J44" s="124">
        <f t="shared" si="1"/>
        <v>52</v>
      </c>
      <c r="K44" s="144">
        <f t="shared" si="2"/>
        <v>0</v>
      </c>
      <c r="L44" s="150">
        <f t="shared" si="4"/>
        <v>1</v>
      </c>
    </row>
    <row r="45" spans="1:12" s="101" customFormat="1" ht="13.5">
      <c r="A45" s="514" t="s">
        <v>55</v>
      </c>
      <c r="B45" s="515"/>
      <c r="C45" s="516"/>
      <c r="D45" s="125">
        <v>352</v>
      </c>
      <c r="E45" s="126">
        <v>216</v>
      </c>
      <c r="F45" s="144">
        <f t="shared" si="0"/>
        <v>-136</v>
      </c>
      <c r="G45" s="145">
        <f t="shared" si="3"/>
        <v>0.6136363636363636</v>
      </c>
      <c r="H45" s="127">
        <v>218</v>
      </c>
      <c r="I45" s="128"/>
      <c r="J45" s="124">
        <f t="shared" si="1"/>
        <v>218</v>
      </c>
      <c r="K45" s="144">
        <f t="shared" si="2"/>
        <v>2</v>
      </c>
      <c r="L45" s="150">
        <f t="shared" si="4"/>
        <v>1.0092592592592593</v>
      </c>
    </row>
    <row r="46" spans="1:14" s="101" customFormat="1" ht="13.5">
      <c r="A46" s="526" t="s">
        <v>56</v>
      </c>
      <c r="B46" s="527"/>
      <c r="C46" s="528"/>
      <c r="D46" s="125">
        <v>1773</v>
      </c>
      <c r="E46" s="126">
        <v>2416</v>
      </c>
      <c r="F46" s="144">
        <f t="shared" si="0"/>
        <v>643</v>
      </c>
      <c r="G46" s="145">
        <f t="shared" si="3"/>
        <v>1.362662154540327</v>
      </c>
      <c r="H46" s="127">
        <v>2416</v>
      </c>
      <c r="I46" s="127"/>
      <c r="J46" s="124">
        <f>SUM(J47:J50)</f>
        <v>2416</v>
      </c>
      <c r="K46" s="144">
        <f t="shared" si="2"/>
        <v>0</v>
      </c>
      <c r="L46" s="150">
        <f t="shared" si="4"/>
        <v>1</v>
      </c>
      <c r="N46" s="129"/>
    </row>
    <row r="47" spans="1:12" s="101" customFormat="1" ht="13.5">
      <c r="A47" s="514" t="s">
        <v>57</v>
      </c>
      <c r="B47" s="515"/>
      <c r="C47" s="516"/>
      <c r="D47" s="125">
        <v>603</v>
      </c>
      <c r="E47" s="126">
        <v>969</v>
      </c>
      <c r="F47" s="144">
        <f t="shared" si="0"/>
        <v>366</v>
      </c>
      <c r="G47" s="145">
        <f t="shared" si="3"/>
        <v>1.6069651741293531</v>
      </c>
      <c r="H47" s="127">
        <v>969</v>
      </c>
      <c r="I47" s="128"/>
      <c r="J47" s="124">
        <f t="shared" si="1"/>
        <v>969</v>
      </c>
      <c r="K47" s="144">
        <f t="shared" si="2"/>
        <v>0</v>
      </c>
      <c r="L47" s="150">
        <f t="shared" si="4"/>
        <v>1</v>
      </c>
    </row>
    <row r="48" spans="1:12" s="101" customFormat="1" ht="13.5">
      <c r="A48" s="514" t="s">
        <v>58</v>
      </c>
      <c r="B48" s="515"/>
      <c r="C48" s="516"/>
      <c r="D48" s="125">
        <v>928</v>
      </c>
      <c r="E48" s="126">
        <v>1162</v>
      </c>
      <c r="F48" s="144">
        <f t="shared" si="0"/>
        <v>234</v>
      </c>
      <c r="G48" s="145">
        <f t="shared" si="3"/>
        <v>1.2521551724137931</v>
      </c>
      <c r="H48" s="127">
        <v>1162</v>
      </c>
      <c r="I48" s="128"/>
      <c r="J48" s="124">
        <f t="shared" si="1"/>
        <v>1162</v>
      </c>
      <c r="K48" s="144">
        <f t="shared" si="2"/>
        <v>0</v>
      </c>
      <c r="L48" s="150">
        <f t="shared" si="4"/>
        <v>1</v>
      </c>
    </row>
    <row r="49" spans="1:12" s="101" customFormat="1" ht="13.5">
      <c r="A49" s="514" t="s">
        <v>59</v>
      </c>
      <c r="B49" s="515"/>
      <c r="C49" s="516"/>
      <c r="D49" s="125">
        <v>242</v>
      </c>
      <c r="E49" s="126">
        <v>285</v>
      </c>
      <c r="F49" s="144">
        <f t="shared" si="0"/>
        <v>43</v>
      </c>
      <c r="G49" s="145">
        <f t="shared" si="3"/>
        <v>1.177685950413223</v>
      </c>
      <c r="H49" s="127">
        <v>285</v>
      </c>
      <c r="I49" s="128"/>
      <c r="J49" s="124">
        <f t="shared" si="1"/>
        <v>285</v>
      </c>
      <c r="K49" s="144">
        <f t="shared" si="2"/>
        <v>0</v>
      </c>
      <c r="L49" s="150">
        <f t="shared" si="4"/>
        <v>1</v>
      </c>
    </row>
    <row r="50" spans="1:12" s="101" customFormat="1" ht="13.5">
      <c r="A50" s="514" t="s">
        <v>168</v>
      </c>
      <c r="B50" s="515"/>
      <c r="C50" s="516"/>
      <c r="D50" s="125">
        <v>0</v>
      </c>
      <c r="E50" s="126">
        <v>0</v>
      </c>
      <c r="F50" s="144">
        <f t="shared" si="0"/>
        <v>0</v>
      </c>
      <c r="G50" s="145"/>
      <c r="H50" s="127">
        <v>0</v>
      </c>
      <c r="I50" s="128"/>
      <c r="J50" s="124">
        <f t="shared" si="1"/>
        <v>0</v>
      </c>
      <c r="K50" s="144">
        <f t="shared" si="2"/>
        <v>0</v>
      </c>
      <c r="L50" s="150"/>
    </row>
    <row r="51" spans="1:12" s="101" customFormat="1" ht="13.5">
      <c r="A51" s="526" t="s">
        <v>60</v>
      </c>
      <c r="B51" s="527"/>
      <c r="C51" s="528"/>
      <c r="D51" s="125">
        <v>0</v>
      </c>
      <c r="E51" s="126">
        <v>0</v>
      </c>
      <c r="F51" s="144">
        <f t="shared" si="0"/>
        <v>0</v>
      </c>
      <c r="G51" s="145"/>
      <c r="H51" s="127">
        <v>0</v>
      </c>
      <c r="I51" s="128"/>
      <c r="J51" s="124">
        <v>0</v>
      </c>
      <c r="K51" s="144">
        <f t="shared" si="2"/>
        <v>0</v>
      </c>
      <c r="L51" s="150"/>
    </row>
    <row r="52" spans="1:12" s="101" customFormat="1" ht="13.5">
      <c r="A52" s="526" t="s">
        <v>61</v>
      </c>
      <c r="B52" s="527"/>
      <c r="C52" s="528"/>
      <c r="D52" s="125">
        <v>0</v>
      </c>
      <c r="E52" s="126">
        <v>0</v>
      </c>
      <c r="F52" s="144">
        <f t="shared" si="0"/>
        <v>0</v>
      </c>
      <c r="G52" s="145"/>
      <c r="H52" s="127">
        <v>0</v>
      </c>
      <c r="I52" s="128"/>
      <c r="J52" s="124">
        <f t="shared" si="1"/>
        <v>0</v>
      </c>
      <c r="K52" s="144">
        <f t="shared" si="2"/>
        <v>0</v>
      </c>
      <c r="L52" s="150"/>
    </row>
    <row r="53" spans="1:12" s="101" customFormat="1" ht="13.5">
      <c r="A53" s="526" t="s">
        <v>62</v>
      </c>
      <c r="B53" s="527"/>
      <c r="C53" s="528"/>
      <c r="D53" s="125">
        <v>199</v>
      </c>
      <c r="E53" s="126">
        <v>231</v>
      </c>
      <c r="F53" s="144">
        <f t="shared" si="0"/>
        <v>32</v>
      </c>
      <c r="G53" s="145">
        <f t="shared" si="3"/>
        <v>1.1608040201005025</v>
      </c>
      <c r="H53" s="127">
        <v>256</v>
      </c>
      <c r="I53" s="128"/>
      <c r="J53" s="124">
        <f>SUM(J54:J56)</f>
        <v>256</v>
      </c>
      <c r="K53" s="144">
        <f t="shared" si="2"/>
        <v>25</v>
      </c>
      <c r="L53" s="150">
        <f t="shared" si="4"/>
        <v>1.1082251082251082</v>
      </c>
    </row>
    <row r="54" spans="1:12" s="101" customFormat="1" ht="13.5">
      <c r="A54" s="529" t="s">
        <v>63</v>
      </c>
      <c r="B54" s="530"/>
      <c r="C54" s="531"/>
      <c r="D54" s="125">
        <v>58</v>
      </c>
      <c r="E54" s="126">
        <v>81</v>
      </c>
      <c r="F54" s="144">
        <f t="shared" si="0"/>
        <v>23</v>
      </c>
      <c r="G54" s="145">
        <f t="shared" si="3"/>
        <v>1.396551724137931</v>
      </c>
      <c r="H54" s="127">
        <v>80</v>
      </c>
      <c r="I54" s="128"/>
      <c r="J54" s="124">
        <v>80</v>
      </c>
      <c r="K54" s="144">
        <f t="shared" si="2"/>
        <v>-1</v>
      </c>
      <c r="L54" s="150">
        <f t="shared" si="4"/>
        <v>0.9876543209876543</v>
      </c>
    </row>
    <row r="55" spans="1:12" s="101" customFormat="1" ht="13.5">
      <c r="A55" s="529" t="s">
        <v>169</v>
      </c>
      <c r="B55" s="530"/>
      <c r="C55" s="531"/>
      <c r="D55" s="125">
        <v>132</v>
      </c>
      <c r="E55" s="126">
        <v>123</v>
      </c>
      <c r="F55" s="144">
        <f t="shared" si="0"/>
        <v>-9</v>
      </c>
      <c r="G55" s="145">
        <f t="shared" si="3"/>
        <v>0.9318181818181818</v>
      </c>
      <c r="H55" s="127">
        <v>120</v>
      </c>
      <c r="I55" s="128"/>
      <c r="J55" s="124">
        <v>120</v>
      </c>
      <c r="K55" s="144">
        <f t="shared" si="2"/>
        <v>-3</v>
      </c>
      <c r="L55" s="150">
        <f t="shared" si="4"/>
        <v>0.975609756097561</v>
      </c>
    </row>
    <row r="56" spans="1:12" s="101" customFormat="1" ht="13.5">
      <c r="A56" s="529" t="s">
        <v>133</v>
      </c>
      <c r="B56" s="530"/>
      <c r="C56" s="531"/>
      <c r="D56" s="125">
        <v>9</v>
      </c>
      <c r="E56" s="126">
        <v>27</v>
      </c>
      <c r="F56" s="144">
        <f t="shared" si="0"/>
        <v>18</v>
      </c>
      <c r="G56" s="145">
        <f t="shared" si="3"/>
        <v>3</v>
      </c>
      <c r="H56" s="127">
        <v>56</v>
      </c>
      <c r="I56" s="128"/>
      <c r="J56" s="124">
        <f t="shared" si="1"/>
        <v>56</v>
      </c>
      <c r="K56" s="144">
        <f t="shared" si="2"/>
        <v>29</v>
      </c>
      <c r="L56" s="150">
        <f t="shared" si="4"/>
        <v>2.074074074074074</v>
      </c>
    </row>
    <row r="57" spans="1:12" s="101" customFormat="1" ht="13.5">
      <c r="A57" s="526" t="s">
        <v>64</v>
      </c>
      <c r="B57" s="527"/>
      <c r="C57" s="528"/>
      <c r="D57" s="125">
        <v>65</v>
      </c>
      <c r="E57" s="126">
        <v>34</v>
      </c>
      <c r="F57" s="144">
        <f t="shared" si="0"/>
        <v>-31</v>
      </c>
      <c r="G57" s="145">
        <f t="shared" si="3"/>
        <v>0.5230769230769231</v>
      </c>
      <c r="H57" s="127">
        <v>40</v>
      </c>
      <c r="I57" s="128"/>
      <c r="J57" s="124">
        <f t="shared" si="1"/>
        <v>40</v>
      </c>
      <c r="K57" s="144">
        <f t="shared" si="2"/>
        <v>6</v>
      </c>
      <c r="L57" s="150">
        <f t="shared" si="4"/>
        <v>1.1764705882352942</v>
      </c>
    </row>
    <row r="58" spans="1:12" s="101" customFormat="1" ht="13.5">
      <c r="A58" s="526" t="s">
        <v>65</v>
      </c>
      <c r="B58" s="527"/>
      <c r="C58" s="528"/>
      <c r="D58" s="125">
        <v>1</v>
      </c>
      <c r="E58" s="126">
        <v>4</v>
      </c>
      <c r="F58" s="144">
        <f t="shared" si="0"/>
        <v>3</v>
      </c>
      <c r="G58" s="145">
        <f t="shared" si="3"/>
        <v>4</v>
      </c>
      <c r="H58" s="127">
        <v>4</v>
      </c>
      <c r="I58" s="128"/>
      <c r="J58" s="124">
        <f t="shared" si="1"/>
        <v>4</v>
      </c>
      <c r="K58" s="144">
        <f t="shared" si="2"/>
        <v>0</v>
      </c>
      <c r="L58" s="150">
        <f t="shared" si="4"/>
        <v>1</v>
      </c>
    </row>
    <row r="59" spans="1:14" s="101" customFormat="1" ht="13.5">
      <c r="A59" s="526" t="s">
        <v>66</v>
      </c>
      <c r="B59" s="527"/>
      <c r="C59" s="528"/>
      <c r="D59" s="125">
        <v>1123</v>
      </c>
      <c r="E59" s="126">
        <v>482</v>
      </c>
      <c r="F59" s="144">
        <f t="shared" si="0"/>
        <v>-641</v>
      </c>
      <c r="G59" s="145">
        <f t="shared" si="3"/>
        <v>0.42920747996438113</v>
      </c>
      <c r="H59" s="127">
        <v>487</v>
      </c>
      <c r="I59" s="128"/>
      <c r="J59" s="124">
        <f t="shared" si="1"/>
        <v>487</v>
      </c>
      <c r="K59" s="144">
        <f t="shared" si="2"/>
        <v>5</v>
      </c>
      <c r="L59" s="150">
        <f t="shared" si="4"/>
        <v>1.0103734439834025</v>
      </c>
      <c r="N59" s="129"/>
    </row>
    <row r="60" spans="1:12" s="101" customFormat="1" ht="13.5">
      <c r="A60" s="514" t="s">
        <v>67</v>
      </c>
      <c r="B60" s="515"/>
      <c r="C60" s="516"/>
      <c r="D60" s="125">
        <v>90</v>
      </c>
      <c r="E60" s="126">
        <v>102</v>
      </c>
      <c r="F60" s="144">
        <f t="shared" si="0"/>
        <v>12</v>
      </c>
      <c r="G60" s="145">
        <f t="shared" si="3"/>
        <v>1.1333333333333333</v>
      </c>
      <c r="H60" s="127">
        <v>103</v>
      </c>
      <c r="I60" s="128"/>
      <c r="J60" s="124">
        <f t="shared" si="1"/>
        <v>103</v>
      </c>
      <c r="K60" s="144">
        <f t="shared" si="2"/>
        <v>1</v>
      </c>
      <c r="L60" s="150">
        <f t="shared" si="4"/>
        <v>1.0098039215686274</v>
      </c>
    </row>
    <row r="61" spans="1:12" s="101" customFormat="1" ht="13.5">
      <c r="A61" s="514" t="s">
        <v>68</v>
      </c>
      <c r="B61" s="515"/>
      <c r="C61" s="516"/>
      <c r="D61" s="125">
        <v>360</v>
      </c>
      <c r="E61" s="126">
        <v>0</v>
      </c>
      <c r="F61" s="144">
        <f t="shared" si="0"/>
        <v>-360</v>
      </c>
      <c r="G61" s="145">
        <f t="shared" si="3"/>
        <v>0</v>
      </c>
      <c r="H61" s="127">
        <v>0</v>
      </c>
      <c r="I61" s="128"/>
      <c r="J61" s="124">
        <f t="shared" si="1"/>
        <v>0</v>
      </c>
      <c r="K61" s="144">
        <f t="shared" si="2"/>
        <v>0</v>
      </c>
      <c r="L61" s="150"/>
    </row>
    <row r="62" spans="1:12" s="101" customFormat="1" ht="13.5">
      <c r="A62" s="514" t="s">
        <v>69</v>
      </c>
      <c r="B62" s="515"/>
      <c r="C62" s="516"/>
      <c r="D62" s="125">
        <v>0</v>
      </c>
      <c r="E62" s="126">
        <v>0</v>
      </c>
      <c r="F62" s="144">
        <f t="shared" si="0"/>
        <v>0</v>
      </c>
      <c r="G62" s="145"/>
      <c r="H62" s="127">
        <v>0</v>
      </c>
      <c r="I62" s="128"/>
      <c r="J62" s="124">
        <f t="shared" si="1"/>
        <v>0</v>
      </c>
      <c r="K62" s="144">
        <f t="shared" si="2"/>
        <v>0</v>
      </c>
      <c r="L62" s="150"/>
    </row>
    <row r="63" spans="1:12" s="101" customFormat="1" ht="13.5">
      <c r="A63" s="514" t="s">
        <v>70</v>
      </c>
      <c r="B63" s="515"/>
      <c r="C63" s="516"/>
      <c r="D63" s="125">
        <v>0</v>
      </c>
      <c r="E63" s="126">
        <v>0</v>
      </c>
      <c r="F63" s="144">
        <f t="shared" si="0"/>
        <v>0</v>
      </c>
      <c r="G63" s="145"/>
      <c r="H63" s="127">
        <v>0</v>
      </c>
      <c r="I63" s="128"/>
      <c r="J63" s="124">
        <f t="shared" si="1"/>
        <v>0</v>
      </c>
      <c r="K63" s="144">
        <f t="shared" si="2"/>
        <v>0</v>
      </c>
      <c r="L63" s="150"/>
    </row>
    <row r="64" spans="1:12" s="101" customFormat="1" ht="13.5">
      <c r="A64" s="514" t="s">
        <v>71</v>
      </c>
      <c r="B64" s="515"/>
      <c r="C64" s="516"/>
      <c r="D64" s="125">
        <v>0</v>
      </c>
      <c r="E64" s="126">
        <v>0</v>
      </c>
      <c r="F64" s="144">
        <f t="shared" si="0"/>
        <v>0</v>
      </c>
      <c r="G64" s="145"/>
      <c r="H64" s="127">
        <v>0</v>
      </c>
      <c r="I64" s="128"/>
      <c r="J64" s="124">
        <f t="shared" si="1"/>
        <v>0</v>
      </c>
      <c r="K64" s="144">
        <f t="shared" si="2"/>
        <v>0</v>
      </c>
      <c r="L64" s="150"/>
    </row>
    <row r="65" spans="1:12" s="101" customFormat="1" ht="13.5">
      <c r="A65" s="514" t="s">
        <v>170</v>
      </c>
      <c r="B65" s="515"/>
      <c r="C65" s="516"/>
      <c r="D65" s="125">
        <v>55</v>
      </c>
      <c r="E65" s="126">
        <v>61</v>
      </c>
      <c r="F65" s="144">
        <f t="shared" si="0"/>
        <v>6</v>
      </c>
      <c r="G65" s="145">
        <f t="shared" si="3"/>
        <v>1.1090909090909091</v>
      </c>
      <c r="H65" s="127">
        <v>62</v>
      </c>
      <c r="I65" s="128"/>
      <c r="J65" s="124">
        <f t="shared" si="1"/>
        <v>62</v>
      </c>
      <c r="K65" s="144">
        <f t="shared" si="2"/>
        <v>1</v>
      </c>
      <c r="L65" s="150">
        <f t="shared" si="4"/>
        <v>1.0163934426229508</v>
      </c>
    </row>
    <row r="66" spans="1:12" s="101" customFormat="1" ht="13.5">
      <c r="A66" s="514" t="s">
        <v>72</v>
      </c>
      <c r="B66" s="515"/>
      <c r="C66" s="516"/>
      <c r="D66" s="125">
        <v>102</v>
      </c>
      <c r="E66" s="126">
        <v>54</v>
      </c>
      <c r="F66" s="144">
        <f t="shared" si="0"/>
        <v>-48</v>
      </c>
      <c r="G66" s="145">
        <f t="shared" si="3"/>
        <v>0.5294117647058824</v>
      </c>
      <c r="H66" s="127">
        <v>54</v>
      </c>
      <c r="I66" s="128"/>
      <c r="J66" s="124">
        <f t="shared" si="1"/>
        <v>54</v>
      </c>
      <c r="K66" s="144">
        <f t="shared" si="2"/>
        <v>0</v>
      </c>
      <c r="L66" s="150">
        <f t="shared" si="4"/>
        <v>1</v>
      </c>
    </row>
    <row r="67" spans="1:12" s="101" customFormat="1" ht="13.5">
      <c r="A67" s="514" t="s">
        <v>73</v>
      </c>
      <c r="B67" s="515"/>
      <c r="C67" s="516"/>
      <c r="D67" s="125">
        <v>516</v>
      </c>
      <c r="E67" s="126">
        <v>265</v>
      </c>
      <c r="F67" s="144">
        <f t="shared" si="0"/>
        <v>-251</v>
      </c>
      <c r="G67" s="145">
        <f>E67/D67</f>
        <v>0.5135658914728682</v>
      </c>
      <c r="H67" s="127">
        <v>268</v>
      </c>
      <c r="I67" s="128"/>
      <c r="J67" s="124">
        <f t="shared" si="1"/>
        <v>268</v>
      </c>
      <c r="K67" s="144">
        <f t="shared" si="2"/>
        <v>3</v>
      </c>
      <c r="L67" s="150">
        <f t="shared" si="4"/>
        <v>1.0113207547169811</v>
      </c>
    </row>
    <row r="68" spans="1:12" s="101" customFormat="1" ht="13.5">
      <c r="A68" s="514" t="s">
        <v>171</v>
      </c>
      <c r="B68" s="515"/>
      <c r="C68" s="516"/>
      <c r="D68" s="125">
        <v>0</v>
      </c>
      <c r="E68" s="126">
        <v>0</v>
      </c>
      <c r="F68" s="144">
        <f t="shared" si="0"/>
        <v>0</v>
      </c>
      <c r="G68" s="145"/>
      <c r="H68" s="127">
        <v>0</v>
      </c>
      <c r="I68" s="128"/>
      <c r="J68" s="124">
        <f t="shared" si="1"/>
        <v>0</v>
      </c>
      <c r="K68" s="144">
        <f t="shared" si="2"/>
        <v>0</v>
      </c>
      <c r="L68" s="150"/>
    </row>
    <row r="69" spans="1:14" s="101" customFormat="1" ht="13.5">
      <c r="A69" s="526" t="s">
        <v>74</v>
      </c>
      <c r="B69" s="527"/>
      <c r="C69" s="528"/>
      <c r="D69" s="125">
        <v>17115</v>
      </c>
      <c r="E69" s="126">
        <v>17213</v>
      </c>
      <c r="F69" s="144">
        <f t="shared" si="0"/>
        <v>98</v>
      </c>
      <c r="G69" s="145">
        <f t="shared" si="3"/>
        <v>1.0057259713701432</v>
      </c>
      <c r="H69" s="127">
        <v>17200</v>
      </c>
      <c r="I69" s="128"/>
      <c r="J69" s="124">
        <f>SUM(J70+J74)</f>
        <v>17200</v>
      </c>
      <c r="K69" s="144">
        <f t="shared" si="2"/>
        <v>-13</v>
      </c>
      <c r="L69" s="150">
        <f t="shared" si="4"/>
        <v>0.9992447568698077</v>
      </c>
      <c r="N69" s="129"/>
    </row>
    <row r="70" spans="1:12" s="101" customFormat="1" ht="13.5">
      <c r="A70" s="514" t="s">
        <v>75</v>
      </c>
      <c r="B70" s="515"/>
      <c r="C70" s="516"/>
      <c r="D70" s="125">
        <v>12594</v>
      </c>
      <c r="E70" s="126">
        <v>12629</v>
      </c>
      <c r="F70" s="144">
        <f t="shared" si="0"/>
        <v>35</v>
      </c>
      <c r="G70" s="145">
        <f t="shared" si="3"/>
        <v>1.0027791011592821</v>
      </c>
      <c r="H70" s="127">
        <v>12620</v>
      </c>
      <c r="I70" s="128"/>
      <c r="J70" s="124">
        <f t="shared" si="1"/>
        <v>12620</v>
      </c>
      <c r="K70" s="144">
        <f t="shared" si="2"/>
        <v>-9</v>
      </c>
      <c r="L70" s="150">
        <f t="shared" si="4"/>
        <v>0.999287354501544</v>
      </c>
    </row>
    <row r="71" spans="1:12" s="101" customFormat="1" ht="13.5">
      <c r="A71" s="514" t="s">
        <v>76</v>
      </c>
      <c r="B71" s="515"/>
      <c r="C71" s="516"/>
      <c r="D71" s="125">
        <v>12523</v>
      </c>
      <c r="E71" s="126">
        <v>12547</v>
      </c>
      <c r="F71" s="144">
        <f t="shared" si="0"/>
        <v>24</v>
      </c>
      <c r="G71" s="145">
        <f t="shared" si="3"/>
        <v>1.0019164736884134</v>
      </c>
      <c r="H71" s="127">
        <v>12540</v>
      </c>
      <c r="I71" s="128"/>
      <c r="J71" s="124">
        <f t="shared" si="1"/>
        <v>12540</v>
      </c>
      <c r="K71" s="144">
        <f t="shared" si="2"/>
        <v>-7</v>
      </c>
      <c r="L71" s="150">
        <f t="shared" si="4"/>
        <v>0.9994420977126006</v>
      </c>
    </row>
    <row r="72" spans="1:12" s="101" customFormat="1" ht="13.5">
      <c r="A72" s="514" t="s">
        <v>172</v>
      </c>
      <c r="B72" s="515"/>
      <c r="C72" s="516"/>
      <c r="D72" s="125">
        <v>12600</v>
      </c>
      <c r="E72" s="126">
        <v>12500</v>
      </c>
      <c r="F72" s="144">
        <f t="shared" si="0"/>
        <v>-100</v>
      </c>
      <c r="G72" s="145">
        <f t="shared" si="3"/>
        <v>0.9920634920634921</v>
      </c>
      <c r="H72" s="127">
        <v>12500</v>
      </c>
      <c r="I72" s="128"/>
      <c r="J72" s="124">
        <f t="shared" si="1"/>
        <v>12500</v>
      </c>
      <c r="K72" s="144">
        <f t="shared" si="2"/>
        <v>0</v>
      </c>
      <c r="L72" s="150">
        <f t="shared" si="4"/>
        <v>1</v>
      </c>
    </row>
    <row r="73" spans="1:14" s="101" customFormat="1" ht="13.5">
      <c r="A73" s="514" t="s">
        <v>77</v>
      </c>
      <c r="B73" s="515"/>
      <c r="C73" s="516"/>
      <c r="D73" s="125">
        <v>71</v>
      </c>
      <c r="E73" s="126">
        <v>82</v>
      </c>
      <c r="F73" s="144">
        <f t="shared" si="0"/>
        <v>11</v>
      </c>
      <c r="G73" s="145">
        <f t="shared" si="3"/>
        <v>1.1549295774647887</v>
      </c>
      <c r="H73" s="127">
        <v>80</v>
      </c>
      <c r="I73" s="128"/>
      <c r="J73" s="124">
        <f t="shared" si="1"/>
        <v>80</v>
      </c>
      <c r="K73" s="144">
        <f t="shared" si="2"/>
        <v>-2</v>
      </c>
      <c r="L73" s="150">
        <f t="shared" si="4"/>
        <v>0.975609756097561</v>
      </c>
      <c r="N73" s="129"/>
    </row>
    <row r="74" spans="1:12" s="101" customFormat="1" ht="13.5">
      <c r="A74" s="514" t="s">
        <v>78</v>
      </c>
      <c r="B74" s="515"/>
      <c r="C74" s="516"/>
      <c r="D74" s="125">
        <v>4521</v>
      </c>
      <c r="E74" s="126">
        <v>4584</v>
      </c>
      <c r="F74" s="144">
        <f t="shared" si="0"/>
        <v>63</v>
      </c>
      <c r="G74" s="145">
        <f t="shared" si="3"/>
        <v>1.0139349701393496</v>
      </c>
      <c r="H74" s="127">
        <v>4580</v>
      </c>
      <c r="I74" s="128"/>
      <c r="J74" s="124">
        <f t="shared" si="1"/>
        <v>4580</v>
      </c>
      <c r="K74" s="144">
        <f t="shared" si="2"/>
        <v>-4</v>
      </c>
      <c r="L74" s="150">
        <f t="shared" si="4"/>
        <v>0.9991273996509599</v>
      </c>
    </row>
    <row r="75" spans="1:15" s="101" customFormat="1" ht="13.5">
      <c r="A75" s="526" t="s">
        <v>79</v>
      </c>
      <c r="B75" s="527"/>
      <c r="C75" s="528"/>
      <c r="D75" s="125">
        <v>0</v>
      </c>
      <c r="E75" s="126">
        <v>3</v>
      </c>
      <c r="F75" s="144">
        <f t="shared" si="0"/>
        <v>3</v>
      </c>
      <c r="G75" s="145"/>
      <c r="H75" s="127">
        <v>0</v>
      </c>
      <c r="I75" s="128"/>
      <c r="J75" s="124">
        <f t="shared" si="1"/>
        <v>0</v>
      </c>
      <c r="K75" s="144">
        <f t="shared" si="2"/>
        <v>-3</v>
      </c>
      <c r="L75" s="150">
        <f t="shared" si="4"/>
        <v>0</v>
      </c>
      <c r="N75" s="129"/>
      <c r="O75" s="139"/>
    </row>
    <row r="76" spans="1:12" s="101" customFormat="1" ht="13.5">
      <c r="A76" s="514" t="s">
        <v>80</v>
      </c>
      <c r="B76" s="515"/>
      <c r="C76" s="516"/>
      <c r="D76" s="125">
        <v>0</v>
      </c>
      <c r="E76" s="126">
        <v>0</v>
      </c>
      <c r="F76" s="144">
        <f aca="true" t="shared" si="5" ref="F76:F90">E76-D76</f>
        <v>0</v>
      </c>
      <c r="G76" s="145"/>
      <c r="H76" s="127">
        <v>0</v>
      </c>
      <c r="I76" s="128"/>
      <c r="J76" s="124">
        <f aca="true" t="shared" si="6" ref="J76:J90">H76+I76</f>
        <v>0</v>
      </c>
      <c r="K76" s="144">
        <f aca="true" t="shared" si="7" ref="K76:K90">J76-E76</f>
        <v>0</v>
      </c>
      <c r="L76" s="150"/>
    </row>
    <row r="77" spans="1:12" s="101" customFormat="1" ht="13.5">
      <c r="A77" s="526" t="s">
        <v>81</v>
      </c>
      <c r="B77" s="527"/>
      <c r="C77" s="528"/>
      <c r="D77" s="125">
        <v>67</v>
      </c>
      <c r="E77" s="126">
        <v>93</v>
      </c>
      <c r="F77" s="144">
        <f t="shared" si="5"/>
        <v>26</v>
      </c>
      <c r="G77" s="145">
        <f>E77/D77</f>
        <v>1.3880597014925373</v>
      </c>
      <c r="H77" s="127">
        <v>88</v>
      </c>
      <c r="I77" s="128"/>
      <c r="J77" s="124">
        <v>88</v>
      </c>
      <c r="K77" s="144">
        <f t="shared" si="7"/>
        <v>-5</v>
      </c>
      <c r="L77" s="150">
        <f aca="true" t="shared" si="8" ref="L77:L86">J77/E77</f>
        <v>0.946236559139785</v>
      </c>
    </row>
    <row r="78" spans="1:12" s="101" customFormat="1" ht="13.5">
      <c r="A78" s="514" t="s">
        <v>82</v>
      </c>
      <c r="B78" s="515"/>
      <c r="C78" s="516"/>
      <c r="D78" s="138">
        <v>5</v>
      </c>
      <c r="E78" s="130">
        <v>6</v>
      </c>
      <c r="F78" s="144">
        <f t="shared" si="5"/>
        <v>1</v>
      </c>
      <c r="G78" s="145">
        <f>E78/D78</f>
        <v>1.2</v>
      </c>
      <c r="H78" s="122">
        <v>0</v>
      </c>
      <c r="I78" s="123"/>
      <c r="J78" s="124">
        <f t="shared" si="6"/>
        <v>0</v>
      </c>
      <c r="K78" s="144">
        <f t="shared" si="7"/>
        <v>-6</v>
      </c>
      <c r="L78" s="150">
        <f t="shared" si="8"/>
        <v>0</v>
      </c>
    </row>
    <row r="79" spans="1:12" s="101" customFormat="1" ht="13.5">
      <c r="A79" s="514" t="s">
        <v>83</v>
      </c>
      <c r="B79" s="515"/>
      <c r="C79" s="516"/>
      <c r="D79" s="125">
        <v>0</v>
      </c>
      <c r="E79" s="126">
        <v>0</v>
      </c>
      <c r="F79" s="144">
        <f t="shared" si="5"/>
        <v>0</v>
      </c>
      <c r="G79" s="145"/>
      <c r="H79" s="127">
        <v>0</v>
      </c>
      <c r="I79" s="128"/>
      <c r="J79" s="124">
        <f t="shared" si="6"/>
        <v>0</v>
      </c>
      <c r="K79" s="144">
        <f t="shared" si="7"/>
        <v>0</v>
      </c>
      <c r="L79" s="150"/>
    </row>
    <row r="80" spans="1:12" s="101" customFormat="1" ht="13.5">
      <c r="A80" s="526" t="s">
        <v>84</v>
      </c>
      <c r="B80" s="527"/>
      <c r="C80" s="528"/>
      <c r="D80" s="125">
        <v>672</v>
      </c>
      <c r="E80" s="126">
        <v>1054</v>
      </c>
      <c r="F80" s="144">
        <f t="shared" si="5"/>
        <v>382</v>
      </c>
      <c r="G80" s="145">
        <f>E80/D80</f>
        <v>1.568452380952381</v>
      </c>
      <c r="H80" s="127">
        <v>1010</v>
      </c>
      <c r="I80" s="128"/>
      <c r="J80" s="124">
        <f>SUM(J81:J84)</f>
        <v>1010</v>
      </c>
      <c r="K80" s="144">
        <f t="shared" si="7"/>
        <v>-44</v>
      </c>
      <c r="L80" s="150">
        <f t="shared" si="8"/>
        <v>0.9582542694497154</v>
      </c>
    </row>
    <row r="81" spans="1:12" s="101" customFormat="1" ht="13.5">
      <c r="A81" s="514" t="s">
        <v>85</v>
      </c>
      <c r="B81" s="515"/>
      <c r="C81" s="516"/>
      <c r="D81" s="125">
        <v>672</v>
      </c>
      <c r="E81" s="126">
        <v>694</v>
      </c>
      <c r="F81" s="144">
        <f t="shared" si="5"/>
        <v>22</v>
      </c>
      <c r="G81" s="145">
        <f>E81/D81</f>
        <v>1.0327380952380953</v>
      </c>
      <c r="H81" s="366">
        <v>685</v>
      </c>
      <c r="I81" s="128"/>
      <c r="J81" s="124">
        <f t="shared" si="6"/>
        <v>685</v>
      </c>
      <c r="K81" s="144">
        <f t="shared" si="7"/>
        <v>-9</v>
      </c>
      <c r="L81" s="150">
        <f t="shared" si="8"/>
        <v>0.9870317002881844</v>
      </c>
    </row>
    <row r="82" spans="1:12" s="101" customFormat="1" ht="13.5">
      <c r="A82" s="514" t="s">
        <v>86</v>
      </c>
      <c r="B82" s="515"/>
      <c r="C82" s="516"/>
      <c r="D82" s="125">
        <v>0</v>
      </c>
      <c r="E82" s="126">
        <v>13</v>
      </c>
      <c r="F82" s="144">
        <f t="shared" si="5"/>
        <v>13</v>
      </c>
      <c r="G82" s="145"/>
      <c r="H82" s="127">
        <v>0</v>
      </c>
      <c r="I82" s="128"/>
      <c r="J82" s="124">
        <f t="shared" si="6"/>
        <v>0</v>
      </c>
      <c r="K82" s="144">
        <f t="shared" si="7"/>
        <v>-13</v>
      </c>
      <c r="L82" s="150">
        <f t="shared" si="8"/>
        <v>0</v>
      </c>
    </row>
    <row r="83" spans="1:12" s="101" customFormat="1" ht="13.5">
      <c r="A83" s="514" t="s">
        <v>173</v>
      </c>
      <c r="B83" s="515"/>
      <c r="C83" s="516"/>
      <c r="D83" s="125">
        <v>0</v>
      </c>
      <c r="E83" s="126">
        <v>2</v>
      </c>
      <c r="F83" s="144">
        <f t="shared" si="5"/>
        <v>2</v>
      </c>
      <c r="G83" s="145"/>
      <c r="H83" s="127">
        <v>0</v>
      </c>
      <c r="I83" s="128"/>
      <c r="J83" s="124">
        <f t="shared" si="6"/>
        <v>0</v>
      </c>
      <c r="K83" s="144">
        <f t="shared" si="7"/>
        <v>-2</v>
      </c>
      <c r="L83" s="150">
        <f t="shared" si="8"/>
        <v>0</v>
      </c>
    </row>
    <row r="84" spans="1:12" s="101" customFormat="1" ht="13.5">
      <c r="A84" s="514" t="s">
        <v>87</v>
      </c>
      <c r="B84" s="515"/>
      <c r="C84" s="516"/>
      <c r="D84" s="125">
        <v>0</v>
      </c>
      <c r="E84" s="126">
        <v>345</v>
      </c>
      <c r="F84" s="144">
        <f t="shared" si="5"/>
        <v>345</v>
      </c>
      <c r="G84" s="145"/>
      <c r="H84" s="127">
        <v>325</v>
      </c>
      <c r="I84" s="128"/>
      <c r="J84" s="124">
        <f>SUM(J85:J86)</f>
        <v>325</v>
      </c>
      <c r="K84" s="144">
        <f t="shared" si="7"/>
        <v>-20</v>
      </c>
      <c r="L84" s="150">
        <f t="shared" si="8"/>
        <v>0.9420289855072463</v>
      </c>
    </row>
    <row r="85" spans="1:12" s="101" customFormat="1" ht="13.5">
      <c r="A85" s="514" t="s">
        <v>174</v>
      </c>
      <c r="B85" s="515"/>
      <c r="C85" s="516"/>
      <c r="D85" s="125">
        <v>0</v>
      </c>
      <c r="E85" s="126">
        <v>322</v>
      </c>
      <c r="F85" s="144">
        <f t="shared" si="5"/>
        <v>322</v>
      </c>
      <c r="G85" s="145"/>
      <c r="H85" s="127">
        <v>300</v>
      </c>
      <c r="I85" s="128"/>
      <c r="J85" s="124">
        <v>300</v>
      </c>
      <c r="K85" s="144">
        <f t="shared" si="7"/>
        <v>-22</v>
      </c>
      <c r="L85" s="150">
        <f t="shared" si="8"/>
        <v>0.9316770186335404</v>
      </c>
    </row>
    <row r="86" spans="1:14" s="101" customFormat="1" ht="13.5">
      <c r="A86" s="514" t="s">
        <v>175</v>
      </c>
      <c r="B86" s="515"/>
      <c r="C86" s="516"/>
      <c r="D86" s="125">
        <v>0</v>
      </c>
      <c r="E86" s="126">
        <v>23</v>
      </c>
      <c r="F86" s="144">
        <f t="shared" si="5"/>
        <v>23</v>
      </c>
      <c r="G86" s="145"/>
      <c r="H86" s="127">
        <v>25</v>
      </c>
      <c r="I86" s="128"/>
      <c r="J86" s="124">
        <f t="shared" si="6"/>
        <v>25</v>
      </c>
      <c r="K86" s="144">
        <f t="shared" si="7"/>
        <v>2</v>
      </c>
      <c r="L86" s="150">
        <f t="shared" si="8"/>
        <v>1.0869565217391304</v>
      </c>
      <c r="N86" s="129"/>
    </row>
    <row r="87" spans="1:12" s="101" customFormat="1" ht="13.5">
      <c r="A87" s="526" t="s">
        <v>88</v>
      </c>
      <c r="B87" s="527"/>
      <c r="C87" s="528"/>
      <c r="D87" s="125">
        <v>0</v>
      </c>
      <c r="E87" s="126">
        <v>0</v>
      </c>
      <c r="F87" s="144">
        <f t="shared" si="5"/>
        <v>0</v>
      </c>
      <c r="G87" s="145"/>
      <c r="H87" s="127">
        <v>0</v>
      </c>
      <c r="I87" s="128"/>
      <c r="J87" s="124">
        <f>SUM(J88)</f>
        <v>0</v>
      </c>
      <c r="K87" s="144">
        <f t="shared" si="7"/>
        <v>0</v>
      </c>
      <c r="L87" s="150"/>
    </row>
    <row r="88" spans="1:12" s="101" customFormat="1" ht="13.5">
      <c r="A88" s="514" t="s">
        <v>89</v>
      </c>
      <c r="B88" s="515"/>
      <c r="C88" s="516"/>
      <c r="D88" s="125">
        <v>0</v>
      </c>
      <c r="E88" s="126">
        <v>0</v>
      </c>
      <c r="F88" s="144">
        <f t="shared" si="5"/>
        <v>0</v>
      </c>
      <c r="G88" s="145"/>
      <c r="H88" s="127">
        <v>0</v>
      </c>
      <c r="I88" s="128"/>
      <c r="J88" s="124">
        <f t="shared" si="6"/>
        <v>0</v>
      </c>
      <c r="K88" s="144">
        <f t="shared" si="7"/>
        <v>0</v>
      </c>
      <c r="L88" s="150"/>
    </row>
    <row r="89" spans="1:14" s="101" customFormat="1" ht="13.5">
      <c r="A89" s="526" t="s">
        <v>90</v>
      </c>
      <c r="B89" s="527"/>
      <c r="C89" s="528"/>
      <c r="D89" s="125">
        <v>0</v>
      </c>
      <c r="E89" s="126">
        <v>0</v>
      </c>
      <c r="F89" s="144">
        <f t="shared" si="5"/>
        <v>0</v>
      </c>
      <c r="G89" s="145"/>
      <c r="H89" s="127">
        <v>0</v>
      </c>
      <c r="I89" s="128"/>
      <c r="J89" s="124">
        <f>SUM(J90)</f>
        <v>0</v>
      </c>
      <c r="K89" s="144">
        <f t="shared" si="7"/>
        <v>0</v>
      </c>
      <c r="L89" s="150"/>
      <c r="N89" s="129"/>
    </row>
    <row r="90" spans="1:15" s="100" customFormat="1" ht="14.25" thickBot="1">
      <c r="A90" s="514" t="s">
        <v>176</v>
      </c>
      <c r="B90" s="515"/>
      <c r="C90" s="532"/>
      <c r="D90" s="102">
        <v>0</v>
      </c>
      <c r="E90" s="140">
        <v>0</v>
      </c>
      <c r="F90" s="144">
        <f t="shared" si="5"/>
        <v>0</v>
      </c>
      <c r="G90" s="145"/>
      <c r="H90" s="127">
        <v>0</v>
      </c>
      <c r="I90" s="128"/>
      <c r="J90" s="124">
        <f t="shared" si="6"/>
        <v>0</v>
      </c>
      <c r="K90" s="144">
        <f t="shared" si="7"/>
        <v>0</v>
      </c>
      <c r="L90" s="150"/>
      <c r="M90" s="141"/>
      <c r="N90" s="142"/>
      <c r="O90" s="143"/>
    </row>
    <row r="91" spans="1:15" s="100" customFormat="1" ht="14.25" thickBot="1">
      <c r="A91" s="533" t="s">
        <v>91</v>
      </c>
      <c r="B91" s="534"/>
      <c r="C91" s="535"/>
      <c r="D91" s="177">
        <v>24768</v>
      </c>
      <c r="E91" s="178">
        <v>25001</v>
      </c>
      <c r="F91" s="179"/>
      <c r="G91" s="179"/>
      <c r="H91" s="180">
        <v>24908</v>
      </c>
      <c r="I91" s="180"/>
      <c r="J91" s="181">
        <f>SUM(J35+J46+J51+J52+J53+J57+J58+J59+J69+J75+J77+J80+J87+J89)</f>
        <v>24908</v>
      </c>
      <c r="K91" s="182"/>
      <c r="L91" s="183"/>
      <c r="M91" s="141"/>
      <c r="N91" s="142"/>
      <c r="O91" s="143"/>
    </row>
    <row r="92" spans="1:15" s="100" customFormat="1" ht="14.25" thickBot="1">
      <c r="A92" s="536" t="s">
        <v>177</v>
      </c>
      <c r="B92" s="537"/>
      <c r="C92" s="538"/>
      <c r="D92" s="184">
        <v>192</v>
      </c>
      <c r="E92" s="184">
        <v>0</v>
      </c>
      <c r="F92" s="185"/>
      <c r="G92" s="185"/>
      <c r="H92" s="184">
        <f>SUM(H34-H91)</f>
        <v>-2335</v>
      </c>
      <c r="I92" s="184"/>
      <c r="J92" s="186">
        <f>SUM(J34-J91)</f>
        <v>-2335</v>
      </c>
      <c r="K92" s="170"/>
      <c r="L92" s="187"/>
      <c r="M92" s="141"/>
      <c r="N92" s="141"/>
      <c r="O92" s="143"/>
    </row>
    <row r="93" spans="1:15" s="34" customFormat="1" ht="14.25" thickBot="1">
      <c r="A93" s="35"/>
      <c r="B93" s="36"/>
      <c r="C93" s="36"/>
      <c r="D93" s="37"/>
      <c r="E93" s="38"/>
      <c r="F93" s="36"/>
      <c r="G93" s="36"/>
      <c r="H93" s="39"/>
      <c r="I93" s="40"/>
      <c r="J93" s="41"/>
      <c r="K93" s="35"/>
      <c r="L93" s="36"/>
      <c r="M93" s="36"/>
      <c r="N93" s="36"/>
      <c r="O93" s="39"/>
    </row>
    <row r="94" spans="1:14" ht="14.25" customHeight="1" thickBot="1">
      <c r="A94" s="416" t="s">
        <v>178</v>
      </c>
      <c r="B94" s="417"/>
      <c r="C94" s="420" t="s">
        <v>104</v>
      </c>
      <c r="D94" s="42"/>
      <c r="E94" s="425" t="s">
        <v>179</v>
      </c>
      <c r="F94" s="426"/>
      <c r="G94" s="426"/>
      <c r="H94" s="426"/>
      <c r="I94" s="429" t="s">
        <v>104</v>
      </c>
      <c r="J94" s="43"/>
      <c r="K94" s="43"/>
      <c r="L94" s="43"/>
      <c r="M94" s="43"/>
      <c r="N94" s="43"/>
    </row>
    <row r="95" spans="1:14" ht="13.5">
      <c r="A95" s="418"/>
      <c r="B95" s="419"/>
      <c r="C95" s="421"/>
      <c r="D95" s="42"/>
      <c r="E95" s="427"/>
      <c r="F95" s="428"/>
      <c r="G95" s="428"/>
      <c r="H95" s="428"/>
      <c r="I95" s="430"/>
      <c r="J95" s="43"/>
      <c r="K95" s="43"/>
      <c r="L95" s="43"/>
      <c r="M95" s="43"/>
      <c r="N95" s="43"/>
    </row>
    <row r="96" spans="1:14" ht="14.25" thickBot="1">
      <c r="A96" s="435" t="s">
        <v>136</v>
      </c>
      <c r="B96" s="436"/>
      <c r="C96" s="205">
        <v>270</v>
      </c>
      <c r="D96" s="92"/>
      <c r="E96" s="437" t="s">
        <v>284</v>
      </c>
      <c r="F96" s="438"/>
      <c r="G96" s="438"/>
      <c r="H96" s="438"/>
      <c r="I96" s="105">
        <v>80</v>
      </c>
      <c r="J96" s="43"/>
      <c r="K96" s="43"/>
      <c r="L96" s="43"/>
      <c r="M96" s="43"/>
      <c r="N96" s="38" t="s">
        <v>105</v>
      </c>
    </row>
    <row r="97" spans="1:14" ht="13.5">
      <c r="A97" s="435" t="s">
        <v>282</v>
      </c>
      <c r="B97" s="436"/>
      <c r="C97" s="105">
        <v>230</v>
      </c>
      <c r="D97" s="92"/>
      <c r="E97" s="437" t="s">
        <v>285</v>
      </c>
      <c r="F97" s="438"/>
      <c r="G97" s="438"/>
      <c r="H97" s="438"/>
      <c r="I97" s="105">
        <v>60</v>
      </c>
      <c r="J97" s="43"/>
      <c r="K97" s="44" t="s">
        <v>106</v>
      </c>
      <c r="L97" s="44"/>
      <c r="M97" s="45">
        <v>2011</v>
      </c>
      <c r="N97" s="46">
        <v>2012</v>
      </c>
    </row>
    <row r="98" spans="1:14" ht="13.5">
      <c r="A98" s="435" t="s">
        <v>283</v>
      </c>
      <c r="B98" s="436"/>
      <c r="C98" s="105">
        <f>423-35</f>
        <v>388</v>
      </c>
      <c r="D98" s="92"/>
      <c r="E98" s="437" t="s">
        <v>286</v>
      </c>
      <c r="F98" s="438"/>
      <c r="G98" s="438"/>
      <c r="H98" s="438"/>
      <c r="I98" s="105">
        <v>25</v>
      </c>
      <c r="J98" s="43"/>
      <c r="K98" s="47" t="s">
        <v>107</v>
      </c>
      <c r="L98" s="47"/>
      <c r="M98" s="48">
        <v>0</v>
      </c>
      <c r="N98" s="49">
        <v>0</v>
      </c>
    </row>
    <row r="99" spans="1:14" ht="13.5">
      <c r="A99" s="435"/>
      <c r="B99" s="436"/>
      <c r="C99" s="205"/>
      <c r="D99" s="92"/>
      <c r="E99" s="437" t="s">
        <v>241</v>
      </c>
      <c r="F99" s="438"/>
      <c r="G99" s="438"/>
      <c r="H99" s="438"/>
      <c r="I99" s="105">
        <v>35</v>
      </c>
      <c r="J99" s="43"/>
      <c r="K99" s="47" t="s">
        <v>108</v>
      </c>
      <c r="L99" s="50"/>
      <c r="M99" s="51">
        <v>0</v>
      </c>
      <c r="N99" s="52">
        <v>0</v>
      </c>
    </row>
    <row r="100" spans="1:14" ht="14.25" thickBot="1">
      <c r="A100" s="435"/>
      <c r="B100" s="436"/>
      <c r="C100" s="205"/>
      <c r="D100" s="92"/>
      <c r="E100" s="437" t="s">
        <v>200</v>
      </c>
      <c r="F100" s="438"/>
      <c r="G100" s="438"/>
      <c r="H100" s="438"/>
      <c r="I100" s="105">
        <v>56</v>
      </c>
      <c r="J100" s="43"/>
      <c r="K100" s="53" t="s">
        <v>109</v>
      </c>
      <c r="L100" s="54"/>
      <c r="M100" s="55">
        <v>0</v>
      </c>
      <c r="N100" s="56">
        <v>0</v>
      </c>
    </row>
    <row r="101" spans="1:14" ht="13.5">
      <c r="A101" s="435"/>
      <c r="B101" s="436"/>
      <c r="C101" s="107"/>
      <c r="D101" s="92"/>
      <c r="E101" s="437"/>
      <c r="F101" s="438"/>
      <c r="G101" s="438"/>
      <c r="H101" s="438"/>
      <c r="I101" s="97"/>
      <c r="J101" s="43"/>
      <c r="K101" s="43"/>
      <c r="L101" s="43"/>
      <c r="M101" s="43"/>
      <c r="N101" s="43"/>
    </row>
    <row r="102" spans="1:14" ht="13.5">
      <c r="A102" s="435"/>
      <c r="B102" s="436"/>
      <c r="C102" s="107"/>
      <c r="D102" s="35"/>
      <c r="E102" s="437"/>
      <c r="F102" s="438"/>
      <c r="G102" s="438"/>
      <c r="H102" s="438"/>
      <c r="I102" s="97"/>
      <c r="J102" s="43"/>
      <c r="K102" s="43"/>
      <c r="L102" s="43"/>
      <c r="M102" s="43"/>
      <c r="N102" s="43"/>
    </row>
    <row r="103" spans="1:14" ht="13.5">
      <c r="A103" s="435"/>
      <c r="B103" s="436"/>
      <c r="C103" s="103"/>
      <c r="D103" s="35"/>
      <c r="E103" s="437"/>
      <c r="F103" s="438"/>
      <c r="G103" s="438"/>
      <c r="H103" s="438"/>
      <c r="I103" s="97"/>
      <c r="J103" s="43"/>
      <c r="K103" s="43"/>
      <c r="L103" s="43"/>
      <c r="M103" s="43"/>
      <c r="N103" s="43"/>
    </row>
    <row r="104" spans="1:14" ht="14.25" thickBot="1">
      <c r="A104" s="445" t="s">
        <v>97</v>
      </c>
      <c r="B104" s="446"/>
      <c r="C104" s="202">
        <f>SUM(C96:C102)</f>
        <v>888</v>
      </c>
      <c r="D104" s="59"/>
      <c r="E104" s="447" t="s">
        <v>97</v>
      </c>
      <c r="F104" s="448"/>
      <c r="G104" s="448"/>
      <c r="H104" s="448"/>
      <c r="I104" s="203">
        <f>SUM(I96:I103)</f>
        <v>256</v>
      </c>
      <c r="J104" s="43"/>
      <c r="K104" s="43"/>
      <c r="L104" s="43"/>
      <c r="M104" s="43"/>
      <c r="N104" s="61"/>
    </row>
    <row r="105" spans="1:5" s="34" customFormat="1" ht="13.5" customHeight="1">
      <c r="A105" s="59"/>
      <c r="B105" s="62"/>
      <c r="C105" s="62"/>
      <c r="D105" s="62"/>
      <c r="E105" s="62"/>
    </row>
    <row r="106" spans="1:12" s="34" customFormat="1" ht="14.25" thickBot="1">
      <c r="A106" s="63" t="s">
        <v>181</v>
      </c>
      <c r="B106" s="36"/>
      <c r="C106" s="36"/>
      <c r="D106" s="36"/>
      <c r="E106" s="39"/>
      <c r="F106" s="41"/>
      <c r="G106" s="41"/>
      <c r="H106" s="35"/>
      <c r="I106" s="36"/>
      <c r="J106" s="36" t="s">
        <v>110</v>
      </c>
      <c r="K106" s="36"/>
      <c r="L106" s="39"/>
    </row>
    <row r="107" spans="1:11" s="34" customFormat="1" ht="13.5">
      <c r="A107" s="449" t="s">
        <v>111</v>
      </c>
      <c r="B107" s="452" t="s">
        <v>248</v>
      </c>
      <c r="C107" s="459" t="s">
        <v>182</v>
      </c>
      <c r="D107" s="460"/>
      <c r="E107" s="460"/>
      <c r="F107" s="460"/>
      <c r="G107" s="460"/>
      <c r="H107" s="460"/>
      <c r="I107" s="460"/>
      <c r="J107" s="461"/>
      <c r="K107" s="455" t="s">
        <v>183</v>
      </c>
    </row>
    <row r="108" spans="1:11" s="34" customFormat="1" ht="13.5">
      <c r="A108" s="450"/>
      <c r="B108" s="453"/>
      <c r="C108" s="458" t="s">
        <v>112</v>
      </c>
      <c r="D108" s="462" t="s">
        <v>113</v>
      </c>
      <c r="E108" s="462"/>
      <c r="F108" s="462"/>
      <c r="G108" s="462"/>
      <c r="H108" s="462"/>
      <c r="I108" s="462"/>
      <c r="J108" s="463"/>
      <c r="K108" s="456"/>
    </row>
    <row r="109" spans="1:12" s="34" customFormat="1" ht="14.25" thickBot="1">
      <c r="A109" s="451"/>
      <c r="B109" s="454"/>
      <c r="C109" s="458"/>
      <c r="D109" s="164">
        <v>1</v>
      </c>
      <c r="E109" s="164">
        <v>2</v>
      </c>
      <c r="F109" s="164">
        <v>3</v>
      </c>
      <c r="G109" s="164">
        <v>4</v>
      </c>
      <c r="H109" s="164">
        <v>5</v>
      </c>
      <c r="I109" s="164">
        <v>6</v>
      </c>
      <c r="J109" s="165">
        <v>7</v>
      </c>
      <c r="K109" s="457"/>
      <c r="L109" s="71"/>
    </row>
    <row r="110" spans="1:11" s="34" customFormat="1" ht="14.25" thickBot="1">
      <c r="A110" s="64">
        <v>35351</v>
      </c>
      <c r="B110" s="65">
        <v>10582</v>
      </c>
      <c r="C110" s="364">
        <f>SUM(D110:J110)</f>
        <v>685</v>
      </c>
      <c r="D110" s="167">
        <v>152</v>
      </c>
      <c r="E110" s="167">
        <v>230</v>
      </c>
      <c r="F110" s="167">
        <v>0</v>
      </c>
      <c r="G110" s="167">
        <v>0</v>
      </c>
      <c r="H110" s="167">
        <v>33</v>
      </c>
      <c r="I110" s="168">
        <v>0</v>
      </c>
      <c r="J110" s="169">
        <v>270</v>
      </c>
      <c r="K110" s="163">
        <v>24084</v>
      </c>
    </row>
    <row r="111" spans="1:5" s="34" customFormat="1" ht="13.5">
      <c r="A111" s="59"/>
      <c r="B111" s="62"/>
      <c r="C111" s="62"/>
      <c r="D111" s="62"/>
      <c r="E111" s="62"/>
    </row>
    <row r="112" spans="1:8" s="34" customFormat="1" ht="14.25" thickBot="1">
      <c r="A112" s="63" t="s">
        <v>184</v>
      </c>
      <c r="C112" s="36"/>
      <c r="D112" s="36"/>
      <c r="E112" s="36"/>
      <c r="F112" s="36" t="s">
        <v>110</v>
      </c>
      <c r="G112" s="41"/>
      <c r="H112" s="35"/>
    </row>
    <row r="113" spans="1:6" s="34" customFormat="1" ht="15" customHeight="1" thickBot="1">
      <c r="A113" s="467" t="s">
        <v>114</v>
      </c>
      <c r="B113" s="469" t="s">
        <v>188</v>
      </c>
      <c r="C113" s="188" t="s">
        <v>185</v>
      </c>
      <c r="D113" s="189"/>
      <c r="E113" s="189"/>
      <c r="F113" s="190"/>
    </row>
    <row r="114" spans="1:6" s="34" customFormat="1" ht="27.75" thickBot="1">
      <c r="A114" s="468"/>
      <c r="B114" s="469"/>
      <c r="C114" s="67" t="s">
        <v>186</v>
      </c>
      <c r="D114" s="66" t="s">
        <v>115</v>
      </c>
      <c r="E114" s="67" t="s">
        <v>116</v>
      </c>
      <c r="F114" s="191" t="s">
        <v>187</v>
      </c>
    </row>
    <row r="115" spans="1:6" s="34" customFormat="1" ht="13.5">
      <c r="A115" s="192" t="s">
        <v>117</v>
      </c>
      <c r="B115" s="218">
        <v>3423.48</v>
      </c>
      <c r="C115" s="68" t="s">
        <v>118</v>
      </c>
      <c r="D115" s="69" t="s">
        <v>118</v>
      </c>
      <c r="E115" s="69" t="s">
        <v>118</v>
      </c>
      <c r="F115" s="193" t="s">
        <v>118</v>
      </c>
    </row>
    <row r="116" spans="1:13" s="34" customFormat="1" ht="13.5">
      <c r="A116" s="194" t="s">
        <v>119</v>
      </c>
      <c r="B116" s="219">
        <v>1</v>
      </c>
      <c r="C116" s="197">
        <v>1</v>
      </c>
      <c r="D116" s="106">
        <v>0</v>
      </c>
      <c r="E116" s="106">
        <v>1</v>
      </c>
      <c r="F116" s="198">
        <f>C116-E116</f>
        <v>0</v>
      </c>
      <c r="G116" s="232"/>
      <c r="M116" s="71"/>
    </row>
    <row r="117" spans="1:13" s="34" customFormat="1" ht="13.5">
      <c r="A117" s="194" t="s">
        <v>120</v>
      </c>
      <c r="B117" s="219">
        <v>239</v>
      </c>
      <c r="C117" s="197">
        <v>239</v>
      </c>
      <c r="D117" s="106">
        <v>0</v>
      </c>
      <c r="E117" s="106">
        <v>239</v>
      </c>
      <c r="F117" s="198">
        <f>C117+D117-E117</f>
        <v>0</v>
      </c>
      <c r="M117" s="71"/>
    </row>
    <row r="118" spans="1:13" s="34" customFormat="1" ht="13.5">
      <c r="A118" s="194" t="s">
        <v>121</v>
      </c>
      <c r="B118" s="219">
        <v>203</v>
      </c>
      <c r="C118" s="72">
        <v>203</v>
      </c>
      <c r="D118" s="206">
        <v>685</v>
      </c>
      <c r="E118" s="206">
        <v>888</v>
      </c>
      <c r="F118" s="198">
        <f>C118+D118-E118</f>
        <v>0</v>
      </c>
      <c r="M118" s="71"/>
    </row>
    <row r="119" spans="1:13" s="34" customFormat="1" ht="13.5">
      <c r="A119" s="194" t="s">
        <v>122</v>
      </c>
      <c r="B119" s="219">
        <f>B115-B116-B117-B118</f>
        <v>2980.48</v>
      </c>
      <c r="C119" s="74" t="s">
        <v>118</v>
      </c>
      <c r="D119" s="75" t="s">
        <v>118</v>
      </c>
      <c r="E119" s="76" t="s">
        <v>118</v>
      </c>
      <c r="F119" s="195" t="s">
        <v>118</v>
      </c>
      <c r="M119" s="71"/>
    </row>
    <row r="120" spans="1:13" s="34" customFormat="1" ht="14.25" thickBot="1">
      <c r="A120" s="196" t="s">
        <v>123</v>
      </c>
      <c r="B120" s="220">
        <v>108</v>
      </c>
      <c r="C120" s="199">
        <v>120</v>
      </c>
      <c r="D120" s="200">
        <v>125</v>
      </c>
      <c r="E120" s="207">
        <v>245</v>
      </c>
      <c r="F120" s="201">
        <f>C120+D120-E120</f>
        <v>0</v>
      </c>
      <c r="M120" s="71"/>
    </row>
    <row r="121" spans="1:15" s="34" customFormat="1" ht="13.5">
      <c r="A121" s="35"/>
      <c r="B121" s="36"/>
      <c r="C121" s="36"/>
      <c r="D121" s="37"/>
      <c r="E121" s="38"/>
      <c r="F121" s="36"/>
      <c r="G121" s="36"/>
      <c r="H121" s="39"/>
      <c r="I121" s="40"/>
      <c r="J121" s="41"/>
      <c r="K121" s="35"/>
      <c r="L121" s="36"/>
      <c r="M121" s="36"/>
      <c r="N121" s="36"/>
      <c r="O121" s="39"/>
    </row>
    <row r="122" spans="1:11" ht="13.5">
      <c r="A122" s="63"/>
      <c r="K122" s="36"/>
    </row>
    <row r="123" spans="1:11" ht="14.25" thickBot="1">
      <c r="A123" s="63" t="s">
        <v>189</v>
      </c>
      <c r="K123" s="36" t="s">
        <v>110</v>
      </c>
    </row>
    <row r="124" spans="1:11" ht="13.5">
      <c r="A124" s="464" t="s">
        <v>124</v>
      </c>
      <c r="B124" s="465"/>
      <c r="C124" s="466"/>
      <c r="D124" s="78"/>
      <c r="E124" s="464" t="s">
        <v>125</v>
      </c>
      <c r="F124" s="465"/>
      <c r="G124" s="466"/>
      <c r="I124" s="464" t="s">
        <v>126</v>
      </c>
      <c r="J124" s="465"/>
      <c r="K124" s="466"/>
    </row>
    <row r="125" spans="1:11" ht="14.25" thickBot="1">
      <c r="A125" s="79" t="s">
        <v>127</v>
      </c>
      <c r="B125" s="80" t="s">
        <v>128</v>
      </c>
      <c r="C125" s="81" t="s">
        <v>129</v>
      </c>
      <c r="D125" s="78"/>
      <c r="E125" s="82"/>
      <c r="F125" s="470" t="s">
        <v>130</v>
      </c>
      <c r="G125" s="471"/>
      <c r="I125" s="79"/>
      <c r="J125" s="80" t="s">
        <v>131</v>
      </c>
      <c r="K125" s="81" t="s">
        <v>129</v>
      </c>
    </row>
    <row r="126" spans="1:11" ht="13.5">
      <c r="A126" s="83">
        <v>2012</v>
      </c>
      <c r="B126" s="84">
        <v>54</v>
      </c>
      <c r="C126" s="85">
        <v>53</v>
      </c>
      <c r="D126" s="37"/>
      <c r="E126" s="83">
        <v>2012</v>
      </c>
      <c r="F126" s="472">
        <v>90</v>
      </c>
      <c r="G126" s="473"/>
      <c r="I126" s="83">
        <v>2012</v>
      </c>
      <c r="J126" s="84">
        <v>12500</v>
      </c>
      <c r="K126" s="85">
        <v>12500</v>
      </c>
    </row>
    <row r="127" spans="1:11" ht="14.25" thickBot="1">
      <c r="A127" s="86">
        <v>2013</v>
      </c>
      <c r="B127" s="87">
        <v>53</v>
      </c>
      <c r="C127" s="88" t="s">
        <v>92</v>
      </c>
      <c r="D127" s="37"/>
      <c r="E127" s="86">
        <v>2013</v>
      </c>
      <c r="F127" s="388">
        <v>90</v>
      </c>
      <c r="G127" s="389"/>
      <c r="I127" s="86">
        <v>2013</v>
      </c>
      <c r="J127" s="87">
        <v>12500</v>
      </c>
      <c r="K127" s="88" t="s">
        <v>92</v>
      </c>
    </row>
    <row r="128" ht="13.5">
      <c r="D128" s="37"/>
    </row>
    <row r="129" ht="13.5">
      <c r="D129" s="78"/>
    </row>
    <row r="130" ht="13.5">
      <c r="D130" s="78"/>
    </row>
    <row r="131" ht="13.5">
      <c r="D131" s="37"/>
    </row>
    <row r="132" ht="13.5">
      <c r="D132" s="37"/>
    </row>
  </sheetData>
  <sheetProtection selectLockedCells="1" selectUnlockedCells="1"/>
  <mergeCells count="129">
    <mergeCell ref="A104:B104"/>
    <mergeCell ref="E104:H104"/>
    <mergeCell ref="A107:A109"/>
    <mergeCell ref="B107:B109"/>
    <mergeCell ref="A101:B101"/>
    <mergeCell ref="E101:H101"/>
    <mergeCell ref="A102:B102"/>
    <mergeCell ref="E102:H102"/>
    <mergeCell ref="A103:B103"/>
    <mergeCell ref="E103:H103"/>
    <mergeCell ref="A91:C91"/>
    <mergeCell ref="A92:C92"/>
    <mergeCell ref="A99:B99"/>
    <mergeCell ref="E99:H99"/>
    <mergeCell ref="A100:B100"/>
    <mergeCell ref="E100:H100"/>
    <mergeCell ref="A97:B97"/>
    <mergeCell ref="E97:H97"/>
    <mergeCell ref="A98:B98"/>
    <mergeCell ref="E98:H98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L2"/>
    <mergeCell ref="A4:C6"/>
    <mergeCell ref="D4:D6"/>
    <mergeCell ref="E4:E6"/>
    <mergeCell ref="F4:G4"/>
    <mergeCell ref="H4:J4"/>
    <mergeCell ref="K4:L4"/>
    <mergeCell ref="A94:B95"/>
    <mergeCell ref="C94:C95"/>
    <mergeCell ref="E94:H95"/>
    <mergeCell ref="I94:I95"/>
    <mergeCell ref="A96:B96"/>
    <mergeCell ref="E96:H96"/>
    <mergeCell ref="C107:J107"/>
    <mergeCell ref="K107:K109"/>
    <mergeCell ref="C108:C109"/>
    <mergeCell ref="D108:J108"/>
    <mergeCell ref="A113:A114"/>
    <mergeCell ref="B113:B114"/>
    <mergeCell ref="A124:C124"/>
    <mergeCell ref="E124:G124"/>
    <mergeCell ref="I124:K124"/>
    <mergeCell ref="F125:G125"/>
    <mergeCell ref="F126:G126"/>
    <mergeCell ref="F127:G127"/>
  </mergeCells>
  <printOptions horizontalCentered="1"/>
  <pageMargins left="0.15763888888888888" right="0.15763888888888888" top="0.7597222222222222" bottom="0.1597222222222222" header="0.5118055555555555" footer="0.15763888888888888"/>
  <pageSetup horizontalDpi="300" verticalDpi="300" orientation="portrait" paperSize="9" scale="42" r:id="rId1"/>
  <headerFooter alignWithMargins="0">
    <oddFooter>&amp;C&amp;"Arial CE,Běžné"&amp;P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2013-04-26T07:15:38Z</cp:lastPrinted>
  <dcterms:created xsi:type="dcterms:W3CDTF">2012-04-17T11:32:44Z</dcterms:created>
  <dcterms:modified xsi:type="dcterms:W3CDTF">2013-04-26T07:15:43Z</dcterms:modified>
  <cp:category/>
  <cp:version/>
  <cp:contentType/>
  <cp:contentStatus/>
</cp:coreProperties>
</file>