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96" windowHeight="3996" tabRatio="622" activeTab="0"/>
  </bookViews>
  <sheets>
    <sheet name="RK-11-2013-22, př. 2" sheetId="1" r:id="rId1"/>
  </sheets>
  <definedNames>
    <definedName name="_xlnm.Print_Titles" localSheetId="0">'RK-11-2013-22, př. 2'!$3:$8</definedName>
    <definedName name="_xlnm.Print_Area" localSheetId="0">'RK-11-2013-22, př. 2'!$A$1:$V$101</definedName>
  </definedNames>
  <calcPr fullCalcOnLoad="1"/>
</workbook>
</file>

<file path=xl/sharedStrings.xml><?xml version="1.0" encoding="utf-8"?>
<sst xmlns="http://schemas.openxmlformats.org/spreadsheetml/2006/main" count="134" uniqueCount="119">
  <si>
    <t>Organizace</t>
  </si>
  <si>
    <t>Gymnázium Chotěboř</t>
  </si>
  <si>
    <t>Gymnázium Jihlava</t>
  </si>
  <si>
    <t>Gymnázium Pacov</t>
  </si>
  <si>
    <t>Gymnázium Pelhřimov</t>
  </si>
  <si>
    <t>Gymnázium Třebíč</t>
  </si>
  <si>
    <t>/v tis. Kč/</t>
  </si>
  <si>
    <t>Investiční fond</t>
  </si>
  <si>
    <t>Rezervní fond</t>
  </si>
  <si>
    <t>FKSP</t>
  </si>
  <si>
    <t>Fond odměn</t>
  </si>
  <si>
    <t>Použití</t>
  </si>
  <si>
    <t>§3114 - celkem</t>
  </si>
  <si>
    <t>§3121 - celkem</t>
  </si>
  <si>
    <t xml:space="preserve"> </t>
  </si>
  <si>
    <t>§ 3122 - celkem</t>
  </si>
  <si>
    <t>§ 3123 - celkem</t>
  </si>
  <si>
    <t>§ 3125 - celkem</t>
  </si>
  <si>
    <t>§ 3146 - celkem</t>
  </si>
  <si>
    <t>§ 3147 - celkem</t>
  </si>
  <si>
    <t>§ 4322 - celkem</t>
  </si>
  <si>
    <t>fondu</t>
  </si>
  <si>
    <t>Gymnázium Velké Meziříčí</t>
  </si>
  <si>
    <t>Gymnázium Žďár nad Sázavou</t>
  </si>
  <si>
    <t>SOŠ a SOU Třešť</t>
  </si>
  <si>
    <t>Střední škola technická Jihlava</t>
  </si>
  <si>
    <t>Střední škola stavební Jihlava</t>
  </si>
  <si>
    <t>Hotelová škola Třebíč</t>
  </si>
  <si>
    <t>Střední škola řemesel Třebíč</t>
  </si>
  <si>
    <t>SOŠ Nové Město na Moravě</t>
  </si>
  <si>
    <t>§ 3124 - celkem</t>
  </si>
  <si>
    <r>
      <t xml:space="preserve">Odvětví: </t>
    </r>
    <r>
      <rPr>
        <b/>
        <sz val="12"/>
        <rFont val="Arial"/>
        <family val="2"/>
      </rPr>
      <t>školství</t>
    </r>
  </si>
  <si>
    <t>§ 3299 - celkem</t>
  </si>
  <si>
    <t>Obchodní akademie, Pelhřimov, Jirsíkova 875</t>
  </si>
  <si>
    <t>ZŠ Humpolec, Husova 391</t>
  </si>
  <si>
    <t>k 31.12.2009</t>
  </si>
  <si>
    <t>techn. zhodnoc. nemov. majetku</t>
  </si>
  <si>
    <t>údržba a opravy majetku, který PO používá k činnosti</t>
  </si>
  <si>
    <t>Gymnázium Havlíčkův Brod</t>
  </si>
  <si>
    <t>Střední škola stavební Třebíč</t>
  </si>
  <si>
    <t>SOU technické, Chotěboř, Žižkova 1501</t>
  </si>
  <si>
    <t>Školní statek, Humpolec, Dusilov 384</t>
  </si>
  <si>
    <r>
      <t>Tvorba</t>
    </r>
    <r>
      <rPr>
        <vertAlign val="superscript"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>) celkem</t>
    </r>
  </si>
  <si>
    <t>celkem vč. odvodu</t>
  </si>
  <si>
    <r>
      <t>Tvorba</t>
    </r>
    <r>
      <rPr>
        <b/>
        <vertAlign val="superscript"/>
        <sz val="10"/>
        <rFont val="Arial"/>
        <family val="2"/>
      </rPr>
      <t xml:space="preserve"> celkem</t>
    </r>
  </si>
  <si>
    <t>Použití celkem</t>
  </si>
  <si>
    <t>Gymnázium Bystřice nad Pernštejnem</t>
  </si>
  <si>
    <t>Česká zemědělská akademie v Humpolci, střední škola</t>
  </si>
  <si>
    <t>pořízení movitého majetku</t>
  </si>
  <si>
    <t>Střední škola automobilní Jihlava</t>
  </si>
  <si>
    <t>Střední škola technická Žďár nad Sázavou</t>
  </si>
  <si>
    <t>Střední škola řemesel a služeb Velké Meziříčí</t>
  </si>
  <si>
    <t>Gymnázium Otokara Březiny a SOŠ Telč</t>
  </si>
  <si>
    <t>Gymnázium dr. A. Hrdličky, Humpolec, Komenského 147</t>
  </si>
  <si>
    <t>Gymnázium Vincence Makovského se sportovními třídami Nové Město na Moravě</t>
  </si>
  <si>
    <t>ZŠ Ledeč nad Sázavou,  Habrecká 378</t>
  </si>
  <si>
    <t>ZŠ Pelhřimov, Komenského 1326</t>
  </si>
  <si>
    <t>ZŠ speciální a Praktická škola Černovice</t>
  </si>
  <si>
    <t>Praktická škola a SPC Ždár n/Sázavou</t>
  </si>
  <si>
    <t>ZŠ Nové Město na Moravě, Malá 154</t>
  </si>
  <si>
    <t>ZŠ a Praktická škola Chotěboř</t>
  </si>
  <si>
    <t>ZŠ Třebíč, Cyrilometodějská  22</t>
  </si>
  <si>
    <t>ZŠ a Praktická škola Velké Meziříčí</t>
  </si>
  <si>
    <t>Vyšší odborná škola a Obchodní akademie Chotěboř</t>
  </si>
  <si>
    <t>Střední průmyslová škola stavební akademika Stanislava  Bechyně, Havlíčkův Brod, Jihlavská 628</t>
  </si>
  <si>
    <t>Střední zdravotnická škola a Vyšší odborná škola zdravotnická 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</si>
  <si>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</si>
  <si>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</si>
  <si>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</si>
  <si>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</si>
  <si>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>Střední průmyslová škola Třebíč</t>
  </si>
  <si>
    <t>Vyšší odborná škola a Střední škola veterinární, zemědělská a zdravotická Třebíč</t>
  </si>
  <si>
    <t>Hotelová škola Světlá a Obchodní akademie Velké Meziříčí</t>
  </si>
  <si>
    <t>Vyšší odborná škola a Střední odborná škola zemědělsko - technická  Bystřice nad Pernštejnem</t>
  </si>
  <si>
    <t>Střední zdravotnická škola a Vyšší odborná škola zdravotnická  Žďár nad Sázavou</t>
  </si>
  <si>
    <t>Obchodní akademie Dr. Albína Bráfa a Jazyková  škola s právem státní  jazykové  zkoušky Třebíč</t>
  </si>
  <si>
    <t>Vyšší odborná škola a Střední průmyslová škola, Žďár nad Sázavou, Studentská 1</t>
  </si>
  <si>
    <t>Domov mládeže a Školní jídelna Jihlava</t>
  </si>
  <si>
    <t>Gymnázium, SOŠ a VOŠ Ledeč nad Sázavou</t>
  </si>
  <si>
    <t>ZŠ Bystřice n/Pernšt., Tyršova 106</t>
  </si>
  <si>
    <t>Celkem školství</t>
  </si>
  <si>
    <t>částka v tis. Kč</t>
  </si>
  <si>
    <t>ZŠ a Praktická škola Moravské  Budějovice, Dobrovského 11</t>
  </si>
  <si>
    <t>Střední průmyslová škola a Střední odborné učiliště Pelhřimov</t>
  </si>
  <si>
    <t>Tvorba a použití peněžních fondů v roce 2013</t>
  </si>
  <si>
    <t>Zůstatek k 1.1.2013</t>
  </si>
  <si>
    <t>Stav krytí fondu k 31.12.   2012</t>
  </si>
  <si>
    <t>Zůstatek k 31.12.   2013</t>
  </si>
  <si>
    <t>Stav krytí fondu k 31.12.   2012</t>
  </si>
  <si>
    <t>Zůstatek k 31.12.   2013</t>
  </si>
  <si>
    <t>Tvorba vč. zůst. k 1.1.2013</t>
  </si>
  <si>
    <t>Tvorba+stav krytí fondu k 31.12.  2012</t>
  </si>
  <si>
    <t>ZŠ a Praktická škola, U Trojice 2104 Havlíčkův Brod</t>
  </si>
  <si>
    <t>1) Investiční fondy jsou posíleny převodem prostředků z rezervního fondu ve výši  800 tis. Kč</t>
  </si>
  <si>
    <t>počet stran: 3</t>
  </si>
  <si>
    <t>Dětský domov, Telč, Štěpnická 111</t>
  </si>
  <si>
    <t>Dětský domov, Nová Ves u Chotěboře 1</t>
  </si>
  <si>
    <t>Dětský domov, Humpolec, Libická 928</t>
  </si>
  <si>
    <t>Dětský domov, Senožaty 199</t>
  </si>
  <si>
    <t>Dětský domov, Budkov 1</t>
  </si>
  <si>
    <t>Dětský domov, Hrotovice, Sokolská 362</t>
  </si>
  <si>
    <t>Dětský domov, Jemnice, Třešňová 748</t>
  </si>
  <si>
    <t>Dětský domov, Rovečné 40</t>
  </si>
  <si>
    <t>Pedagogicko-psychologická poradna, Havlíčkův Brod, Nad Tratí 335</t>
  </si>
  <si>
    <t>Pedagogicko-psychologická poradna Jihlava</t>
  </si>
  <si>
    <t>Pedagogicko-psychologická poradna Pelhřimov</t>
  </si>
  <si>
    <t>Pedagogicko-psychologická poradna Třebíč</t>
  </si>
  <si>
    <t>Pedagogicko-psychologická poradna Žďár nad Sázavou</t>
  </si>
  <si>
    <t>Odborné učiliště a Praktická škola, Černovice, Mariánské nám. 72</t>
  </si>
  <si>
    <t>Gymnázium a SOŠ, Moravské Budějovice, Tyršova 365</t>
  </si>
  <si>
    <t>Vysočina Education, školské zařízení pro další vzdělávání pedagogických pracovníků a středisko služeb školám, příspěvková organizace</t>
  </si>
  <si>
    <t>Akademie - VOŠ, Gymnázium a SOŠ uměleckoprůmyslová Světlá nad Sázavou</t>
  </si>
  <si>
    <t>Obchodní akademie a Hotelová škola Havlíčkův Brod</t>
  </si>
  <si>
    <t>Dětský domov, Náměšť nad Oslavou, Krátká 284</t>
  </si>
  <si>
    <t>Střední škola řemesel a služeb Moravské Budějovice</t>
  </si>
  <si>
    <t>Střední škola obchodu a služeb Jihlava</t>
  </si>
  <si>
    <t>ZŠ a MŠ při zdravotnických zařízeních Kraje Vysočina</t>
  </si>
  <si>
    <t>ZŠ při dětské  psychiatrické léčebně Velká  Bíteš</t>
  </si>
  <si>
    <t>RK-11-2013-22, př. 2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</si>
</sst>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60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9" fillId="33" borderId="0" xfId="0" applyFont="1" applyFill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15" fillId="33" borderId="11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15" fillId="33" borderId="11" xfId="0" applyFont="1" applyFill="1" applyBorder="1" applyAlignment="1">
      <alignment horizontal="left" vertical="center" wrapText="1"/>
    </xf>
    <xf numFmtId="3" fontId="14" fillId="33" borderId="13" xfId="0" applyNumberFormat="1" applyFont="1" applyFill="1" applyBorder="1" applyAlignment="1">
      <alignment vertical="center"/>
    </xf>
    <xf numFmtId="3" fontId="14" fillId="33" borderId="14" xfId="0" applyNumberFormat="1" applyFont="1" applyFill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3" fontId="14" fillId="33" borderId="16" xfId="0" applyNumberFormat="1" applyFont="1" applyFill="1" applyBorder="1" applyAlignment="1">
      <alignment vertical="center"/>
    </xf>
    <xf numFmtId="3" fontId="14" fillId="33" borderId="17" xfId="0" applyNumberFormat="1" applyFont="1" applyFill="1" applyBorder="1" applyAlignment="1">
      <alignment vertical="center"/>
    </xf>
    <xf numFmtId="3" fontId="14" fillId="33" borderId="18" xfId="0" applyNumberFormat="1" applyFont="1" applyFill="1" applyBorder="1" applyAlignment="1">
      <alignment vertical="center"/>
    </xf>
    <xf numFmtId="3" fontId="14" fillId="33" borderId="19" xfId="0" applyNumberFormat="1" applyFont="1" applyFill="1" applyBorder="1" applyAlignment="1">
      <alignment vertical="center"/>
    </xf>
    <xf numFmtId="3" fontId="14" fillId="33" borderId="20" xfId="0" applyNumberFormat="1" applyFont="1" applyFill="1" applyBorder="1" applyAlignment="1">
      <alignment vertical="center"/>
    </xf>
    <xf numFmtId="3" fontId="11" fillId="33" borderId="21" xfId="0" applyNumberFormat="1" applyFont="1" applyFill="1" applyBorder="1" applyAlignment="1">
      <alignment horizontal="right" vertical="center"/>
    </xf>
    <xf numFmtId="3" fontId="11" fillId="33" borderId="22" xfId="0" applyNumberFormat="1" applyFont="1" applyFill="1" applyBorder="1" applyAlignment="1">
      <alignment horizontal="right" vertical="center"/>
    </xf>
    <xf numFmtId="3" fontId="11" fillId="33" borderId="23" xfId="0" applyNumberFormat="1" applyFont="1" applyFill="1" applyBorder="1" applyAlignment="1">
      <alignment horizontal="right" vertical="center"/>
    </xf>
    <xf numFmtId="3" fontId="11" fillId="33" borderId="24" xfId="0" applyNumberFormat="1" applyFont="1" applyFill="1" applyBorder="1" applyAlignment="1">
      <alignment horizontal="right" vertical="center"/>
    </xf>
    <xf numFmtId="3" fontId="14" fillId="33" borderId="25" xfId="0" applyNumberFormat="1" applyFont="1" applyFill="1" applyBorder="1" applyAlignment="1">
      <alignment horizontal="right" vertical="center"/>
    </xf>
    <xf numFmtId="3" fontId="14" fillId="33" borderId="26" xfId="0" applyNumberFormat="1" applyFont="1" applyFill="1" applyBorder="1" applyAlignment="1">
      <alignment horizontal="right" vertical="center"/>
    </xf>
    <xf numFmtId="3" fontId="14" fillId="33" borderId="27" xfId="0" applyNumberFormat="1" applyFont="1" applyFill="1" applyBorder="1" applyAlignment="1">
      <alignment horizontal="right" vertical="center"/>
    </xf>
    <xf numFmtId="3" fontId="14" fillId="33" borderId="28" xfId="0" applyNumberFormat="1" applyFont="1" applyFill="1" applyBorder="1" applyAlignment="1">
      <alignment horizontal="right" vertical="center" shrinkToFit="1"/>
    </xf>
    <xf numFmtId="3" fontId="14" fillId="33" borderId="28" xfId="0" applyNumberFormat="1" applyFont="1" applyFill="1" applyBorder="1" applyAlignment="1">
      <alignment horizontal="right" vertical="center" wrapText="1"/>
    </xf>
    <xf numFmtId="3" fontId="14" fillId="33" borderId="28" xfId="0" applyNumberFormat="1" applyFont="1" applyFill="1" applyBorder="1" applyAlignment="1">
      <alignment horizontal="right" vertical="center"/>
    </xf>
    <xf numFmtId="3" fontId="20" fillId="33" borderId="24" xfId="0" applyNumberFormat="1" applyFont="1" applyFill="1" applyBorder="1" applyAlignment="1">
      <alignment vertical="center"/>
    </xf>
    <xf numFmtId="3" fontId="20" fillId="33" borderId="22" xfId="0" applyNumberFormat="1" applyFont="1" applyFill="1" applyBorder="1" applyAlignment="1">
      <alignment vertical="center"/>
    </xf>
    <xf numFmtId="3" fontId="20" fillId="33" borderId="23" xfId="0" applyNumberFormat="1" applyFont="1" applyFill="1" applyBorder="1" applyAlignment="1">
      <alignment vertical="center"/>
    </xf>
    <xf numFmtId="3" fontId="14" fillId="33" borderId="29" xfId="0" applyNumberFormat="1" applyFont="1" applyFill="1" applyBorder="1" applyAlignment="1">
      <alignment/>
    </xf>
    <xf numFmtId="3" fontId="14" fillId="33" borderId="30" xfId="0" applyNumberFormat="1" applyFont="1" applyFill="1" applyBorder="1" applyAlignment="1">
      <alignment/>
    </xf>
    <xf numFmtId="3" fontId="14" fillId="33" borderId="31" xfId="0" applyNumberFormat="1" applyFont="1" applyFill="1" applyBorder="1" applyAlignment="1">
      <alignment/>
    </xf>
    <xf numFmtId="3" fontId="14" fillId="33" borderId="32" xfId="0" applyNumberFormat="1" applyFont="1" applyFill="1" applyBorder="1" applyAlignment="1">
      <alignment/>
    </xf>
    <xf numFmtId="3" fontId="11" fillId="33" borderId="24" xfId="0" applyNumberFormat="1" applyFont="1" applyFill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3" fontId="14" fillId="33" borderId="28" xfId="0" applyNumberFormat="1" applyFont="1" applyFill="1" applyBorder="1" applyAlignment="1">
      <alignment vertical="center"/>
    </xf>
    <xf numFmtId="3" fontId="14" fillId="33" borderId="27" xfId="0" applyNumberFormat="1" applyFont="1" applyFill="1" applyBorder="1" applyAlignment="1">
      <alignment vertical="center"/>
    </xf>
    <xf numFmtId="3" fontId="2" fillId="33" borderId="0" xfId="0" applyNumberFormat="1" applyFont="1" applyFill="1" applyAlignment="1">
      <alignment horizontal="center" vertical="center"/>
    </xf>
    <xf numFmtId="0" fontId="15" fillId="33" borderId="33" xfId="0" applyFont="1" applyFill="1" applyBorder="1" applyAlignment="1">
      <alignment horizontal="left" vertical="center" wrapText="1"/>
    </xf>
    <xf numFmtId="3" fontId="14" fillId="33" borderId="34" xfId="0" applyNumberFormat="1" applyFont="1" applyFill="1" applyBorder="1" applyAlignment="1">
      <alignment vertical="center"/>
    </xf>
    <xf numFmtId="3" fontId="9" fillId="33" borderId="35" xfId="0" applyNumberFormat="1" applyFont="1" applyFill="1" applyBorder="1" applyAlignment="1">
      <alignment vertical="center"/>
    </xf>
    <xf numFmtId="0" fontId="15" fillId="33" borderId="12" xfId="0" applyFont="1" applyFill="1" applyBorder="1" applyAlignment="1">
      <alignment vertical="center" wrapText="1"/>
    </xf>
    <xf numFmtId="3" fontId="0" fillId="33" borderId="0" xfId="0" applyNumberFormat="1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3" fontId="3" fillId="33" borderId="0" xfId="0" applyNumberFormat="1" applyFont="1" applyFill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8" fillId="33" borderId="0" xfId="0" applyFont="1" applyFill="1" applyAlignment="1">
      <alignment vertical="center"/>
    </xf>
    <xf numFmtId="3" fontId="9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16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11" fillId="33" borderId="36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11" fillId="33" borderId="37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3" fontId="14" fillId="33" borderId="0" xfId="0" applyNumberFormat="1" applyFont="1" applyFill="1" applyBorder="1" applyAlignment="1">
      <alignment vertical="center"/>
    </xf>
    <xf numFmtId="3" fontId="19" fillId="33" borderId="0" xfId="0" applyNumberFormat="1" applyFont="1" applyFill="1" applyBorder="1" applyAlignment="1">
      <alignment vertical="center"/>
    </xf>
    <xf numFmtId="3" fontId="14" fillId="33" borderId="38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3" fontId="14" fillId="33" borderId="39" xfId="0" applyNumberFormat="1" applyFont="1" applyFill="1" applyBorder="1" applyAlignment="1">
      <alignment vertical="center"/>
    </xf>
    <xf numFmtId="3" fontId="14" fillId="33" borderId="25" xfId="0" applyNumberFormat="1" applyFont="1" applyFill="1" applyBorder="1" applyAlignment="1">
      <alignment vertical="center"/>
    </xf>
    <xf numFmtId="0" fontId="15" fillId="33" borderId="4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3" fontId="14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3" fontId="19" fillId="33" borderId="0" xfId="0" applyNumberFormat="1" applyFont="1" applyFill="1" applyBorder="1" applyAlignment="1">
      <alignment/>
    </xf>
    <xf numFmtId="3" fontId="14" fillId="33" borderId="41" xfId="0" applyNumberFormat="1" applyFont="1" applyFill="1" applyBorder="1" applyAlignment="1">
      <alignment/>
    </xf>
    <xf numFmtId="3" fontId="11" fillId="33" borderId="21" xfId="0" applyNumberFormat="1" applyFont="1" applyFill="1" applyBorder="1" applyAlignment="1">
      <alignment vertical="center"/>
    </xf>
    <xf numFmtId="0" fontId="17" fillId="33" borderId="42" xfId="0" applyFont="1" applyFill="1" applyBorder="1" applyAlignment="1">
      <alignment vertical="center"/>
    </xf>
    <xf numFmtId="0" fontId="15" fillId="33" borderId="43" xfId="0" applyFont="1" applyFill="1" applyBorder="1" applyAlignment="1">
      <alignment horizontal="left" vertical="center" wrapText="1"/>
    </xf>
    <xf numFmtId="3" fontId="14" fillId="33" borderId="44" xfId="0" applyNumberFormat="1" applyFont="1" applyFill="1" applyBorder="1" applyAlignment="1">
      <alignment vertical="center"/>
    </xf>
    <xf numFmtId="3" fontId="14" fillId="33" borderId="45" xfId="0" applyNumberFormat="1" applyFont="1" applyFill="1" applyBorder="1" applyAlignment="1">
      <alignment vertical="center"/>
    </xf>
    <xf numFmtId="3" fontId="14" fillId="33" borderId="46" xfId="0" applyNumberFormat="1" applyFont="1" applyFill="1" applyBorder="1" applyAlignment="1">
      <alignment vertical="center"/>
    </xf>
    <xf numFmtId="3" fontId="14" fillId="33" borderId="47" xfId="0" applyNumberFormat="1" applyFont="1" applyFill="1" applyBorder="1" applyAlignment="1">
      <alignment vertical="center"/>
    </xf>
    <xf numFmtId="3" fontId="14" fillId="33" borderId="48" xfId="0" applyNumberFormat="1" applyFont="1" applyFill="1" applyBorder="1" applyAlignment="1">
      <alignment vertical="center"/>
    </xf>
    <xf numFmtId="3" fontId="9" fillId="33" borderId="49" xfId="0" applyNumberFormat="1" applyFont="1" applyFill="1" applyBorder="1" applyAlignment="1">
      <alignment vertical="center"/>
    </xf>
    <xf numFmtId="3" fontId="9" fillId="33" borderId="50" xfId="0" applyNumberFormat="1" applyFont="1" applyFill="1" applyBorder="1" applyAlignment="1">
      <alignment vertical="center"/>
    </xf>
    <xf numFmtId="3" fontId="9" fillId="33" borderId="34" xfId="0" applyNumberFormat="1" applyFont="1" applyFill="1" applyBorder="1" applyAlignment="1">
      <alignment vertical="center"/>
    </xf>
    <xf numFmtId="3" fontId="14" fillId="33" borderId="49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vertical="center"/>
    </xf>
    <xf numFmtId="3" fontId="14" fillId="33" borderId="35" xfId="0" applyNumberFormat="1" applyFont="1" applyFill="1" applyBorder="1" applyAlignment="1">
      <alignment vertical="center"/>
    </xf>
    <xf numFmtId="3" fontId="14" fillId="33" borderId="50" xfId="0" applyNumberFormat="1" applyFont="1" applyFill="1" applyBorder="1" applyAlignment="1">
      <alignment vertical="center"/>
    </xf>
    <xf numFmtId="0" fontId="15" fillId="33" borderId="51" xfId="0" applyFont="1" applyFill="1" applyBorder="1" applyAlignment="1">
      <alignment horizontal="left" vertical="center" wrapText="1"/>
    </xf>
    <xf numFmtId="0" fontId="15" fillId="33" borderId="40" xfId="0" applyFont="1" applyFill="1" applyBorder="1" applyAlignment="1">
      <alignment vertical="center" wrapText="1"/>
    </xf>
    <xf numFmtId="3" fontId="9" fillId="33" borderId="16" xfId="0" applyNumberFormat="1" applyFont="1" applyFill="1" applyBorder="1" applyAlignment="1">
      <alignment horizontal="right" vertical="center"/>
    </xf>
    <xf numFmtId="0" fontId="18" fillId="33" borderId="4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15" fillId="33" borderId="52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0" fontId="15" fillId="33" borderId="42" xfId="0" applyFont="1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15" fillId="33" borderId="54" xfId="0" applyFont="1" applyFill="1" applyBorder="1" applyAlignment="1">
      <alignment vertical="center" wrapText="1"/>
    </xf>
    <xf numFmtId="3" fontId="14" fillId="33" borderId="55" xfId="0" applyNumberFormat="1" applyFont="1" applyFill="1" applyBorder="1" applyAlignment="1">
      <alignment vertical="center"/>
    </xf>
    <xf numFmtId="3" fontId="14" fillId="33" borderId="56" xfId="0" applyNumberFormat="1" applyFont="1" applyFill="1" applyBorder="1" applyAlignment="1">
      <alignment vertical="center"/>
    </xf>
    <xf numFmtId="3" fontId="14" fillId="33" borderId="57" xfId="0" applyNumberFormat="1" applyFont="1" applyFill="1" applyBorder="1" applyAlignment="1">
      <alignment vertical="center"/>
    </xf>
    <xf numFmtId="3" fontId="14" fillId="33" borderId="26" xfId="0" applyNumberFormat="1" applyFont="1" applyFill="1" applyBorder="1" applyAlignment="1">
      <alignment vertical="center"/>
    </xf>
    <xf numFmtId="3" fontId="14" fillId="33" borderId="58" xfId="0" applyNumberFormat="1" applyFont="1" applyFill="1" applyBorder="1" applyAlignment="1">
      <alignment vertical="center"/>
    </xf>
    <xf numFmtId="0" fontId="19" fillId="33" borderId="42" xfId="0" applyFont="1" applyFill="1" applyBorder="1" applyAlignment="1">
      <alignment vertical="center"/>
    </xf>
    <xf numFmtId="0" fontId="20" fillId="33" borderId="37" xfId="0" applyFont="1" applyFill="1" applyBorder="1" applyAlignment="1">
      <alignment vertical="center"/>
    </xf>
    <xf numFmtId="0" fontId="19" fillId="33" borderId="42" xfId="0" applyFont="1" applyFill="1" applyBorder="1" applyAlignment="1">
      <alignment/>
    </xf>
    <xf numFmtId="0" fontId="15" fillId="33" borderId="59" xfId="0" applyFont="1" applyFill="1" applyBorder="1" applyAlignment="1">
      <alignment vertical="center"/>
    </xf>
    <xf numFmtId="3" fontId="14" fillId="33" borderId="60" xfId="0" applyNumberFormat="1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3" fontId="14" fillId="33" borderId="28" xfId="0" applyNumberFormat="1" applyFont="1" applyFill="1" applyBorder="1" applyAlignment="1">
      <alignment horizontal="right" vertical="center" wrapText="1" shrinkToFit="1"/>
    </xf>
    <xf numFmtId="3" fontId="14" fillId="33" borderId="39" xfId="0" applyNumberFormat="1" applyFont="1" applyFill="1" applyBorder="1" applyAlignment="1">
      <alignment horizontal="right" vertical="center"/>
    </xf>
    <xf numFmtId="3" fontId="14" fillId="33" borderId="27" xfId="0" applyNumberFormat="1" applyFont="1" applyFill="1" applyBorder="1" applyAlignment="1">
      <alignment horizontal="right" vertical="center" wrapText="1"/>
    </xf>
    <xf numFmtId="0" fontId="17" fillId="33" borderId="4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0" fillId="33" borderId="43" xfId="0" applyFont="1" applyFill="1" applyBorder="1" applyAlignment="1">
      <alignment vertical="center"/>
    </xf>
    <xf numFmtId="0" fontId="15" fillId="33" borderId="61" xfId="0" applyFont="1" applyFill="1" applyBorder="1" applyAlignment="1">
      <alignment vertical="center"/>
    </xf>
    <xf numFmtId="0" fontId="19" fillId="33" borderId="42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21" fillId="33" borderId="0" xfId="0" applyFont="1" applyFill="1" applyBorder="1" applyAlignment="1">
      <alignment horizontal="right" vertical="center"/>
    </xf>
    <xf numFmtId="0" fontId="13" fillId="33" borderId="37" xfId="0" applyFont="1" applyFill="1" applyBorder="1" applyAlignment="1">
      <alignment vertical="center"/>
    </xf>
    <xf numFmtId="0" fontId="9" fillId="33" borderId="62" xfId="0" applyFont="1" applyFill="1" applyBorder="1" applyAlignment="1">
      <alignment vertical="center"/>
    </xf>
    <xf numFmtId="0" fontId="15" fillId="33" borderId="37" xfId="0" applyFont="1" applyFill="1" applyBorder="1" applyAlignment="1">
      <alignment vertical="center" wrapText="1"/>
    </xf>
    <xf numFmtId="0" fontId="15" fillId="33" borderId="53" xfId="0" applyFont="1" applyFill="1" applyBorder="1" applyAlignment="1">
      <alignment horizontal="right" vertical="center"/>
    </xf>
    <xf numFmtId="3" fontId="59" fillId="33" borderId="17" xfId="0" applyNumberFormat="1" applyFont="1" applyFill="1" applyBorder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10" fillId="33" borderId="51" xfId="0" applyFont="1" applyFill="1" applyBorder="1" applyAlignment="1">
      <alignment wrapText="1"/>
    </xf>
    <xf numFmtId="0" fontId="15" fillId="33" borderId="33" xfId="0" applyFont="1" applyFill="1" applyBorder="1" applyAlignment="1">
      <alignment vertical="center"/>
    </xf>
    <xf numFmtId="3" fontId="14" fillId="33" borderId="42" xfId="0" applyNumberFormat="1" applyFont="1" applyFill="1" applyBorder="1" applyAlignment="1">
      <alignment vertical="center"/>
    </xf>
    <xf numFmtId="3" fontId="14" fillId="33" borderId="32" xfId="0" applyNumberFormat="1" applyFont="1" applyFill="1" applyBorder="1" applyAlignment="1">
      <alignment vertical="center"/>
    </xf>
    <xf numFmtId="3" fontId="14" fillId="33" borderId="29" xfId="0" applyNumberFormat="1" applyFont="1" applyFill="1" applyBorder="1" applyAlignment="1">
      <alignment vertical="center"/>
    </xf>
    <xf numFmtId="3" fontId="14" fillId="33" borderId="30" xfId="0" applyNumberFormat="1" applyFont="1" applyFill="1" applyBorder="1" applyAlignment="1">
      <alignment vertical="center"/>
    </xf>
    <xf numFmtId="3" fontId="14" fillId="33" borderId="41" xfId="0" applyNumberFormat="1" applyFont="1" applyFill="1" applyBorder="1" applyAlignment="1">
      <alignment vertical="center"/>
    </xf>
    <xf numFmtId="3" fontId="14" fillId="33" borderId="31" xfId="0" applyNumberFormat="1" applyFont="1" applyFill="1" applyBorder="1" applyAlignment="1">
      <alignment vertical="center"/>
    </xf>
    <xf numFmtId="0" fontId="11" fillId="33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1" fillId="33" borderId="63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3" fontId="10" fillId="33" borderId="35" xfId="0" applyNumberFormat="1" applyFont="1" applyFill="1" applyBorder="1" applyAlignment="1">
      <alignment horizontal="center" vertical="center" wrapText="1"/>
    </xf>
    <xf numFmtId="3" fontId="10" fillId="33" borderId="29" xfId="0" applyNumberFormat="1" applyFont="1" applyFill="1" applyBorder="1" applyAlignment="1">
      <alignment horizontal="center" vertical="center" wrapText="1"/>
    </xf>
    <xf numFmtId="3" fontId="10" fillId="33" borderId="67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10" fillId="33" borderId="32" xfId="0" applyNumberFormat="1" applyFont="1" applyFill="1" applyBorder="1" applyAlignment="1">
      <alignment horizontal="center" vertical="center" wrapText="1"/>
    </xf>
    <xf numFmtId="3" fontId="10" fillId="33" borderId="68" xfId="0" applyNumberFormat="1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67" xfId="0" applyFont="1" applyFill="1" applyBorder="1" applyAlignment="1">
      <alignment horizontal="center" vertical="center" wrapText="1"/>
    </xf>
    <xf numFmtId="3" fontId="10" fillId="33" borderId="49" xfId="0" applyNumberFormat="1" applyFont="1" applyFill="1" applyBorder="1" applyAlignment="1">
      <alignment horizontal="center" vertical="center" wrapText="1"/>
    </xf>
    <xf numFmtId="3" fontId="10" fillId="33" borderId="31" xfId="0" applyNumberFormat="1" applyFont="1" applyFill="1" applyBorder="1" applyAlignment="1">
      <alignment horizontal="center" vertical="center" wrapText="1"/>
    </xf>
    <xf numFmtId="3" fontId="10" fillId="33" borderId="69" xfId="0" applyNumberFormat="1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 shrinkToFit="1"/>
    </xf>
    <xf numFmtId="0" fontId="10" fillId="33" borderId="67" xfId="0" applyFont="1" applyFill="1" applyBorder="1" applyAlignment="1">
      <alignment horizontal="center" vertical="center" wrapText="1" shrinkToFi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70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right" vertical="center"/>
    </xf>
    <xf numFmtId="0" fontId="0" fillId="33" borderId="62" xfId="0" applyFill="1" applyBorder="1" applyAlignment="1">
      <alignment horizontal="right" vertical="center"/>
    </xf>
    <xf numFmtId="3" fontId="12" fillId="33" borderId="35" xfId="0" applyNumberFormat="1" applyFont="1" applyFill="1" applyBorder="1" applyAlignment="1">
      <alignment horizontal="center" vertical="center" wrapText="1"/>
    </xf>
    <xf numFmtId="3" fontId="12" fillId="33" borderId="29" xfId="0" applyNumberFormat="1" applyFont="1" applyFill="1" applyBorder="1" applyAlignment="1">
      <alignment horizontal="center" vertical="center" wrapText="1"/>
    </xf>
    <xf numFmtId="3" fontId="12" fillId="33" borderId="67" xfId="0" applyNumberFormat="1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/>
    </xf>
    <xf numFmtId="0" fontId="11" fillId="33" borderId="62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1" fillId="33" borderId="0" xfId="0" applyFont="1" applyFill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showGridLines="0" tabSelected="1" workbookViewId="0" topLeftCell="E1">
      <pane ySplit="8" topLeftCell="A9" activePane="bottomLeft" state="frozen"/>
      <selection pane="topLeft" activeCell="A1" sqref="A1"/>
      <selection pane="bottomLeft" activeCell="T1" sqref="T1"/>
    </sheetView>
  </sheetViews>
  <sheetFormatPr defaultColWidth="9.125" defaultRowHeight="12.75"/>
  <cols>
    <col min="1" max="1" width="59.625" style="58" customWidth="1"/>
    <col min="2" max="22" width="7.375" style="58" customWidth="1"/>
    <col min="23" max="16384" width="9.125" style="58" customWidth="1"/>
  </cols>
  <sheetData>
    <row r="1" spans="1:22" s="53" customFormat="1" ht="12.75" customHeight="1">
      <c r="A1" s="48"/>
      <c r="B1" s="43"/>
      <c r="C1" s="43"/>
      <c r="D1" s="43"/>
      <c r="E1" s="49"/>
      <c r="F1" s="43"/>
      <c r="G1" s="43"/>
      <c r="H1" s="49"/>
      <c r="I1" s="49"/>
      <c r="J1" s="43"/>
      <c r="K1" s="43"/>
      <c r="L1" s="49"/>
      <c r="M1" s="49" t="s">
        <v>14</v>
      </c>
      <c r="N1" s="49"/>
      <c r="O1" s="43"/>
      <c r="P1" s="49"/>
      <c r="Q1" s="49"/>
      <c r="R1" s="50"/>
      <c r="S1" s="51"/>
      <c r="T1" s="192" t="s">
        <v>118</v>
      </c>
      <c r="U1" s="52"/>
      <c r="V1" s="52"/>
    </row>
    <row r="2" spans="1:22" ht="12.75" customHeight="1">
      <c r="A2" s="54"/>
      <c r="B2" s="55" t="s">
        <v>14</v>
      </c>
      <c r="C2" s="55" t="s">
        <v>14</v>
      </c>
      <c r="D2" s="55"/>
      <c r="E2" s="55"/>
      <c r="F2" s="56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7"/>
      <c r="S2" s="142"/>
      <c r="T2" s="190" t="s">
        <v>94</v>
      </c>
      <c r="U2" s="191"/>
      <c r="V2" s="191"/>
    </row>
    <row r="3" spans="1:22" ht="16.5" customHeight="1">
      <c r="A3" s="189" t="s">
        <v>84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15" customHeight="1" thickBot="1">
      <c r="A4" s="59" t="s">
        <v>31</v>
      </c>
      <c r="B4" s="60"/>
      <c r="C4" s="60"/>
      <c r="D4" s="61"/>
      <c r="E4" s="61"/>
      <c r="F4" s="61"/>
      <c r="G4" s="60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2" t="s">
        <v>6</v>
      </c>
    </row>
    <row r="5" spans="1:22" ht="12.75">
      <c r="A5" s="184" t="s">
        <v>0</v>
      </c>
      <c r="B5" s="151" t="s">
        <v>7</v>
      </c>
      <c r="C5" s="152"/>
      <c r="D5" s="152"/>
      <c r="E5" s="152"/>
      <c r="F5" s="152"/>
      <c r="G5" s="152"/>
      <c r="H5" s="152"/>
      <c r="I5" s="153"/>
      <c r="J5" s="154" t="s">
        <v>8</v>
      </c>
      <c r="K5" s="155"/>
      <c r="L5" s="155"/>
      <c r="M5" s="155"/>
      <c r="N5" s="156"/>
      <c r="O5" s="154" t="s">
        <v>9</v>
      </c>
      <c r="P5" s="155"/>
      <c r="Q5" s="155"/>
      <c r="R5" s="156"/>
      <c r="S5" s="154" t="s">
        <v>10</v>
      </c>
      <c r="T5" s="160"/>
      <c r="U5" s="160"/>
      <c r="V5" s="161"/>
    </row>
    <row r="6" spans="1:23" s="64" customFormat="1" ht="14.25" customHeight="1">
      <c r="A6" s="185"/>
      <c r="B6" s="171" t="s">
        <v>85</v>
      </c>
      <c r="C6" s="162" t="s">
        <v>86</v>
      </c>
      <c r="D6" s="165" t="s">
        <v>42</v>
      </c>
      <c r="E6" s="157" t="s">
        <v>11</v>
      </c>
      <c r="F6" s="158"/>
      <c r="G6" s="158"/>
      <c r="H6" s="159"/>
      <c r="I6" s="176" t="s">
        <v>87</v>
      </c>
      <c r="J6" s="171" t="s">
        <v>85</v>
      </c>
      <c r="K6" s="162" t="s">
        <v>88</v>
      </c>
      <c r="L6" s="165" t="s">
        <v>44</v>
      </c>
      <c r="M6" s="168" t="s">
        <v>45</v>
      </c>
      <c r="N6" s="176" t="s">
        <v>89</v>
      </c>
      <c r="O6" s="171" t="s">
        <v>90</v>
      </c>
      <c r="P6" s="181" t="s">
        <v>91</v>
      </c>
      <c r="Q6" s="168" t="s">
        <v>45</v>
      </c>
      <c r="R6" s="176" t="s">
        <v>87</v>
      </c>
      <c r="S6" s="171" t="s">
        <v>90</v>
      </c>
      <c r="T6" s="181" t="s">
        <v>91</v>
      </c>
      <c r="U6" s="168" t="s">
        <v>45</v>
      </c>
      <c r="V6" s="176" t="s">
        <v>87</v>
      </c>
      <c r="W6" s="63" t="s">
        <v>14</v>
      </c>
    </row>
    <row r="7" spans="1:22" ht="12.75" customHeight="1">
      <c r="A7" s="185"/>
      <c r="B7" s="172"/>
      <c r="C7" s="163" t="s">
        <v>21</v>
      </c>
      <c r="D7" s="166"/>
      <c r="E7" s="174" t="s">
        <v>48</v>
      </c>
      <c r="F7" s="174" t="s">
        <v>36</v>
      </c>
      <c r="G7" s="174" t="s">
        <v>37</v>
      </c>
      <c r="H7" s="168" t="s">
        <v>43</v>
      </c>
      <c r="I7" s="177"/>
      <c r="J7" s="172"/>
      <c r="K7" s="163" t="s">
        <v>21</v>
      </c>
      <c r="L7" s="166"/>
      <c r="M7" s="169"/>
      <c r="N7" s="177"/>
      <c r="O7" s="172"/>
      <c r="P7" s="182"/>
      <c r="Q7" s="169"/>
      <c r="R7" s="177"/>
      <c r="S7" s="172"/>
      <c r="T7" s="182"/>
      <c r="U7" s="169"/>
      <c r="V7" s="177"/>
    </row>
    <row r="8" spans="1:22" ht="53.25" customHeight="1" thickBot="1">
      <c r="A8" s="186"/>
      <c r="B8" s="173"/>
      <c r="C8" s="164" t="s">
        <v>35</v>
      </c>
      <c r="D8" s="167"/>
      <c r="E8" s="175"/>
      <c r="F8" s="175"/>
      <c r="G8" s="175"/>
      <c r="H8" s="170"/>
      <c r="I8" s="178"/>
      <c r="J8" s="173"/>
      <c r="K8" s="164" t="s">
        <v>35</v>
      </c>
      <c r="L8" s="167"/>
      <c r="M8" s="170"/>
      <c r="N8" s="178"/>
      <c r="O8" s="173"/>
      <c r="P8" s="183"/>
      <c r="Q8" s="170"/>
      <c r="R8" s="178"/>
      <c r="S8" s="173"/>
      <c r="T8" s="183"/>
      <c r="U8" s="170"/>
      <c r="V8" s="178"/>
    </row>
    <row r="9" spans="1:22" s="66" customFormat="1" ht="13.5" thickBot="1">
      <c r="A9" s="65" t="s">
        <v>80</v>
      </c>
      <c r="B9" s="38">
        <f aca="true" t="shared" si="0" ref="B9:V9">SUM(B10+B25+B40+B58+B74+B76+B78+B84+B86+B88)</f>
        <v>59390</v>
      </c>
      <c r="C9" s="38">
        <f t="shared" si="0"/>
        <v>54522</v>
      </c>
      <c r="D9" s="38">
        <f t="shared" si="0"/>
        <v>81876</v>
      </c>
      <c r="E9" s="38">
        <f t="shared" si="0"/>
        <v>25492</v>
      </c>
      <c r="F9" s="38">
        <f t="shared" si="0"/>
        <v>9637</v>
      </c>
      <c r="G9" s="38">
        <f t="shared" si="0"/>
        <v>7894</v>
      </c>
      <c r="H9" s="38">
        <f t="shared" si="0"/>
        <v>76503</v>
      </c>
      <c r="I9" s="38">
        <f t="shared" si="0"/>
        <v>64763</v>
      </c>
      <c r="J9" s="38">
        <f t="shared" si="0"/>
        <v>69223</v>
      </c>
      <c r="K9" s="38">
        <f t="shared" si="0"/>
        <v>61137</v>
      </c>
      <c r="L9" s="38">
        <f t="shared" si="0"/>
        <v>9795</v>
      </c>
      <c r="M9" s="38">
        <f t="shared" si="0"/>
        <v>40484</v>
      </c>
      <c r="N9" s="38">
        <f t="shared" si="0"/>
        <v>38534</v>
      </c>
      <c r="O9" s="38">
        <f t="shared" si="0"/>
        <v>20140</v>
      </c>
      <c r="P9" s="38">
        <f t="shared" si="0"/>
        <v>19573</v>
      </c>
      <c r="Q9" s="38">
        <f t="shared" si="0"/>
        <v>12400</v>
      </c>
      <c r="R9" s="38">
        <f t="shared" si="0"/>
        <v>7740</v>
      </c>
      <c r="S9" s="38">
        <f t="shared" si="0"/>
        <v>15278</v>
      </c>
      <c r="T9" s="38">
        <f t="shared" si="0"/>
        <v>15493</v>
      </c>
      <c r="U9" s="38">
        <f t="shared" si="0"/>
        <v>6372</v>
      </c>
      <c r="V9" s="38">
        <f t="shared" si="0"/>
        <v>8906</v>
      </c>
    </row>
    <row r="10" spans="1:22" s="68" customFormat="1" ht="13.5" thickBot="1">
      <c r="A10" s="67" t="s">
        <v>12</v>
      </c>
      <c r="B10" s="40">
        <f aca="true" t="shared" si="1" ref="B10:V10">SUM(B11:B24)</f>
        <v>2956</v>
      </c>
      <c r="C10" s="38">
        <f t="shared" si="1"/>
        <v>2671</v>
      </c>
      <c r="D10" s="38">
        <f t="shared" si="1"/>
        <v>1621</v>
      </c>
      <c r="E10" s="38">
        <f t="shared" si="1"/>
        <v>706</v>
      </c>
      <c r="F10" s="38">
        <f t="shared" si="1"/>
        <v>0</v>
      </c>
      <c r="G10" s="38">
        <f t="shared" si="1"/>
        <v>0</v>
      </c>
      <c r="H10" s="38">
        <f t="shared" si="1"/>
        <v>1418</v>
      </c>
      <c r="I10" s="39">
        <f t="shared" si="1"/>
        <v>3159</v>
      </c>
      <c r="J10" s="40">
        <f t="shared" si="1"/>
        <v>2437</v>
      </c>
      <c r="K10" s="38">
        <f t="shared" si="1"/>
        <v>2424</v>
      </c>
      <c r="L10" s="38">
        <f t="shared" si="1"/>
        <v>128</v>
      </c>
      <c r="M10" s="38">
        <f t="shared" si="1"/>
        <v>1476</v>
      </c>
      <c r="N10" s="39">
        <f t="shared" si="1"/>
        <v>1089</v>
      </c>
      <c r="O10" s="40">
        <f t="shared" si="1"/>
        <v>1393</v>
      </c>
      <c r="P10" s="38">
        <f t="shared" si="1"/>
        <v>1382</v>
      </c>
      <c r="Q10" s="38">
        <f t="shared" si="1"/>
        <v>816</v>
      </c>
      <c r="R10" s="39">
        <f t="shared" si="1"/>
        <v>577</v>
      </c>
      <c r="S10" s="40">
        <f t="shared" si="1"/>
        <v>245</v>
      </c>
      <c r="T10" s="38">
        <f t="shared" si="1"/>
        <v>245</v>
      </c>
      <c r="U10" s="38">
        <f t="shared" si="1"/>
        <v>100</v>
      </c>
      <c r="V10" s="39">
        <f t="shared" si="1"/>
        <v>145</v>
      </c>
    </row>
    <row r="11" spans="1:22" s="1" customFormat="1" ht="19.5" customHeight="1">
      <c r="A11" s="69" t="s">
        <v>55</v>
      </c>
      <c r="B11" s="13">
        <v>46</v>
      </c>
      <c r="C11" s="14">
        <v>46</v>
      </c>
      <c r="D11" s="14">
        <v>6</v>
      </c>
      <c r="E11" s="15">
        <v>0</v>
      </c>
      <c r="F11" s="15">
        <v>0</v>
      </c>
      <c r="G11" s="15">
        <v>0</v>
      </c>
      <c r="H11" s="16">
        <v>6</v>
      </c>
      <c r="I11" s="17">
        <f>B11+D11-H11</f>
        <v>46</v>
      </c>
      <c r="J11" s="13">
        <v>31</v>
      </c>
      <c r="K11" s="14">
        <v>31</v>
      </c>
      <c r="L11" s="14">
        <v>0</v>
      </c>
      <c r="M11" s="15">
        <v>29</v>
      </c>
      <c r="N11" s="16">
        <f>J11+L11-M11</f>
        <v>2</v>
      </c>
      <c r="O11" s="13">
        <f>30+17</f>
        <v>47</v>
      </c>
      <c r="P11" s="14">
        <v>47</v>
      </c>
      <c r="Q11" s="15">
        <v>29</v>
      </c>
      <c r="R11" s="17">
        <f>O11-Q11</f>
        <v>18</v>
      </c>
      <c r="S11" s="13">
        <v>23</v>
      </c>
      <c r="T11" s="14">
        <v>23</v>
      </c>
      <c r="U11" s="15">
        <v>0</v>
      </c>
      <c r="V11" s="17">
        <f>S11-U11</f>
        <v>23</v>
      </c>
    </row>
    <row r="12" spans="1:23" s="1" customFormat="1" ht="19.5" customHeight="1">
      <c r="A12" s="4" t="s">
        <v>92</v>
      </c>
      <c r="B12" s="13">
        <v>132</v>
      </c>
      <c r="C12" s="14">
        <v>132</v>
      </c>
      <c r="D12" s="14">
        <v>382</v>
      </c>
      <c r="E12" s="15">
        <v>0</v>
      </c>
      <c r="F12" s="15">
        <v>0</v>
      </c>
      <c r="G12" s="15">
        <v>0</v>
      </c>
      <c r="H12" s="16">
        <v>260</v>
      </c>
      <c r="I12" s="17">
        <f aca="true" t="shared" si="2" ref="I12:I24">B12+D12-H12</f>
        <v>254</v>
      </c>
      <c r="J12" s="13">
        <v>132</v>
      </c>
      <c r="K12" s="14">
        <v>132</v>
      </c>
      <c r="L12" s="14">
        <v>1</v>
      </c>
      <c r="M12" s="15">
        <v>0</v>
      </c>
      <c r="N12" s="16">
        <f aca="true" t="shared" si="3" ref="N12:N24">J12+L12-M12</f>
        <v>133</v>
      </c>
      <c r="O12" s="13">
        <f>85+18</f>
        <v>103</v>
      </c>
      <c r="P12" s="14">
        <v>103</v>
      </c>
      <c r="Q12" s="15">
        <v>103</v>
      </c>
      <c r="R12" s="17">
        <f aca="true" t="shared" si="4" ref="R12:R24">O12-Q12</f>
        <v>0</v>
      </c>
      <c r="S12" s="13">
        <v>0</v>
      </c>
      <c r="T12" s="14">
        <v>0</v>
      </c>
      <c r="U12" s="15">
        <v>0</v>
      </c>
      <c r="V12" s="17">
        <f aca="true" t="shared" si="5" ref="V12:V24">S12-U12</f>
        <v>0</v>
      </c>
      <c r="W12" s="70"/>
    </row>
    <row r="13" spans="1:23" ht="19.5" customHeight="1">
      <c r="A13" s="4" t="s">
        <v>116</v>
      </c>
      <c r="B13" s="13">
        <v>405</v>
      </c>
      <c r="C13" s="14">
        <v>405</v>
      </c>
      <c r="D13" s="14">
        <v>34</v>
      </c>
      <c r="E13" s="15">
        <v>350</v>
      </c>
      <c r="F13" s="15">
        <v>0</v>
      </c>
      <c r="G13" s="15">
        <v>0</v>
      </c>
      <c r="H13" s="16">
        <v>350</v>
      </c>
      <c r="I13" s="17">
        <f>B13+D13-H13</f>
        <v>89</v>
      </c>
      <c r="J13" s="13">
        <v>11</v>
      </c>
      <c r="K13" s="14">
        <v>11</v>
      </c>
      <c r="L13" s="14">
        <v>5</v>
      </c>
      <c r="M13" s="15">
        <v>0</v>
      </c>
      <c r="N13" s="16">
        <f t="shared" si="3"/>
        <v>16</v>
      </c>
      <c r="O13" s="13">
        <f>50+17</f>
        <v>67</v>
      </c>
      <c r="P13" s="14">
        <v>67</v>
      </c>
      <c r="Q13" s="15">
        <v>42</v>
      </c>
      <c r="R13" s="17">
        <f t="shared" si="4"/>
        <v>25</v>
      </c>
      <c r="S13" s="13">
        <v>0</v>
      </c>
      <c r="T13" s="14">
        <v>0</v>
      </c>
      <c r="U13" s="15">
        <v>0</v>
      </c>
      <c r="V13" s="17">
        <f t="shared" si="5"/>
        <v>0</v>
      </c>
      <c r="W13" s="1"/>
    </row>
    <row r="14" spans="1:23" s="1" customFormat="1" ht="19.5" customHeight="1">
      <c r="A14" s="69" t="s">
        <v>56</v>
      </c>
      <c r="B14" s="13">
        <v>64</v>
      </c>
      <c r="C14" s="14">
        <v>64</v>
      </c>
      <c r="D14" s="14">
        <v>96</v>
      </c>
      <c r="E14" s="15">
        <v>0</v>
      </c>
      <c r="F14" s="15">
        <v>0</v>
      </c>
      <c r="G14" s="15">
        <v>0</v>
      </c>
      <c r="H14" s="16">
        <v>69</v>
      </c>
      <c r="I14" s="17">
        <f t="shared" si="2"/>
        <v>91</v>
      </c>
      <c r="J14" s="13">
        <f>75+236</f>
        <v>311</v>
      </c>
      <c r="K14" s="14">
        <v>311</v>
      </c>
      <c r="L14" s="14">
        <v>1</v>
      </c>
      <c r="M14" s="15">
        <v>236</v>
      </c>
      <c r="N14" s="16">
        <f t="shared" si="3"/>
        <v>76</v>
      </c>
      <c r="O14" s="13">
        <v>200</v>
      </c>
      <c r="P14" s="14">
        <v>200</v>
      </c>
      <c r="Q14" s="15">
        <v>90</v>
      </c>
      <c r="R14" s="17">
        <f t="shared" si="4"/>
        <v>110</v>
      </c>
      <c r="S14" s="13">
        <v>0</v>
      </c>
      <c r="T14" s="14">
        <v>0</v>
      </c>
      <c r="U14" s="15">
        <v>0</v>
      </c>
      <c r="V14" s="17">
        <f t="shared" si="5"/>
        <v>0</v>
      </c>
      <c r="W14" s="70"/>
    </row>
    <row r="15" spans="1:22" s="1" customFormat="1" ht="19.5" customHeight="1">
      <c r="A15" s="69" t="s">
        <v>34</v>
      </c>
      <c r="B15" s="13">
        <v>0</v>
      </c>
      <c r="C15" s="14">
        <v>0</v>
      </c>
      <c r="D15" s="14">
        <v>0</v>
      </c>
      <c r="E15" s="15">
        <v>0</v>
      </c>
      <c r="F15" s="15">
        <v>0</v>
      </c>
      <c r="G15" s="15">
        <v>0</v>
      </c>
      <c r="H15" s="16">
        <v>0</v>
      </c>
      <c r="I15" s="17">
        <f t="shared" si="2"/>
        <v>0</v>
      </c>
      <c r="J15" s="13">
        <f>8+74</f>
        <v>82</v>
      </c>
      <c r="K15" s="14">
        <v>82</v>
      </c>
      <c r="L15" s="14">
        <v>0</v>
      </c>
      <c r="M15" s="15">
        <v>82</v>
      </c>
      <c r="N15" s="16">
        <f t="shared" si="3"/>
        <v>0</v>
      </c>
      <c r="O15" s="13">
        <f>19+57</f>
        <v>76</v>
      </c>
      <c r="P15" s="14">
        <v>76</v>
      </c>
      <c r="Q15" s="15">
        <v>0</v>
      </c>
      <c r="R15" s="17">
        <f t="shared" si="4"/>
        <v>76</v>
      </c>
      <c r="S15" s="13">
        <v>0</v>
      </c>
      <c r="T15" s="14">
        <v>0</v>
      </c>
      <c r="U15" s="15">
        <v>0</v>
      </c>
      <c r="V15" s="17">
        <f t="shared" si="5"/>
        <v>0</v>
      </c>
    </row>
    <row r="16" spans="1:22" s="1" customFormat="1" ht="19.5" customHeight="1">
      <c r="A16" s="69" t="s">
        <v>57</v>
      </c>
      <c r="B16" s="13">
        <v>105</v>
      </c>
      <c r="C16" s="14">
        <v>105</v>
      </c>
      <c r="D16" s="14">
        <v>20</v>
      </c>
      <c r="E16" s="15">
        <v>0</v>
      </c>
      <c r="F16" s="15">
        <v>0</v>
      </c>
      <c r="G16" s="15">
        <v>0</v>
      </c>
      <c r="H16" s="16">
        <v>0</v>
      </c>
      <c r="I16" s="17">
        <f t="shared" si="2"/>
        <v>125</v>
      </c>
      <c r="J16" s="13">
        <v>179</v>
      </c>
      <c r="K16" s="14">
        <v>179</v>
      </c>
      <c r="L16" s="14">
        <v>1</v>
      </c>
      <c r="M16" s="15">
        <v>176</v>
      </c>
      <c r="N16" s="16">
        <f t="shared" si="3"/>
        <v>4</v>
      </c>
      <c r="O16" s="13">
        <f>62+81</f>
        <v>143</v>
      </c>
      <c r="P16" s="14">
        <v>143</v>
      </c>
      <c r="Q16" s="15">
        <v>85</v>
      </c>
      <c r="R16" s="17">
        <f t="shared" si="4"/>
        <v>58</v>
      </c>
      <c r="S16" s="13">
        <v>0</v>
      </c>
      <c r="T16" s="14">
        <v>0</v>
      </c>
      <c r="U16" s="15">
        <v>0</v>
      </c>
      <c r="V16" s="17">
        <f t="shared" si="5"/>
        <v>0</v>
      </c>
    </row>
    <row r="17" spans="1:23" s="1" customFormat="1" ht="19.5" customHeight="1">
      <c r="A17" s="69" t="s">
        <v>82</v>
      </c>
      <c r="B17" s="13">
        <v>127</v>
      </c>
      <c r="C17" s="14">
        <v>127</v>
      </c>
      <c r="D17" s="14">
        <v>18</v>
      </c>
      <c r="E17" s="15">
        <v>0</v>
      </c>
      <c r="F17" s="15">
        <v>0</v>
      </c>
      <c r="G17" s="15">
        <v>0</v>
      </c>
      <c r="H17" s="16">
        <v>0</v>
      </c>
      <c r="I17" s="17">
        <f t="shared" si="2"/>
        <v>145</v>
      </c>
      <c r="J17" s="13">
        <f>10+337</f>
        <v>347</v>
      </c>
      <c r="K17" s="14">
        <v>347</v>
      </c>
      <c r="L17" s="14">
        <v>0</v>
      </c>
      <c r="M17" s="15">
        <v>295</v>
      </c>
      <c r="N17" s="16">
        <f t="shared" si="3"/>
        <v>52</v>
      </c>
      <c r="O17" s="13">
        <f>69+82</f>
        <v>151</v>
      </c>
      <c r="P17" s="14">
        <v>151</v>
      </c>
      <c r="Q17" s="15">
        <v>70</v>
      </c>
      <c r="R17" s="17">
        <f t="shared" si="4"/>
        <v>81</v>
      </c>
      <c r="S17" s="13">
        <v>0</v>
      </c>
      <c r="T17" s="14">
        <v>0</v>
      </c>
      <c r="U17" s="15">
        <v>0</v>
      </c>
      <c r="V17" s="17">
        <f t="shared" si="5"/>
        <v>0</v>
      </c>
      <c r="W17" s="71"/>
    </row>
    <row r="18" spans="1:23" s="1" customFormat="1" ht="19.5" customHeight="1">
      <c r="A18" s="69" t="s">
        <v>61</v>
      </c>
      <c r="B18" s="13">
        <v>267</v>
      </c>
      <c r="C18" s="14">
        <v>267</v>
      </c>
      <c r="D18" s="14">
        <v>110</v>
      </c>
      <c r="E18" s="15">
        <v>221</v>
      </c>
      <c r="F18" s="15">
        <v>0</v>
      </c>
      <c r="G18" s="15">
        <v>0</v>
      </c>
      <c r="H18" s="16">
        <f>221+12</f>
        <v>233</v>
      </c>
      <c r="I18" s="17">
        <f t="shared" si="2"/>
        <v>144</v>
      </c>
      <c r="J18" s="13">
        <f>53+72</f>
        <v>125</v>
      </c>
      <c r="K18" s="14">
        <v>125</v>
      </c>
      <c r="L18" s="14">
        <v>6</v>
      </c>
      <c r="M18" s="15">
        <v>72</v>
      </c>
      <c r="N18" s="16">
        <f t="shared" si="3"/>
        <v>59</v>
      </c>
      <c r="O18" s="13">
        <f>33+107</f>
        <v>140</v>
      </c>
      <c r="P18" s="14">
        <v>140</v>
      </c>
      <c r="Q18" s="15">
        <v>140</v>
      </c>
      <c r="R18" s="17">
        <f t="shared" si="4"/>
        <v>0</v>
      </c>
      <c r="S18" s="13">
        <v>30</v>
      </c>
      <c r="T18" s="14">
        <v>30</v>
      </c>
      <c r="U18" s="15">
        <v>0</v>
      </c>
      <c r="V18" s="17">
        <f t="shared" si="5"/>
        <v>30</v>
      </c>
      <c r="W18" s="70"/>
    </row>
    <row r="19" spans="1:22" s="1" customFormat="1" ht="19.5" customHeight="1">
      <c r="A19" s="69" t="s">
        <v>62</v>
      </c>
      <c r="B19" s="13">
        <v>127</v>
      </c>
      <c r="C19" s="14">
        <v>127</v>
      </c>
      <c r="D19" s="14">
        <v>54</v>
      </c>
      <c r="E19" s="15">
        <v>0</v>
      </c>
      <c r="F19" s="15">
        <v>0</v>
      </c>
      <c r="G19" s="15">
        <v>0</v>
      </c>
      <c r="H19" s="16">
        <v>0</v>
      </c>
      <c r="I19" s="17">
        <f t="shared" si="2"/>
        <v>181</v>
      </c>
      <c r="J19" s="13">
        <f>86+278</f>
        <v>364</v>
      </c>
      <c r="K19" s="14">
        <v>364</v>
      </c>
      <c r="L19" s="14">
        <v>30</v>
      </c>
      <c r="M19" s="15">
        <v>300</v>
      </c>
      <c r="N19" s="16">
        <f t="shared" si="3"/>
        <v>94</v>
      </c>
      <c r="O19" s="13">
        <f>45+74</f>
        <v>119</v>
      </c>
      <c r="P19" s="14">
        <v>119</v>
      </c>
      <c r="Q19" s="15">
        <v>50</v>
      </c>
      <c r="R19" s="17">
        <f t="shared" si="4"/>
        <v>69</v>
      </c>
      <c r="S19" s="13">
        <v>44</v>
      </c>
      <c r="T19" s="14">
        <v>44</v>
      </c>
      <c r="U19" s="15">
        <v>30</v>
      </c>
      <c r="V19" s="17">
        <f t="shared" si="5"/>
        <v>14</v>
      </c>
    </row>
    <row r="20" spans="1:22" s="1" customFormat="1" ht="19.5" customHeight="1">
      <c r="A20" s="69" t="s">
        <v>79</v>
      </c>
      <c r="B20" s="13">
        <v>131</v>
      </c>
      <c r="C20" s="15">
        <v>131</v>
      </c>
      <c r="D20" s="15">
        <v>14</v>
      </c>
      <c r="E20" s="15">
        <v>0</v>
      </c>
      <c r="F20" s="15">
        <v>0</v>
      </c>
      <c r="G20" s="15">
        <v>0</v>
      </c>
      <c r="H20" s="15">
        <v>0</v>
      </c>
      <c r="I20" s="17">
        <f t="shared" si="2"/>
        <v>145</v>
      </c>
      <c r="J20" s="14">
        <f>388+53</f>
        <v>441</v>
      </c>
      <c r="K20" s="14">
        <v>441</v>
      </c>
      <c r="L20" s="14">
        <v>41</v>
      </c>
      <c r="M20" s="15">
        <f>148-80</f>
        <v>68</v>
      </c>
      <c r="N20" s="16">
        <f t="shared" si="3"/>
        <v>414</v>
      </c>
      <c r="O20" s="13">
        <v>40</v>
      </c>
      <c r="P20" s="14">
        <v>40</v>
      </c>
      <c r="Q20" s="15">
        <v>40</v>
      </c>
      <c r="R20" s="17">
        <f t="shared" si="4"/>
        <v>0</v>
      </c>
      <c r="S20" s="13">
        <f>9+61</f>
        <v>70</v>
      </c>
      <c r="T20" s="15">
        <v>70</v>
      </c>
      <c r="U20" s="15">
        <v>60</v>
      </c>
      <c r="V20" s="17">
        <f t="shared" si="5"/>
        <v>10</v>
      </c>
    </row>
    <row r="21" spans="1:22" s="1" customFormat="1" ht="19.5" customHeight="1">
      <c r="A21" s="69" t="s">
        <v>58</v>
      </c>
      <c r="B21" s="13">
        <v>1409</v>
      </c>
      <c r="C21" s="15">
        <v>1124</v>
      </c>
      <c r="D21" s="15">
        <v>372</v>
      </c>
      <c r="E21" s="15">
        <v>0</v>
      </c>
      <c r="F21" s="15">
        <v>0</v>
      </c>
      <c r="G21" s="15">
        <v>0</v>
      </c>
      <c r="H21" s="7">
        <v>1</v>
      </c>
      <c r="I21" s="16">
        <f t="shared" si="2"/>
        <v>1780</v>
      </c>
      <c r="J21" s="13">
        <v>31</v>
      </c>
      <c r="K21" s="15">
        <v>31</v>
      </c>
      <c r="L21" s="15">
        <v>10</v>
      </c>
      <c r="M21" s="15">
        <v>0</v>
      </c>
      <c r="N21" s="16">
        <f t="shared" si="3"/>
        <v>41</v>
      </c>
      <c r="O21" s="13">
        <f>25+7</f>
        <v>32</v>
      </c>
      <c r="P21" s="15">
        <f>25+4</f>
        <v>29</v>
      </c>
      <c r="Q21" s="15">
        <v>26</v>
      </c>
      <c r="R21" s="17">
        <f t="shared" si="4"/>
        <v>6</v>
      </c>
      <c r="S21" s="13">
        <f>18+38</f>
        <v>56</v>
      </c>
      <c r="T21" s="15">
        <v>56</v>
      </c>
      <c r="U21" s="15">
        <v>10</v>
      </c>
      <c r="V21" s="17">
        <f t="shared" si="5"/>
        <v>46</v>
      </c>
    </row>
    <row r="22" spans="1:22" s="1" customFormat="1" ht="19.5" customHeight="1">
      <c r="A22" s="69" t="s">
        <v>117</v>
      </c>
      <c r="B22" s="42">
        <v>0</v>
      </c>
      <c r="C22" s="72">
        <v>0</v>
      </c>
      <c r="D22" s="72">
        <v>0</v>
      </c>
      <c r="E22" s="41">
        <v>0</v>
      </c>
      <c r="F22" s="41">
        <v>0</v>
      </c>
      <c r="G22" s="41">
        <v>0</v>
      </c>
      <c r="H22" s="73">
        <v>0</v>
      </c>
      <c r="I22" s="74">
        <f t="shared" si="2"/>
        <v>0</v>
      </c>
      <c r="J22" s="42">
        <v>0</v>
      </c>
      <c r="K22" s="72">
        <v>0</v>
      </c>
      <c r="L22" s="72">
        <v>0</v>
      </c>
      <c r="M22" s="41">
        <v>0</v>
      </c>
      <c r="N22" s="75">
        <f t="shared" si="3"/>
        <v>0</v>
      </c>
      <c r="O22" s="42">
        <f>13+26</f>
        <v>39</v>
      </c>
      <c r="P22" s="72">
        <v>39</v>
      </c>
      <c r="Q22" s="41">
        <v>39</v>
      </c>
      <c r="R22" s="17">
        <f t="shared" si="4"/>
        <v>0</v>
      </c>
      <c r="S22" s="42">
        <v>0</v>
      </c>
      <c r="T22" s="72">
        <v>0</v>
      </c>
      <c r="U22" s="41">
        <v>0</v>
      </c>
      <c r="V22" s="74">
        <f t="shared" si="5"/>
        <v>0</v>
      </c>
    </row>
    <row r="23" spans="1:54" s="11" customFormat="1" ht="19.5" customHeight="1">
      <c r="A23" s="4" t="s">
        <v>59</v>
      </c>
      <c r="B23" s="5">
        <v>14</v>
      </c>
      <c r="C23" s="6">
        <v>14</v>
      </c>
      <c r="D23" s="6">
        <v>3</v>
      </c>
      <c r="E23" s="7">
        <v>0</v>
      </c>
      <c r="F23" s="7">
        <v>0</v>
      </c>
      <c r="G23" s="7">
        <v>0</v>
      </c>
      <c r="H23" s="8">
        <v>0</v>
      </c>
      <c r="I23" s="9">
        <f t="shared" si="2"/>
        <v>17</v>
      </c>
      <c r="J23" s="5">
        <f>17+188</f>
        <v>205</v>
      </c>
      <c r="K23" s="6">
        <v>205</v>
      </c>
      <c r="L23" s="6">
        <v>1</v>
      </c>
      <c r="M23" s="7">
        <v>188</v>
      </c>
      <c r="N23" s="8">
        <f t="shared" si="3"/>
        <v>18</v>
      </c>
      <c r="O23" s="5">
        <f>14+22</f>
        <v>36</v>
      </c>
      <c r="P23" s="6">
        <v>36</v>
      </c>
      <c r="Q23" s="7">
        <v>18</v>
      </c>
      <c r="R23" s="9">
        <f t="shared" si="4"/>
        <v>18</v>
      </c>
      <c r="S23" s="5">
        <v>7</v>
      </c>
      <c r="T23" s="6">
        <v>7</v>
      </c>
      <c r="U23" s="7">
        <v>0</v>
      </c>
      <c r="V23" s="9">
        <f t="shared" si="5"/>
        <v>7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22" s="77" customFormat="1" ht="19.5" customHeight="1" thickBot="1">
      <c r="A24" s="76" t="s">
        <v>60</v>
      </c>
      <c r="B24" s="42">
        <v>129</v>
      </c>
      <c r="C24" s="72">
        <v>129</v>
      </c>
      <c r="D24" s="41">
        <v>512</v>
      </c>
      <c r="E24" s="41">
        <v>135</v>
      </c>
      <c r="F24" s="41">
        <v>0</v>
      </c>
      <c r="G24" s="41">
        <v>0</v>
      </c>
      <c r="H24" s="41">
        <f>364+135</f>
        <v>499</v>
      </c>
      <c r="I24" s="74">
        <f t="shared" si="2"/>
        <v>142</v>
      </c>
      <c r="J24" s="42">
        <f>55+123</f>
        <v>178</v>
      </c>
      <c r="K24" s="72">
        <v>165</v>
      </c>
      <c r="L24" s="41">
        <v>32</v>
      </c>
      <c r="M24" s="41">
        <v>30</v>
      </c>
      <c r="N24" s="74">
        <f t="shared" si="3"/>
        <v>180</v>
      </c>
      <c r="O24" s="42">
        <f>80+120</f>
        <v>200</v>
      </c>
      <c r="P24" s="72">
        <f>112+80</f>
        <v>192</v>
      </c>
      <c r="Q24" s="41">
        <v>84</v>
      </c>
      <c r="R24" s="17">
        <f t="shared" si="4"/>
        <v>116</v>
      </c>
      <c r="S24" s="42">
        <v>15</v>
      </c>
      <c r="T24" s="72">
        <v>15</v>
      </c>
      <c r="U24" s="41">
        <v>0</v>
      </c>
      <c r="V24" s="74">
        <f t="shared" si="5"/>
        <v>15</v>
      </c>
    </row>
    <row r="25" spans="1:54" ht="19.5" customHeight="1" thickBot="1">
      <c r="A25" s="65" t="s">
        <v>13</v>
      </c>
      <c r="B25" s="40">
        <f>SUM(B26:B39)</f>
        <v>12801</v>
      </c>
      <c r="C25" s="38">
        <f aca="true" t="shared" si="6" ref="C25:V25">SUM(C26:C39)</f>
        <v>12801</v>
      </c>
      <c r="D25" s="38">
        <f t="shared" si="6"/>
        <v>11782</v>
      </c>
      <c r="E25" s="38">
        <f t="shared" si="6"/>
        <v>1000</v>
      </c>
      <c r="F25" s="38">
        <f t="shared" si="6"/>
        <v>410</v>
      </c>
      <c r="G25" s="38">
        <f t="shared" si="6"/>
        <v>2188</v>
      </c>
      <c r="H25" s="38">
        <f t="shared" si="6"/>
        <v>11199</v>
      </c>
      <c r="I25" s="39">
        <f t="shared" si="6"/>
        <v>13384</v>
      </c>
      <c r="J25" s="40">
        <f t="shared" si="6"/>
        <v>10695</v>
      </c>
      <c r="K25" s="38">
        <f t="shared" si="6"/>
        <v>10695</v>
      </c>
      <c r="L25" s="38">
        <f t="shared" si="6"/>
        <v>757</v>
      </c>
      <c r="M25" s="38">
        <f t="shared" si="6"/>
        <v>6114</v>
      </c>
      <c r="N25" s="39">
        <f t="shared" si="6"/>
        <v>5338</v>
      </c>
      <c r="O25" s="40">
        <f t="shared" si="6"/>
        <v>3732</v>
      </c>
      <c r="P25" s="38">
        <f t="shared" si="6"/>
        <v>3731</v>
      </c>
      <c r="Q25" s="38">
        <f t="shared" si="6"/>
        <v>2407</v>
      </c>
      <c r="R25" s="39">
        <f t="shared" si="6"/>
        <v>1325</v>
      </c>
      <c r="S25" s="40">
        <f t="shared" si="6"/>
        <v>1320</v>
      </c>
      <c r="T25" s="38">
        <f t="shared" si="6"/>
        <v>1320</v>
      </c>
      <c r="U25" s="38">
        <f t="shared" si="6"/>
        <v>217</v>
      </c>
      <c r="V25" s="39">
        <f t="shared" si="6"/>
        <v>1103</v>
      </c>
      <c r="W25" s="7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</row>
    <row r="26" spans="1:54" s="81" customFormat="1" ht="19.5" customHeight="1">
      <c r="A26" s="76" t="s">
        <v>38</v>
      </c>
      <c r="B26" s="42">
        <v>57</v>
      </c>
      <c r="C26" s="72">
        <v>57</v>
      </c>
      <c r="D26" s="72">
        <v>555</v>
      </c>
      <c r="E26" s="41">
        <v>60</v>
      </c>
      <c r="F26" s="41">
        <v>0</v>
      </c>
      <c r="G26" s="41">
        <v>80</v>
      </c>
      <c r="H26" s="75">
        <v>514</v>
      </c>
      <c r="I26" s="74">
        <f aca="true" t="shared" si="7" ref="I26:I39">B26+D26-H26</f>
        <v>98</v>
      </c>
      <c r="J26" s="42">
        <f>19+247</f>
        <v>266</v>
      </c>
      <c r="K26" s="72">
        <f>19+247</f>
        <v>266</v>
      </c>
      <c r="L26" s="72">
        <v>28</v>
      </c>
      <c r="M26" s="41">
        <v>257</v>
      </c>
      <c r="N26" s="75">
        <f aca="true" t="shared" si="8" ref="N26:N39">J26+L26-M26</f>
        <v>37</v>
      </c>
      <c r="O26" s="42">
        <f>96+140</f>
        <v>236</v>
      </c>
      <c r="P26" s="72">
        <f>96+140</f>
        <v>236</v>
      </c>
      <c r="Q26" s="41">
        <v>171</v>
      </c>
      <c r="R26" s="74">
        <f aca="true" t="shared" si="9" ref="R26:R39">O26-Q26</f>
        <v>65</v>
      </c>
      <c r="S26" s="42">
        <v>0</v>
      </c>
      <c r="T26" s="72">
        <v>0</v>
      </c>
      <c r="U26" s="41">
        <v>0</v>
      </c>
      <c r="V26" s="74">
        <f aca="true" t="shared" si="10" ref="V26:V39">S26-U26</f>
        <v>0</v>
      </c>
      <c r="W26" s="79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</row>
    <row r="27" spans="1:54" s="81" customFormat="1" ht="19.5" customHeight="1">
      <c r="A27" s="69" t="s">
        <v>1</v>
      </c>
      <c r="B27" s="13">
        <v>257</v>
      </c>
      <c r="C27" s="14">
        <v>257</v>
      </c>
      <c r="D27" s="14">
        <v>1452</v>
      </c>
      <c r="E27" s="15">
        <v>140</v>
      </c>
      <c r="F27" s="15">
        <v>0</v>
      </c>
      <c r="G27" s="15">
        <v>147</v>
      </c>
      <c r="H27" s="16">
        <v>1351</v>
      </c>
      <c r="I27" s="17">
        <f t="shared" si="7"/>
        <v>358</v>
      </c>
      <c r="J27" s="13">
        <f>126+469</f>
        <v>595</v>
      </c>
      <c r="K27" s="14">
        <f>126+469</f>
        <v>595</v>
      </c>
      <c r="L27" s="14">
        <v>36</v>
      </c>
      <c r="M27" s="15">
        <v>469</v>
      </c>
      <c r="N27" s="16">
        <f t="shared" si="8"/>
        <v>162</v>
      </c>
      <c r="O27" s="13">
        <f>68+105</f>
        <v>173</v>
      </c>
      <c r="P27" s="14">
        <f>71+105</f>
        <v>176</v>
      </c>
      <c r="Q27" s="15">
        <v>113</v>
      </c>
      <c r="R27" s="17">
        <f t="shared" si="9"/>
        <v>60</v>
      </c>
      <c r="S27" s="13">
        <f>52+15</f>
        <v>67</v>
      </c>
      <c r="T27" s="14">
        <f>52+15</f>
        <v>67</v>
      </c>
      <c r="U27" s="15">
        <v>0</v>
      </c>
      <c r="V27" s="17">
        <f t="shared" si="10"/>
        <v>67</v>
      </c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</row>
    <row r="28" spans="1:54" s="81" customFormat="1" ht="19.5" customHeight="1">
      <c r="A28" s="69" t="s">
        <v>78</v>
      </c>
      <c r="B28" s="13">
        <v>1699</v>
      </c>
      <c r="C28" s="14">
        <v>1699</v>
      </c>
      <c r="D28" s="14">
        <v>1870</v>
      </c>
      <c r="E28" s="15">
        <v>0</v>
      </c>
      <c r="F28" s="15">
        <v>155</v>
      </c>
      <c r="G28" s="15">
        <v>750</v>
      </c>
      <c r="H28" s="16">
        <f>902+E28+F28+G28</f>
        <v>1807</v>
      </c>
      <c r="I28" s="17">
        <f t="shared" si="7"/>
        <v>1762</v>
      </c>
      <c r="J28" s="13">
        <v>242</v>
      </c>
      <c r="K28" s="14">
        <v>242</v>
      </c>
      <c r="L28" s="14">
        <v>30</v>
      </c>
      <c r="M28" s="15">
        <v>0</v>
      </c>
      <c r="N28" s="16">
        <f t="shared" si="8"/>
        <v>272</v>
      </c>
      <c r="O28" s="13">
        <f>175+170</f>
        <v>345</v>
      </c>
      <c r="P28" s="14">
        <f>156+170</f>
        <v>326</v>
      </c>
      <c r="Q28" s="15">
        <v>324</v>
      </c>
      <c r="R28" s="17">
        <f t="shared" si="9"/>
        <v>21</v>
      </c>
      <c r="S28" s="13">
        <v>80</v>
      </c>
      <c r="T28" s="14">
        <v>80</v>
      </c>
      <c r="U28" s="15">
        <v>0</v>
      </c>
      <c r="V28" s="17">
        <f t="shared" si="10"/>
        <v>80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</row>
    <row r="29" spans="1:54" s="81" customFormat="1" ht="19.5" customHeight="1">
      <c r="A29" s="69" t="s">
        <v>2</v>
      </c>
      <c r="B29" s="13">
        <v>517</v>
      </c>
      <c r="C29" s="14">
        <v>517</v>
      </c>
      <c r="D29" s="14">
        <v>797</v>
      </c>
      <c r="E29" s="15">
        <v>150</v>
      </c>
      <c r="F29" s="15">
        <v>150</v>
      </c>
      <c r="G29" s="15">
        <v>480</v>
      </c>
      <c r="H29" s="16">
        <v>1240</v>
      </c>
      <c r="I29" s="17">
        <f t="shared" si="7"/>
        <v>74</v>
      </c>
      <c r="J29" s="13">
        <f>178+991</f>
        <v>1169</v>
      </c>
      <c r="K29" s="14">
        <f>178+991</f>
        <v>1169</v>
      </c>
      <c r="L29" s="14">
        <v>26</v>
      </c>
      <c r="M29" s="15">
        <v>991</v>
      </c>
      <c r="N29" s="16">
        <f t="shared" si="8"/>
        <v>204</v>
      </c>
      <c r="O29" s="13">
        <f>37+240</f>
        <v>277</v>
      </c>
      <c r="P29" s="14">
        <f>52+240</f>
        <v>292</v>
      </c>
      <c r="Q29" s="15">
        <v>245</v>
      </c>
      <c r="R29" s="17">
        <f t="shared" si="9"/>
        <v>32</v>
      </c>
      <c r="S29" s="13">
        <v>6</v>
      </c>
      <c r="T29" s="14">
        <v>6</v>
      </c>
      <c r="U29" s="15">
        <v>0</v>
      </c>
      <c r="V29" s="17">
        <f t="shared" si="10"/>
        <v>6</v>
      </c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</row>
    <row r="30" spans="1:54" s="81" customFormat="1" ht="19.5" customHeight="1">
      <c r="A30" s="69" t="s">
        <v>52</v>
      </c>
      <c r="B30" s="13">
        <v>8226</v>
      </c>
      <c r="C30" s="14">
        <v>8226</v>
      </c>
      <c r="D30" s="14">
        <v>1594</v>
      </c>
      <c r="E30" s="15">
        <v>130</v>
      </c>
      <c r="F30" s="15">
        <v>0</v>
      </c>
      <c r="G30" s="15">
        <v>0</v>
      </c>
      <c r="H30" s="16">
        <v>774</v>
      </c>
      <c r="I30" s="17">
        <f t="shared" si="7"/>
        <v>9046</v>
      </c>
      <c r="J30" s="13">
        <f>1902+430</f>
        <v>2332</v>
      </c>
      <c r="K30" s="14">
        <f>1902+430</f>
        <v>2332</v>
      </c>
      <c r="L30" s="14">
        <v>467</v>
      </c>
      <c r="M30" s="15">
        <v>289</v>
      </c>
      <c r="N30" s="16">
        <f t="shared" si="8"/>
        <v>2510</v>
      </c>
      <c r="O30" s="13">
        <f>385+135</f>
        <v>520</v>
      </c>
      <c r="P30" s="14">
        <f>385+135</f>
        <v>520</v>
      </c>
      <c r="Q30" s="15">
        <v>140</v>
      </c>
      <c r="R30" s="17">
        <f t="shared" si="9"/>
        <v>380</v>
      </c>
      <c r="S30" s="13">
        <f>520+140</f>
        <v>660</v>
      </c>
      <c r="T30" s="14">
        <f>520+140</f>
        <v>660</v>
      </c>
      <c r="U30" s="15">
        <v>0</v>
      </c>
      <c r="V30" s="17">
        <f t="shared" si="10"/>
        <v>660</v>
      </c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</row>
    <row r="31" spans="1:54" s="81" customFormat="1" ht="19.5" customHeight="1">
      <c r="A31" s="69" t="s">
        <v>53</v>
      </c>
      <c r="B31" s="13">
        <v>21</v>
      </c>
      <c r="C31" s="14">
        <v>21</v>
      </c>
      <c r="D31" s="14">
        <v>608</v>
      </c>
      <c r="E31" s="15">
        <v>100</v>
      </c>
      <c r="F31" s="15">
        <v>0</v>
      </c>
      <c r="G31" s="15">
        <v>100</v>
      </c>
      <c r="H31" s="16">
        <v>545</v>
      </c>
      <c r="I31" s="17">
        <f t="shared" si="7"/>
        <v>84</v>
      </c>
      <c r="J31" s="13">
        <f>201+769</f>
        <v>970</v>
      </c>
      <c r="K31" s="14">
        <f>201+769</f>
        <v>970</v>
      </c>
      <c r="L31" s="14">
        <v>33</v>
      </c>
      <c r="M31" s="15">
        <v>660</v>
      </c>
      <c r="N31" s="16">
        <f t="shared" si="8"/>
        <v>343</v>
      </c>
      <c r="O31" s="13">
        <f>156+90</f>
        <v>246</v>
      </c>
      <c r="P31" s="14">
        <f>156+90</f>
        <v>246</v>
      </c>
      <c r="Q31" s="15">
        <v>227</v>
      </c>
      <c r="R31" s="17">
        <f t="shared" si="9"/>
        <v>19</v>
      </c>
      <c r="S31" s="13">
        <v>80</v>
      </c>
      <c r="T31" s="14">
        <v>80</v>
      </c>
      <c r="U31" s="15">
        <v>0</v>
      </c>
      <c r="V31" s="17">
        <f t="shared" si="10"/>
        <v>80</v>
      </c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</row>
    <row r="32" spans="1:54" s="81" customFormat="1" ht="19.5" customHeight="1">
      <c r="A32" s="107" t="s">
        <v>3</v>
      </c>
      <c r="B32" s="1">
        <v>245</v>
      </c>
      <c r="C32" s="15">
        <v>245</v>
      </c>
      <c r="D32" s="14">
        <v>614</v>
      </c>
      <c r="E32" s="15">
        <v>0</v>
      </c>
      <c r="F32" s="15">
        <v>0</v>
      </c>
      <c r="G32" s="15">
        <v>0</v>
      </c>
      <c r="H32" s="16">
        <v>475</v>
      </c>
      <c r="I32" s="17">
        <f t="shared" si="7"/>
        <v>384</v>
      </c>
      <c r="J32" s="13">
        <f>83+199</f>
        <v>282</v>
      </c>
      <c r="K32" s="14">
        <f>83+199</f>
        <v>282</v>
      </c>
      <c r="L32" s="14">
        <v>21</v>
      </c>
      <c r="M32" s="15">
        <f>104+199</f>
        <v>303</v>
      </c>
      <c r="N32" s="16">
        <f t="shared" si="8"/>
        <v>0</v>
      </c>
      <c r="O32" s="13">
        <f>162+50</f>
        <v>212</v>
      </c>
      <c r="P32" s="14">
        <f>162+50</f>
        <v>212</v>
      </c>
      <c r="Q32" s="15">
        <v>100</v>
      </c>
      <c r="R32" s="17">
        <f t="shared" si="9"/>
        <v>112</v>
      </c>
      <c r="S32" s="13">
        <v>7</v>
      </c>
      <c r="T32" s="14">
        <v>7</v>
      </c>
      <c r="U32" s="15">
        <v>7</v>
      </c>
      <c r="V32" s="17">
        <f t="shared" si="10"/>
        <v>0</v>
      </c>
      <c r="W32" s="82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</row>
    <row r="33" spans="1:54" s="81" customFormat="1" ht="19.5" customHeight="1">
      <c r="A33" s="107" t="s">
        <v>4</v>
      </c>
      <c r="B33" s="13">
        <v>115</v>
      </c>
      <c r="C33" s="14">
        <v>115</v>
      </c>
      <c r="D33" s="15">
        <v>277</v>
      </c>
      <c r="E33" s="15">
        <v>0</v>
      </c>
      <c r="F33" s="15">
        <v>0</v>
      </c>
      <c r="G33" s="15">
        <v>0</v>
      </c>
      <c r="H33" s="15">
        <v>176</v>
      </c>
      <c r="I33" s="17">
        <f t="shared" si="7"/>
        <v>216</v>
      </c>
      <c r="J33" s="13">
        <f>131+378</f>
        <v>509</v>
      </c>
      <c r="K33" s="14">
        <f>131+378</f>
        <v>509</v>
      </c>
      <c r="L33" s="15">
        <v>0</v>
      </c>
      <c r="M33" s="15">
        <v>378</v>
      </c>
      <c r="N33" s="17">
        <f t="shared" si="8"/>
        <v>131</v>
      </c>
      <c r="O33" s="13">
        <f>33+132</f>
        <v>165</v>
      </c>
      <c r="P33" s="14">
        <f>33+132</f>
        <v>165</v>
      </c>
      <c r="Q33" s="15">
        <v>150</v>
      </c>
      <c r="R33" s="17">
        <f t="shared" si="9"/>
        <v>15</v>
      </c>
      <c r="S33" s="13">
        <f>4</f>
        <v>4</v>
      </c>
      <c r="T33" s="14">
        <v>4</v>
      </c>
      <c r="U33" s="15">
        <v>0</v>
      </c>
      <c r="V33" s="17">
        <f t="shared" si="10"/>
        <v>4</v>
      </c>
      <c r="W33" s="82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</row>
    <row r="34" spans="1:54" s="81" customFormat="1" ht="19.5" customHeight="1">
      <c r="A34" s="108" t="s">
        <v>109</v>
      </c>
      <c r="B34" s="145">
        <v>342</v>
      </c>
      <c r="C34" s="15">
        <v>342</v>
      </c>
      <c r="D34" s="146">
        <v>1048</v>
      </c>
      <c r="E34" s="147">
        <v>150</v>
      </c>
      <c r="F34" s="147">
        <v>0</v>
      </c>
      <c r="G34" s="147">
        <v>0</v>
      </c>
      <c r="H34" s="147">
        <f>1390-481</f>
        <v>909</v>
      </c>
      <c r="I34" s="148">
        <f t="shared" si="7"/>
        <v>481</v>
      </c>
      <c r="J34" s="146">
        <f>52+352</f>
        <v>404</v>
      </c>
      <c r="K34" s="146">
        <f>52+352</f>
        <v>404</v>
      </c>
      <c r="L34" s="146">
        <v>14</v>
      </c>
      <c r="M34" s="147">
        <f>66+321</f>
        <v>387</v>
      </c>
      <c r="N34" s="149">
        <f t="shared" si="8"/>
        <v>31</v>
      </c>
      <c r="O34" s="42">
        <f>71+117</f>
        <v>188</v>
      </c>
      <c r="P34" s="146">
        <f>71+117</f>
        <v>188</v>
      </c>
      <c r="Q34" s="147">
        <v>130</v>
      </c>
      <c r="R34" s="148">
        <f t="shared" si="9"/>
        <v>58</v>
      </c>
      <c r="S34" s="42">
        <v>60</v>
      </c>
      <c r="T34" s="146">
        <v>60</v>
      </c>
      <c r="U34" s="147">
        <v>60</v>
      </c>
      <c r="V34" s="148">
        <f t="shared" si="10"/>
        <v>0</v>
      </c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</row>
    <row r="35" spans="1:54" s="81" customFormat="1" ht="19.5" customHeight="1">
      <c r="A35" s="106" t="s">
        <v>5</v>
      </c>
      <c r="B35" s="95">
        <v>390</v>
      </c>
      <c r="C35" s="146">
        <v>390</v>
      </c>
      <c r="D35" s="96">
        <v>560</v>
      </c>
      <c r="E35" s="97">
        <v>0</v>
      </c>
      <c r="F35" s="97">
        <v>0</v>
      </c>
      <c r="G35" s="97">
        <v>450</v>
      </c>
      <c r="H35" s="98">
        <v>806</v>
      </c>
      <c r="I35" s="45">
        <f t="shared" si="7"/>
        <v>144</v>
      </c>
      <c r="J35" s="95">
        <f>33+908</f>
        <v>941</v>
      </c>
      <c r="K35" s="96">
        <f>33+908</f>
        <v>941</v>
      </c>
      <c r="L35" s="96">
        <v>30</v>
      </c>
      <c r="M35" s="97">
        <f>63+858</f>
        <v>921</v>
      </c>
      <c r="N35" s="98">
        <f t="shared" si="8"/>
        <v>50</v>
      </c>
      <c r="O35" s="95">
        <f>385+160</f>
        <v>545</v>
      </c>
      <c r="P35" s="96">
        <f>385+160</f>
        <v>545</v>
      </c>
      <c r="Q35" s="97">
        <v>170</v>
      </c>
      <c r="R35" s="45">
        <f t="shared" si="9"/>
        <v>375</v>
      </c>
      <c r="S35" s="95">
        <v>2</v>
      </c>
      <c r="T35" s="96">
        <v>2</v>
      </c>
      <c r="U35" s="97">
        <v>0</v>
      </c>
      <c r="V35" s="45">
        <f t="shared" si="10"/>
        <v>2</v>
      </c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</row>
    <row r="36" spans="1:22" s="81" customFormat="1" ht="19.5" customHeight="1">
      <c r="A36" s="144" t="s">
        <v>46</v>
      </c>
      <c r="B36" s="95">
        <v>165</v>
      </c>
      <c r="C36" s="96">
        <v>165</v>
      </c>
      <c r="D36" s="97">
        <v>881</v>
      </c>
      <c r="E36" s="97">
        <v>0</v>
      </c>
      <c r="F36" s="97">
        <v>105</v>
      </c>
      <c r="G36" s="97">
        <v>55</v>
      </c>
      <c r="H36" s="97">
        <v>976</v>
      </c>
      <c r="I36" s="45">
        <f t="shared" si="7"/>
        <v>70</v>
      </c>
      <c r="J36" s="95">
        <f>49+191</f>
        <v>240</v>
      </c>
      <c r="K36" s="96">
        <f>49+191</f>
        <v>240</v>
      </c>
      <c r="L36" s="97">
        <v>12</v>
      </c>
      <c r="M36" s="97">
        <v>162</v>
      </c>
      <c r="N36" s="45">
        <f t="shared" si="8"/>
        <v>90</v>
      </c>
      <c r="O36" s="95">
        <v>210</v>
      </c>
      <c r="P36" s="96">
        <v>210</v>
      </c>
      <c r="Q36" s="97">
        <v>120</v>
      </c>
      <c r="R36" s="45">
        <f t="shared" si="9"/>
        <v>90</v>
      </c>
      <c r="S36" s="95">
        <v>45</v>
      </c>
      <c r="T36" s="96">
        <v>45</v>
      </c>
      <c r="U36" s="97">
        <v>0</v>
      </c>
      <c r="V36" s="45">
        <f t="shared" si="10"/>
        <v>45</v>
      </c>
    </row>
    <row r="37" spans="1:22" s="81" customFormat="1" ht="19.5" customHeight="1">
      <c r="A37" s="47" t="s">
        <v>54</v>
      </c>
      <c r="B37" s="13">
        <v>478</v>
      </c>
      <c r="C37" s="14">
        <v>478</v>
      </c>
      <c r="D37" s="14">
        <v>627</v>
      </c>
      <c r="E37" s="15">
        <v>80</v>
      </c>
      <c r="F37" s="15">
        <v>0</v>
      </c>
      <c r="G37" s="15">
        <v>40</v>
      </c>
      <c r="H37" s="16">
        <v>589</v>
      </c>
      <c r="I37" s="17">
        <f t="shared" si="7"/>
        <v>516</v>
      </c>
      <c r="J37" s="13">
        <f>173+768</f>
        <v>941</v>
      </c>
      <c r="K37" s="14">
        <f>173+768</f>
        <v>941</v>
      </c>
      <c r="L37" s="14">
        <v>27</v>
      </c>
      <c r="M37" s="15">
        <f>50+756</f>
        <v>806</v>
      </c>
      <c r="N37" s="16">
        <f t="shared" si="8"/>
        <v>162</v>
      </c>
      <c r="O37" s="13">
        <v>166</v>
      </c>
      <c r="P37" s="14">
        <v>166</v>
      </c>
      <c r="Q37" s="15">
        <v>145</v>
      </c>
      <c r="R37" s="17">
        <f t="shared" si="9"/>
        <v>21</v>
      </c>
      <c r="S37" s="13">
        <v>151</v>
      </c>
      <c r="T37" s="14">
        <v>151</v>
      </c>
      <c r="U37" s="15">
        <v>50</v>
      </c>
      <c r="V37" s="17">
        <f t="shared" si="10"/>
        <v>101</v>
      </c>
    </row>
    <row r="38" spans="1:22" s="81" customFormat="1" ht="19.5" customHeight="1">
      <c r="A38" s="69" t="s">
        <v>22</v>
      </c>
      <c r="B38" s="95">
        <v>146</v>
      </c>
      <c r="C38" s="96">
        <v>146</v>
      </c>
      <c r="D38" s="96">
        <v>190</v>
      </c>
      <c r="E38" s="97">
        <v>0</v>
      </c>
      <c r="F38" s="97">
        <v>0</v>
      </c>
      <c r="G38" s="97">
        <v>86</v>
      </c>
      <c r="H38" s="98">
        <v>213</v>
      </c>
      <c r="I38" s="45">
        <f t="shared" si="7"/>
        <v>123</v>
      </c>
      <c r="J38" s="95">
        <f>17+288</f>
        <v>305</v>
      </c>
      <c r="K38" s="96">
        <f>17+288</f>
        <v>305</v>
      </c>
      <c r="L38" s="96">
        <v>3</v>
      </c>
      <c r="M38" s="97">
        <v>291</v>
      </c>
      <c r="N38" s="98">
        <f t="shared" si="8"/>
        <v>17</v>
      </c>
      <c r="O38" s="95">
        <f>174+95</f>
        <v>269</v>
      </c>
      <c r="P38" s="96">
        <f>174+95</f>
        <v>269</v>
      </c>
      <c r="Q38" s="97">
        <v>202</v>
      </c>
      <c r="R38" s="45">
        <f t="shared" si="9"/>
        <v>67</v>
      </c>
      <c r="S38" s="95">
        <v>3</v>
      </c>
      <c r="T38" s="96">
        <v>3</v>
      </c>
      <c r="U38" s="97">
        <v>0</v>
      </c>
      <c r="V38" s="45">
        <f t="shared" si="10"/>
        <v>3</v>
      </c>
    </row>
    <row r="39" spans="1:22" s="81" customFormat="1" ht="19.5" customHeight="1" thickBot="1">
      <c r="A39" s="106" t="s">
        <v>23</v>
      </c>
      <c r="B39" s="95">
        <v>143</v>
      </c>
      <c r="C39" s="96">
        <v>143</v>
      </c>
      <c r="D39" s="96">
        <v>709</v>
      </c>
      <c r="E39" s="97">
        <v>190</v>
      </c>
      <c r="F39" s="97">
        <v>0</v>
      </c>
      <c r="G39" s="97">
        <v>0</v>
      </c>
      <c r="H39" s="98">
        <f>798+26</f>
        <v>824</v>
      </c>
      <c r="I39" s="45">
        <f t="shared" si="7"/>
        <v>28</v>
      </c>
      <c r="J39" s="95">
        <f>79+1420</f>
        <v>1499</v>
      </c>
      <c r="K39" s="96">
        <f>79+1420</f>
        <v>1499</v>
      </c>
      <c r="L39" s="96">
        <v>30</v>
      </c>
      <c r="M39" s="97">
        <v>200</v>
      </c>
      <c r="N39" s="98">
        <f t="shared" si="8"/>
        <v>1329</v>
      </c>
      <c r="O39" s="95">
        <v>180</v>
      </c>
      <c r="P39" s="96">
        <v>180</v>
      </c>
      <c r="Q39" s="97">
        <v>170</v>
      </c>
      <c r="R39" s="45">
        <f t="shared" si="9"/>
        <v>10</v>
      </c>
      <c r="S39" s="95">
        <v>155</v>
      </c>
      <c r="T39" s="96">
        <v>155</v>
      </c>
      <c r="U39" s="97">
        <v>100</v>
      </c>
      <c r="V39" s="45">
        <f t="shared" si="10"/>
        <v>55</v>
      </c>
    </row>
    <row r="40" spans="1:23" s="68" customFormat="1" ht="19.5" customHeight="1" thickBot="1">
      <c r="A40" s="67" t="s">
        <v>15</v>
      </c>
      <c r="B40" s="40">
        <f aca="true" t="shared" si="11" ref="B40:V40">SUM(B41+B42+B43+B44+B45+B46+B47+B48+B49+B50+B51+B52+B53+B54+B55+B56+B57)</f>
        <v>14458</v>
      </c>
      <c r="C40" s="38">
        <f t="shared" si="11"/>
        <v>16878</v>
      </c>
      <c r="D40" s="38">
        <f t="shared" si="11"/>
        <v>26075</v>
      </c>
      <c r="E40" s="38">
        <f>SUM(E41+E42+E43+E44+E45+E46+E47+E48+E49+E50+E51+E52+E53+E54+E55+E56+E57)</f>
        <v>7038</v>
      </c>
      <c r="F40" s="38">
        <f t="shared" si="11"/>
        <v>4617</v>
      </c>
      <c r="G40" s="38">
        <f t="shared" si="11"/>
        <v>1921</v>
      </c>
      <c r="H40" s="84">
        <f t="shared" si="11"/>
        <v>25201</v>
      </c>
      <c r="I40" s="39">
        <f t="shared" si="11"/>
        <v>15332</v>
      </c>
      <c r="J40" s="40">
        <f t="shared" si="11"/>
        <v>20993</v>
      </c>
      <c r="K40" s="38">
        <f t="shared" si="11"/>
        <v>20310</v>
      </c>
      <c r="L40" s="38">
        <f t="shared" si="11"/>
        <v>2876</v>
      </c>
      <c r="M40" s="38">
        <f t="shared" si="11"/>
        <v>16840</v>
      </c>
      <c r="N40" s="39">
        <f t="shared" si="11"/>
        <v>7029</v>
      </c>
      <c r="O40" s="40">
        <f t="shared" si="11"/>
        <v>5983</v>
      </c>
      <c r="P40" s="40">
        <f t="shared" si="11"/>
        <v>5871</v>
      </c>
      <c r="Q40" s="38">
        <f t="shared" si="11"/>
        <v>3457</v>
      </c>
      <c r="R40" s="39">
        <f t="shared" si="11"/>
        <v>2526</v>
      </c>
      <c r="S40" s="40">
        <f t="shared" si="11"/>
        <v>5188</v>
      </c>
      <c r="T40" s="38">
        <f t="shared" si="11"/>
        <v>5403</v>
      </c>
      <c r="U40" s="38">
        <f t="shared" si="11"/>
        <v>2604</v>
      </c>
      <c r="V40" s="39">
        <f t="shared" si="11"/>
        <v>2584</v>
      </c>
      <c r="W40" s="85"/>
    </row>
    <row r="41" spans="1:22" s="1" customFormat="1" ht="19.5" customHeight="1">
      <c r="A41" s="86" t="s">
        <v>63</v>
      </c>
      <c r="B41" s="87">
        <v>49</v>
      </c>
      <c r="C41" s="88">
        <v>49</v>
      </c>
      <c r="D41" s="88">
        <f>614-246</f>
        <v>368</v>
      </c>
      <c r="E41" s="89">
        <v>0</v>
      </c>
      <c r="F41" s="89">
        <v>0</v>
      </c>
      <c r="G41" s="89">
        <v>0</v>
      </c>
      <c r="H41" s="90">
        <f>E41+F41+G41+242</f>
        <v>242</v>
      </c>
      <c r="I41" s="91">
        <f aca="true" t="shared" si="12" ref="I41:I46">B41+D41-H41</f>
        <v>175</v>
      </c>
      <c r="J41" s="87">
        <v>1250</v>
      </c>
      <c r="K41" s="89">
        <v>0</v>
      </c>
      <c r="L41" s="89">
        <v>246</v>
      </c>
      <c r="M41" s="89">
        <f>246+1250-246</f>
        <v>1250</v>
      </c>
      <c r="N41" s="91">
        <f aca="true" t="shared" si="13" ref="N41:N46">J41+L41-M41</f>
        <v>246</v>
      </c>
      <c r="O41" s="87">
        <f>95+21</f>
        <v>116</v>
      </c>
      <c r="P41" s="88">
        <f>95+16</f>
        <v>111</v>
      </c>
      <c r="Q41" s="89">
        <v>90</v>
      </c>
      <c r="R41" s="91">
        <f aca="true" t="shared" si="14" ref="R41:R46">O41-Q41</f>
        <v>26</v>
      </c>
      <c r="S41" s="87">
        <f>1+7</f>
        <v>8</v>
      </c>
      <c r="T41" s="88">
        <f>1+7</f>
        <v>8</v>
      </c>
      <c r="U41" s="89">
        <v>0</v>
      </c>
      <c r="V41" s="91">
        <f aca="true" t="shared" si="15" ref="V41:V46">S41-U41</f>
        <v>8</v>
      </c>
    </row>
    <row r="42" spans="1:22" s="1" customFormat="1" ht="19.5" customHeight="1">
      <c r="A42" s="3" t="s">
        <v>64</v>
      </c>
      <c r="B42" s="5">
        <v>1022</v>
      </c>
      <c r="C42" s="6">
        <v>1022</v>
      </c>
      <c r="D42" s="6">
        <v>1450</v>
      </c>
      <c r="E42" s="7">
        <v>1100</v>
      </c>
      <c r="F42" s="7">
        <v>0</v>
      </c>
      <c r="G42" s="7">
        <v>230</v>
      </c>
      <c r="H42" s="8">
        <f>E42+F42+G42+535</f>
        <v>1865</v>
      </c>
      <c r="I42" s="9">
        <f>B42+D42-H42</f>
        <v>607</v>
      </c>
      <c r="J42" s="13">
        <f>361+600</f>
        <v>961</v>
      </c>
      <c r="K42" s="14">
        <f>361+600</f>
        <v>961</v>
      </c>
      <c r="L42" s="14">
        <f>213</f>
        <v>213</v>
      </c>
      <c r="M42" s="15">
        <f>250+600</f>
        <v>850</v>
      </c>
      <c r="N42" s="16">
        <f t="shared" si="13"/>
        <v>324</v>
      </c>
      <c r="O42" s="13">
        <f>94+55</f>
        <v>149</v>
      </c>
      <c r="P42" s="14">
        <f>94+55</f>
        <v>149</v>
      </c>
      <c r="Q42" s="15">
        <v>120</v>
      </c>
      <c r="R42" s="17">
        <f t="shared" si="14"/>
        <v>29</v>
      </c>
      <c r="S42" s="13">
        <f>30+79</f>
        <v>109</v>
      </c>
      <c r="T42" s="14">
        <f>30+79</f>
        <v>109</v>
      </c>
      <c r="U42" s="15">
        <v>30</v>
      </c>
      <c r="V42" s="17">
        <f t="shared" si="15"/>
        <v>79</v>
      </c>
    </row>
    <row r="43" spans="1:22" s="1" customFormat="1" ht="19.5" customHeight="1">
      <c r="A43" s="47" t="s">
        <v>65</v>
      </c>
      <c r="B43" s="92">
        <v>315</v>
      </c>
      <c r="C43" s="2">
        <v>0</v>
      </c>
      <c r="D43" s="2">
        <v>394</v>
      </c>
      <c r="E43" s="46">
        <v>180</v>
      </c>
      <c r="F43" s="46">
        <v>0</v>
      </c>
      <c r="G43" s="46">
        <v>0</v>
      </c>
      <c r="H43" s="93">
        <f>E43+F43+G43+292</f>
        <v>472</v>
      </c>
      <c r="I43" s="94">
        <f t="shared" si="12"/>
        <v>237</v>
      </c>
      <c r="J43" s="95">
        <f>305+2015</f>
        <v>2320</v>
      </c>
      <c r="K43" s="96">
        <f>305+2015</f>
        <v>2320</v>
      </c>
      <c r="L43" s="96">
        <f>202</f>
        <v>202</v>
      </c>
      <c r="M43" s="97">
        <v>2015</v>
      </c>
      <c r="N43" s="98">
        <f t="shared" si="13"/>
        <v>507</v>
      </c>
      <c r="O43" s="95">
        <f>134+115</f>
        <v>249</v>
      </c>
      <c r="P43" s="96">
        <f>134+115</f>
        <v>249</v>
      </c>
      <c r="Q43" s="97">
        <v>193</v>
      </c>
      <c r="R43" s="45">
        <f t="shared" si="14"/>
        <v>56</v>
      </c>
      <c r="S43" s="95">
        <f>60+209</f>
        <v>269</v>
      </c>
      <c r="T43" s="96">
        <f>60+209</f>
        <v>269</v>
      </c>
      <c r="U43" s="97">
        <v>0</v>
      </c>
      <c r="V43" s="45">
        <f t="shared" si="15"/>
        <v>269</v>
      </c>
    </row>
    <row r="44" spans="1:22" s="1" customFormat="1" ht="19.5" customHeight="1">
      <c r="A44" s="3" t="s">
        <v>66</v>
      </c>
      <c r="B44" s="92">
        <v>659</v>
      </c>
      <c r="C44" s="2">
        <v>659</v>
      </c>
      <c r="D44" s="2">
        <v>444</v>
      </c>
      <c r="E44" s="46">
        <v>200</v>
      </c>
      <c r="F44" s="46">
        <v>0</v>
      </c>
      <c r="G44" s="46">
        <v>0</v>
      </c>
      <c r="H44" s="93">
        <f>E44+F44+G44+317</f>
        <v>517</v>
      </c>
      <c r="I44" s="94">
        <f t="shared" si="12"/>
        <v>586</v>
      </c>
      <c r="J44" s="95">
        <f>421+476</f>
        <v>897</v>
      </c>
      <c r="K44" s="96">
        <f>421+476</f>
        <v>897</v>
      </c>
      <c r="L44" s="96">
        <v>137</v>
      </c>
      <c r="M44" s="97">
        <f>250+476</f>
        <v>726</v>
      </c>
      <c r="N44" s="98">
        <f t="shared" si="13"/>
        <v>308</v>
      </c>
      <c r="O44" s="95">
        <f>90+26</f>
        <v>116</v>
      </c>
      <c r="P44" s="96">
        <f>90+26</f>
        <v>116</v>
      </c>
      <c r="Q44" s="97">
        <v>80</v>
      </c>
      <c r="R44" s="45">
        <f t="shared" si="14"/>
        <v>36</v>
      </c>
      <c r="S44" s="95">
        <f>100+104</f>
        <v>204</v>
      </c>
      <c r="T44" s="96">
        <f>100+104</f>
        <v>204</v>
      </c>
      <c r="U44" s="97">
        <v>200</v>
      </c>
      <c r="V44" s="45">
        <f t="shared" si="15"/>
        <v>4</v>
      </c>
    </row>
    <row r="45" spans="1:22" s="1" customFormat="1" ht="19.5" customHeight="1">
      <c r="A45" s="99" t="s">
        <v>67</v>
      </c>
      <c r="B45" s="92">
        <v>69</v>
      </c>
      <c r="C45" s="2">
        <v>124</v>
      </c>
      <c r="D45" s="2">
        <v>2076</v>
      </c>
      <c r="E45" s="46">
        <f>45+70</f>
        <v>115</v>
      </c>
      <c r="F45" s="46">
        <v>0</v>
      </c>
      <c r="G45" s="46">
        <v>511</v>
      </c>
      <c r="H45" s="93">
        <f>E45+F45+G45+329</f>
        <v>955</v>
      </c>
      <c r="I45" s="94">
        <f>B45+D45-H45</f>
        <v>1190</v>
      </c>
      <c r="J45" s="95">
        <f>189+149</f>
        <v>338</v>
      </c>
      <c r="K45" s="96">
        <f>189+883</f>
        <v>1072</v>
      </c>
      <c r="L45" s="96">
        <f>42+259</f>
        <v>301</v>
      </c>
      <c r="M45" s="97">
        <f>231+149</f>
        <v>380</v>
      </c>
      <c r="N45" s="98">
        <f t="shared" si="13"/>
        <v>259</v>
      </c>
      <c r="O45" s="95">
        <f>160+51</f>
        <v>211</v>
      </c>
      <c r="P45" s="96">
        <f>160+75</f>
        <v>235</v>
      </c>
      <c r="Q45" s="97">
        <v>180</v>
      </c>
      <c r="R45" s="45">
        <f t="shared" si="14"/>
        <v>31</v>
      </c>
      <c r="S45" s="95">
        <f>165+171</f>
        <v>336</v>
      </c>
      <c r="T45" s="96">
        <f>165+386</f>
        <v>551</v>
      </c>
      <c r="U45" s="97">
        <v>336</v>
      </c>
      <c r="V45" s="45">
        <f t="shared" si="15"/>
        <v>0</v>
      </c>
    </row>
    <row r="46" spans="1:22" s="1" customFormat="1" ht="19.5" customHeight="1">
      <c r="A46" s="12" t="s">
        <v>68</v>
      </c>
      <c r="B46" s="5">
        <v>1203</v>
      </c>
      <c r="C46" s="6">
        <v>1050</v>
      </c>
      <c r="D46" s="6">
        <v>2362</v>
      </c>
      <c r="E46" s="7">
        <v>638</v>
      </c>
      <c r="F46" s="7">
        <v>755</v>
      </c>
      <c r="G46" s="7">
        <v>0</v>
      </c>
      <c r="H46" s="8">
        <f>E46+F46+G46+781</f>
        <v>2174</v>
      </c>
      <c r="I46" s="9">
        <f t="shared" si="12"/>
        <v>1391</v>
      </c>
      <c r="J46" s="13">
        <f>202+112</f>
        <v>314</v>
      </c>
      <c r="K46" s="14">
        <f>35+112</f>
        <v>147</v>
      </c>
      <c r="L46" s="14">
        <f>24</f>
        <v>24</v>
      </c>
      <c r="M46" s="15">
        <f>50+112</f>
        <v>162</v>
      </c>
      <c r="N46" s="16">
        <f t="shared" si="13"/>
        <v>176</v>
      </c>
      <c r="O46" s="13">
        <f>160+291</f>
        <v>451</v>
      </c>
      <c r="P46" s="14">
        <f>160+291</f>
        <v>451</v>
      </c>
      <c r="Q46" s="15">
        <f>350</f>
        <v>350</v>
      </c>
      <c r="R46" s="17">
        <f t="shared" si="14"/>
        <v>101</v>
      </c>
      <c r="S46" s="13">
        <f>10+1</f>
        <v>11</v>
      </c>
      <c r="T46" s="14">
        <f>10+1</f>
        <v>11</v>
      </c>
      <c r="U46" s="15">
        <v>10</v>
      </c>
      <c r="V46" s="17">
        <f t="shared" si="15"/>
        <v>1</v>
      </c>
    </row>
    <row r="47" spans="1:22" s="1" customFormat="1" ht="19.5" customHeight="1">
      <c r="A47" s="100" t="s">
        <v>69</v>
      </c>
      <c r="B47" s="42">
        <v>597</v>
      </c>
      <c r="C47" s="72">
        <v>597</v>
      </c>
      <c r="D47" s="72">
        <v>424</v>
      </c>
      <c r="E47" s="41">
        <v>0</v>
      </c>
      <c r="F47" s="41">
        <v>0</v>
      </c>
      <c r="G47" s="41">
        <v>0</v>
      </c>
      <c r="H47" s="75">
        <f>E47+F47+G47+212</f>
        <v>212</v>
      </c>
      <c r="I47" s="74">
        <f aca="true" t="shared" si="16" ref="I47:I57">B47+D47-H47</f>
        <v>809</v>
      </c>
      <c r="J47" s="42">
        <f>135+478</f>
        <v>613</v>
      </c>
      <c r="K47" s="72">
        <f>135+478</f>
        <v>613</v>
      </c>
      <c r="L47" s="72">
        <v>45</v>
      </c>
      <c r="M47" s="41">
        <v>478</v>
      </c>
      <c r="N47" s="75">
        <f aca="true" t="shared" si="17" ref="N47:N57">J47+L47-M47</f>
        <v>180</v>
      </c>
      <c r="O47" s="42">
        <f>72+26</f>
        <v>98</v>
      </c>
      <c r="P47" s="72">
        <f>72+35</f>
        <v>107</v>
      </c>
      <c r="Q47" s="41">
        <v>98</v>
      </c>
      <c r="R47" s="74">
        <f aca="true" t="shared" si="18" ref="R47:R57">O47-Q47</f>
        <v>0</v>
      </c>
      <c r="S47" s="42">
        <f>40+80</f>
        <v>120</v>
      </c>
      <c r="T47" s="72">
        <f>40+80</f>
        <v>120</v>
      </c>
      <c r="U47" s="41">
        <v>0</v>
      </c>
      <c r="V47" s="74">
        <f aca="true" t="shared" si="19" ref="V47:V57">S47-U47</f>
        <v>120</v>
      </c>
    </row>
    <row r="48" spans="1:22" s="1" customFormat="1" ht="19.5" customHeight="1">
      <c r="A48" s="47" t="s">
        <v>33</v>
      </c>
      <c r="B48" s="13">
        <v>183</v>
      </c>
      <c r="C48" s="14">
        <v>183</v>
      </c>
      <c r="D48" s="14">
        <v>661</v>
      </c>
      <c r="E48" s="15">
        <v>0</v>
      </c>
      <c r="F48" s="15">
        <v>0</v>
      </c>
      <c r="G48" s="15">
        <v>0</v>
      </c>
      <c r="H48" s="16">
        <f>E48+F48+G48+429</f>
        <v>429</v>
      </c>
      <c r="I48" s="17">
        <f>B48+D48-H48</f>
        <v>415</v>
      </c>
      <c r="J48" s="13">
        <f>117+418</f>
        <v>535</v>
      </c>
      <c r="K48" s="14">
        <f>117+418</f>
        <v>535</v>
      </c>
      <c r="L48" s="14">
        <f>20+20</f>
        <v>40</v>
      </c>
      <c r="M48" s="15">
        <f>50+438</f>
        <v>488</v>
      </c>
      <c r="N48" s="16">
        <f t="shared" si="17"/>
        <v>87</v>
      </c>
      <c r="O48" s="13">
        <f>75+73</f>
        <v>148</v>
      </c>
      <c r="P48" s="14">
        <f>75+81</f>
        <v>156</v>
      </c>
      <c r="Q48" s="15">
        <v>147</v>
      </c>
      <c r="R48" s="17">
        <f t="shared" si="18"/>
        <v>1</v>
      </c>
      <c r="S48" s="13">
        <f>78+0</f>
        <v>78</v>
      </c>
      <c r="T48" s="14">
        <f>78+0</f>
        <v>78</v>
      </c>
      <c r="U48" s="15">
        <v>78</v>
      </c>
      <c r="V48" s="17">
        <f t="shared" si="19"/>
        <v>0</v>
      </c>
    </row>
    <row r="49" spans="1:23" s="1" customFormat="1" ht="19.5" customHeight="1">
      <c r="A49" s="47" t="s">
        <v>47</v>
      </c>
      <c r="B49" s="13">
        <v>3193</v>
      </c>
      <c r="C49" s="6">
        <v>3193</v>
      </c>
      <c r="D49" s="6">
        <v>3126</v>
      </c>
      <c r="E49" s="7">
        <v>1105</v>
      </c>
      <c r="F49" s="7">
        <v>0</v>
      </c>
      <c r="G49" s="7">
        <v>800</v>
      </c>
      <c r="H49" s="8">
        <f>E49+F49+G49+1608</f>
        <v>3513</v>
      </c>
      <c r="I49" s="9">
        <f>B49+D49-H49</f>
        <v>2806</v>
      </c>
      <c r="J49" s="13">
        <f>1702+1570</f>
        <v>3272</v>
      </c>
      <c r="K49" s="14">
        <f>1702+1570</f>
        <v>3272</v>
      </c>
      <c r="L49" s="14">
        <f>42+20</f>
        <v>62</v>
      </c>
      <c r="M49" s="15">
        <f>400+1590</f>
        <v>1990</v>
      </c>
      <c r="N49" s="16">
        <f t="shared" si="17"/>
        <v>1344</v>
      </c>
      <c r="O49" s="13">
        <f>330+718</f>
        <v>1048</v>
      </c>
      <c r="P49" s="14">
        <f>330+622</f>
        <v>952</v>
      </c>
      <c r="Q49" s="15">
        <v>350</v>
      </c>
      <c r="R49" s="17">
        <f t="shared" si="18"/>
        <v>698</v>
      </c>
      <c r="S49" s="13">
        <f>160+823</f>
        <v>983</v>
      </c>
      <c r="T49" s="14">
        <f>160+823</f>
        <v>983</v>
      </c>
      <c r="U49" s="15">
        <v>700</v>
      </c>
      <c r="V49" s="17">
        <f t="shared" si="19"/>
        <v>283</v>
      </c>
      <c r="W49" s="70"/>
    </row>
    <row r="50" spans="1:22" s="1" customFormat="1" ht="19.5" customHeight="1">
      <c r="A50" s="44" t="s">
        <v>75</v>
      </c>
      <c r="B50" s="13">
        <v>525</v>
      </c>
      <c r="C50" s="6">
        <v>525</v>
      </c>
      <c r="D50" s="6">
        <v>390</v>
      </c>
      <c r="E50" s="7">
        <v>0</v>
      </c>
      <c r="F50" s="7">
        <v>0</v>
      </c>
      <c r="G50" s="7">
        <v>0</v>
      </c>
      <c r="H50" s="8">
        <f>E50+F50+G50+316+400</f>
        <v>716</v>
      </c>
      <c r="I50" s="9">
        <f t="shared" si="16"/>
        <v>199</v>
      </c>
      <c r="J50" s="13">
        <v>626</v>
      </c>
      <c r="K50" s="14">
        <v>626</v>
      </c>
      <c r="L50" s="14">
        <f>100+44</f>
        <v>144</v>
      </c>
      <c r="M50" s="15">
        <f>600+44</f>
        <v>644</v>
      </c>
      <c r="N50" s="16">
        <f t="shared" si="17"/>
        <v>126</v>
      </c>
      <c r="O50" s="13">
        <f>93+14</f>
        <v>107</v>
      </c>
      <c r="P50" s="14">
        <v>95</v>
      </c>
      <c r="Q50" s="15">
        <v>90</v>
      </c>
      <c r="R50" s="17">
        <f t="shared" si="18"/>
        <v>17</v>
      </c>
      <c r="S50" s="13">
        <f>42+70</f>
        <v>112</v>
      </c>
      <c r="T50" s="14">
        <f>42+70</f>
        <v>112</v>
      </c>
      <c r="U50" s="15">
        <v>50</v>
      </c>
      <c r="V50" s="17">
        <f t="shared" si="19"/>
        <v>62</v>
      </c>
    </row>
    <row r="51" spans="1:22" s="1" customFormat="1" ht="19.5" customHeight="1">
      <c r="A51" s="3" t="s">
        <v>39</v>
      </c>
      <c r="B51" s="13">
        <v>864</v>
      </c>
      <c r="C51" s="6">
        <v>864</v>
      </c>
      <c r="D51" s="6">
        <v>3716</v>
      </c>
      <c r="E51" s="7">
        <v>1480</v>
      </c>
      <c r="F51" s="7">
        <v>1962</v>
      </c>
      <c r="G51" s="7">
        <v>0</v>
      </c>
      <c r="H51" s="8">
        <f>E51+F51+G51+895</f>
        <v>4337</v>
      </c>
      <c r="I51" s="9">
        <f t="shared" si="16"/>
        <v>243</v>
      </c>
      <c r="J51" s="13">
        <f>192+965</f>
        <v>1157</v>
      </c>
      <c r="K51" s="14">
        <f>192+965</f>
        <v>1157</v>
      </c>
      <c r="L51" s="14">
        <f>120</f>
        <v>120</v>
      </c>
      <c r="M51" s="15">
        <f>100+965</f>
        <v>1065</v>
      </c>
      <c r="N51" s="16">
        <f t="shared" si="17"/>
        <v>212</v>
      </c>
      <c r="O51" s="13">
        <f>200+294</f>
        <v>494</v>
      </c>
      <c r="P51" s="14">
        <f>200+294</f>
        <v>494</v>
      </c>
      <c r="Q51" s="15">
        <v>400</v>
      </c>
      <c r="R51" s="17">
        <f t="shared" si="18"/>
        <v>94</v>
      </c>
      <c r="S51" s="13">
        <f>100+14</f>
        <v>114</v>
      </c>
      <c r="T51" s="14">
        <f>100+14</f>
        <v>114</v>
      </c>
      <c r="U51" s="15">
        <v>100</v>
      </c>
      <c r="V51" s="17">
        <f t="shared" si="19"/>
        <v>14</v>
      </c>
    </row>
    <row r="52" spans="1:22" s="1" customFormat="1" ht="19.5" customHeight="1">
      <c r="A52" s="44" t="s">
        <v>70</v>
      </c>
      <c r="B52" s="13">
        <v>2482</v>
      </c>
      <c r="C52" s="6">
        <v>5315</v>
      </c>
      <c r="D52" s="6">
        <v>5444</v>
      </c>
      <c r="E52" s="7">
        <v>300</v>
      </c>
      <c r="F52" s="7">
        <v>1900</v>
      </c>
      <c r="G52" s="7">
        <v>0</v>
      </c>
      <c r="H52" s="8">
        <f>E52+F52+G52+2631</f>
        <v>4831</v>
      </c>
      <c r="I52" s="9">
        <f t="shared" si="16"/>
        <v>3095</v>
      </c>
      <c r="J52" s="13">
        <f>954+3032</f>
        <v>3986</v>
      </c>
      <c r="K52" s="14">
        <f>954+3032</f>
        <v>3986</v>
      </c>
      <c r="L52" s="14">
        <v>258</v>
      </c>
      <c r="M52" s="15">
        <f>700+2379</f>
        <v>3079</v>
      </c>
      <c r="N52" s="16">
        <f t="shared" si="17"/>
        <v>1165</v>
      </c>
      <c r="O52" s="13">
        <f>320+115</f>
        <v>435</v>
      </c>
      <c r="P52" s="14">
        <f>320+109</f>
        <v>429</v>
      </c>
      <c r="Q52" s="15">
        <v>350</v>
      </c>
      <c r="R52" s="17">
        <f t="shared" si="18"/>
        <v>85</v>
      </c>
      <c r="S52" s="13">
        <f>200+825</f>
        <v>1025</v>
      </c>
      <c r="T52" s="14">
        <f>200+825</f>
        <v>1025</v>
      </c>
      <c r="U52" s="15">
        <v>500</v>
      </c>
      <c r="V52" s="17">
        <f t="shared" si="19"/>
        <v>525</v>
      </c>
    </row>
    <row r="53" spans="1:23" s="1" customFormat="1" ht="19.5" customHeight="1">
      <c r="A53" s="44" t="s">
        <v>71</v>
      </c>
      <c r="B53" s="13">
        <v>384</v>
      </c>
      <c r="C53" s="6">
        <v>384</v>
      </c>
      <c r="D53" s="6">
        <v>1379</v>
      </c>
      <c r="E53" s="7">
        <v>770</v>
      </c>
      <c r="F53" s="7">
        <v>0</v>
      </c>
      <c r="G53" s="7">
        <v>0</v>
      </c>
      <c r="H53" s="8">
        <f>E53+F53+G53+761</f>
        <v>1531</v>
      </c>
      <c r="I53" s="9">
        <f>B53+D53-H53</f>
        <v>232</v>
      </c>
      <c r="J53" s="13">
        <v>431</v>
      </c>
      <c r="K53" s="14">
        <v>431</v>
      </c>
      <c r="L53" s="14">
        <v>425</v>
      </c>
      <c r="M53" s="15">
        <v>700</v>
      </c>
      <c r="N53" s="16">
        <f t="shared" si="17"/>
        <v>156</v>
      </c>
      <c r="O53" s="13">
        <f>210+902</f>
        <v>1112</v>
      </c>
      <c r="P53" s="14">
        <f>210+880</f>
        <v>1090</v>
      </c>
      <c r="Q53" s="15">
        <v>217</v>
      </c>
      <c r="R53" s="17">
        <f t="shared" si="18"/>
        <v>895</v>
      </c>
      <c r="S53" s="13">
        <f>0+512</f>
        <v>512</v>
      </c>
      <c r="T53" s="14">
        <f>0+512</f>
        <v>512</v>
      </c>
      <c r="U53" s="15">
        <v>0</v>
      </c>
      <c r="V53" s="17">
        <f t="shared" si="19"/>
        <v>512</v>
      </c>
      <c r="W53" s="71"/>
    </row>
    <row r="54" spans="1:23" s="1" customFormat="1" ht="19.5" customHeight="1">
      <c r="A54" s="3" t="s">
        <v>72</v>
      </c>
      <c r="B54" s="13">
        <v>1060</v>
      </c>
      <c r="C54" s="6">
        <v>1060</v>
      </c>
      <c r="D54" s="6">
        <v>774</v>
      </c>
      <c r="E54" s="7">
        <v>450</v>
      </c>
      <c r="F54" s="7">
        <v>0</v>
      </c>
      <c r="G54" s="7">
        <v>200</v>
      </c>
      <c r="H54" s="101">
        <f>G54+F54+E54+452</f>
        <v>1102</v>
      </c>
      <c r="I54" s="9">
        <f t="shared" si="16"/>
        <v>732</v>
      </c>
      <c r="J54" s="13">
        <f>776+326</f>
        <v>1102</v>
      </c>
      <c r="K54" s="14">
        <f>776+326</f>
        <v>1102</v>
      </c>
      <c r="L54" s="14">
        <f>7+30</f>
        <v>37</v>
      </c>
      <c r="M54" s="15">
        <f>600+208</f>
        <v>808</v>
      </c>
      <c r="N54" s="16">
        <f t="shared" si="17"/>
        <v>331</v>
      </c>
      <c r="O54" s="13">
        <f>140+158</f>
        <v>298</v>
      </c>
      <c r="P54" s="14">
        <f>140+158</f>
        <v>298</v>
      </c>
      <c r="Q54" s="15">
        <v>178</v>
      </c>
      <c r="R54" s="17">
        <f t="shared" si="18"/>
        <v>120</v>
      </c>
      <c r="S54" s="13">
        <f>25+415</f>
        <v>440</v>
      </c>
      <c r="T54" s="14">
        <f>25+415</f>
        <v>440</v>
      </c>
      <c r="U54" s="15">
        <v>340</v>
      </c>
      <c r="V54" s="17">
        <f t="shared" si="19"/>
        <v>100</v>
      </c>
      <c r="W54" s="71"/>
    </row>
    <row r="55" spans="1:22" s="1" customFormat="1" ht="19.5" customHeight="1">
      <c r="A55" s="47" t="s">
        <v>76</v>
      </c>
      <c r="B55" s="13">
        <v>435</v>
      </c>
      <c r="C55" s="6">
        <v>435</v>
      </c>
      <c r="D55" s="6">
        <v>1815</v>
      </c>
      <c r="E55" s="7">
        <v>140</v>
      </c>
      <c r="F55" s="7">
        <v>0</v>
      </c>
      <c r="G55" s="7">
        <v>180</v>
      </c>
      <c r="H55" s="8">
        <f>G55+F55+E55+522</f>
        <v>842</v>
      </c>
      <c r="I55" s="9">
        <f t="shared" si="16"/>
        <v>1408</v>
      </c>
      <c r="J55" s="13">
        <f>481+1152</f>
        <v>1633</v>
      </c>
      <c r="K55" s="14">
        <f>481+1152</f>
        <v>1633</v>
      </c>
      <c r="L55" s="14">
        <f>303</f>
        <v>303</v>
      </c>
      <c r="M55" s="15">
        <f>300+1152</f>
        <v>1452</v>
      </c>
      <c r="N55" s="16">
        <f t="shared" si="17"/>
        <v>484</v>
      </c>
      <c r="O55" s="13">
        <f>285+44</f>
        <v>329</v>
      </c>
      <c r="P55" s="14">
        <f>285+14</f>
        <v>299</v>
      </c>
      <c r="Q55" s="15">
        <v>329</v>
      </c>
      <c r="R55" s="17">
        <f t="shared" si="18"/>
        <v>0</v>
      </c>
      <c r="S55" s="13">
        <f>250+278</f>
        <v>528</v>
      </c>
      <c r="T55" s="14">
        <f>250+278</f>
        <v>528</v>
      </c>
      <c r="U55" s="15">
        <v>200</v>
      </c>
      <c r="V55" s="17">
        <f t="shared" si="19"/>
        <v>328</v>
      </c>
    </row>
    <row r="56" spans="1:22" s="1" customFormat="1" ht="21" customHeight="1">
      <c r="A56" s="47" t="s">
        <v>73</v>
      </c>
      <c r="B56" s="13">
        <v>1070</v>
      </c>
      <c r="C56" s="6">
        <v>1070</v>
      </c>
      <c r="D56" s="6">
        <v>1050</v>
      </c>
      <c r="E56" s="7">
        <v>410</v>
      </c>
      <c r="F56" s="7">
        <v>0</v>
      </c>
      <c r="G56" s="7">
        <v>0</v>
      </c>
      <c r="H56" s="8">
        <f>E56+F56+G56+733</f>
        <v>1143</v>
      </c>
      <c r="I56" s="9">
        <f t="shared" si="16"/>
        <v>977</v>
      </c>
      <c r="J56" s="13">
        <f>166+698</f>
        <v>864</v>
      </c>
      <c r="K56" s="14">
        <f>166+698</f>
        <v>864</v>
      </c>
      <c r="L56" s="14">
        <f>200</f>
        <v>200</v>
      </c>
      <c r="M56" s="15">
        <f>150+420</f>
        <v>570</v>
      </c>
      <c r="N56" s="16">
        <f t="shared" si="17"/>
        <v>494</v>
      </c>
      <c r="O56" s="13">
        <f>170+302</f>
        <v>472</v>
      </c>
      <c r="P56" s="14">
        <f>170+320</f>
        <v>490</v>
      </c>
      <c r="Q56" s="15">
        <v>180</v>
      </c>
      <c r="R56" s="17">
        <f t="shared" si="18"/>
        <v>292</v>
      </c>
      <c r="S56" s="13">
        <f>70+50</f>
        <v>120</v>
      </c>
      <c r="T56" s="14">
        <f>70+50</f>
        <v>120</v>
      </c>
      <c r="U56" s="15">
        <v>40</v>
      </c>
      <c r="V56" s="17">
        <f t="shared" si="19"/>
        <v>80</v>
      </c>
    </row>
    <row r="57" spans="1:22" s="1" customFormat="1" ht="19.5" customHeight="1" thickBot="1">
      <c r="A57" s="47" t="s">
        <v>74</v>
      </c>
      <c r="B57" s="13">
        <v>348</v>
      </c>
      <c r="C57" s="6">
        <v>348</v>
      </c>
      <c r="D57" s="6">
        <v>202</v>
      </c>
      <c r="E57" s="7">
        <v>150</v>
      </c>
      <c r="F57" s="7">
        <v>0</v>
      </c>
      <c r="G57" s="7">
        <v>0</v>
      </c>
      <c r="H57" s="8">
        <f>G57+F57+E57+170</f>
        <v>320</v>
      </c>
      <c r="I57" s="9">
        <f t="shared" si="16"/>
        <v>230</v>
      </c>
      <c r="J57" s="13">
        <f>511+183</f>
        <v>694</v>
      </c>
      <c r="K57" s="14">
        <f>511+183</f>
        <v>694</v>
      </c>
      <c r="L57" s="14">
        <v>119</v>
      </c>
      <c r="M57" s="15">
        <v>183</v>
      </c>
      <c r="N57" s="16">
        <f t="shared" si="17"/>
        <v>630</v>
      </c>
      <c r="O57" s="13">
        <f>105+45</f>
        <v>150</v>
      </c>
      <c r="P57" s="14">
        <f>105+45</f>
        <v>150</v>
      </c>
      <c r="Q57" s="15">
        <v>105</v>
      </c>
      <c r="R57" s="17">
        <f t="shared" si="18"/>
        <v>45</v>
      </c>
      <c r="S57" s="13">
        <f>39+180</f>
        <v>219</v>
      </c>
      <c r="T57" s="14">
        <f>39+180</f>
        <v>219</v>
      </c>
      <c r="U57" s="15">
        <v>20</v>
      </c>
      <c r="V57" s="17">
        <f t="shared" si="19"/>
        <v>199</v>
      </c>
    </row>
    <row r="58" spans="1:28" s="104" customFormat="1" ht="19.5" customHeight="1" thickBot="1">
      <c r="A58" s="67" t="s">
        <v>16</v>
      </c>
      <c r="B58" s="40">
        <f aca="true" t="shared" si="20" ref="B58:V58">SUM(B59:B73)</f>
        <v>16236</v>
      </c>
      <c r="C58" s="40">
        <f t="shared" si="20"/>
        <v>16165</v>
      </c>
      <c r="D58" s="38">
        <f t="shared" si="20"/>
        <v>33943</v>
      </c>
      <c r="E58" s="38">
        <f t="shared" si="20"/>
        <v>11188</v>
      </c>
      <c r="F58" s="38">
        <f t="shared" si="20"/>
        <v>3160</v>
      </c>
      <c r="G58" s="38">
        <f t="shared" si="20"/>
        <v>800</v>
      </c>
      <c r="H58" s="38">
        <f t="shared" si="20"/>
        <v>27203</v>
      </c>
      <c r="I58" s="39">
        <f t="shared" si="20"/>
        <v>22976</v>
      </c>
      <c r="J58" s="40">
        <f t="shared" si="20"/>
        <v>21777</v>
      </c>
      <c r="K58" s="38">
        <f t="shared" si="20"/>
        <v>21831</v>
      </c>
      <c r="L58" s="38">
        <f t="shared" si="20"/>
        <v>2850</v>
      </c>
      <c r="M58" s="38">
        <f t="shared" si="20"/>
        <v>13340</v>
      </c>
      <c r="N58" s="39">
        <f t="shared" si="20"/>
        <v>11287</v>
      </c>
      <c r="O58" s="40">
        <f t="shared" si="20"/>
        <v>7035</v>
      </c>
      <c r="P58" s="38">
        <f t="shared" si="20"/>
        <v>6804</v>
      </c>
      <c r="Q58" s="38">
        <f t="shared" si="20"/>
        <v>4394</v>
      </c>
      <c r="R58" s="39">
        <f t="shared" si="20"/>
        <v>2641</v>
      </c>
      <c r="S58" s="40">
        <f t="shared" si="20"/>
        <v>7098</v>
      </c>
      <c r="T58" s="38">
        <f t="shared" si="20"/>
        <v>7098</v>
      </c>
      <c r="U58" s="38">
        <f t="shared" si="20"/>
        <v>2639</v>
      </c>
      <c r="V58" s="39">
        <f t="shared" si="20"/>
        <v>4459</v>
      </c>
      <c r="W58" s="102"/>
      <c r="X58" s="103"/>
      <c r="Y58" s="103"/>
      <c r="Z58" s="103"/>
      <c r="AA58" s="103"/>
      <c r="AB58" s="103"/>
    </row>
    <row r="59" spans="1:25" s="105" customFormat="1" ht="19.5" customHeight="1">
      <c r="A59" s="76" t="s">
        <v>40</v>
      </c>
      <c r="B59" s="42">
        <v>551</v>
      </c>
      <c r="C59" s="72">
        <v>551</v>
      </c>
      <c r="D59" s="72">
        <v>3694</v>
      </c>
      <c r="E59" s="41">
        <v>2800</v>
      </c>
      <c r="F59" s="41">
        <v>0</v>
      </c>
      <c r="G59" s="41">
        <v>0</v>
      </c>
      <c r="H59" s="75">
        <f>279+E59+F59+G59</f>
        <v>3079</v>
      </c>
      <c r="I59" s="74">
        <f>B59+D59-H59</f>
        <v>1166</v>
      </c>
      <c r="J59" s="42">
        <f>95+640</f>
        <v>735</v>
      </c>
      <c r="K59" s="72">
        <f>95+640</f>
        <v>735</v>
      </c>
      <c r="L59" s="72">
        <v>180</v>
      </c>
      <c r="M59" s="41">
        <v>640</v>
      </c>
      <c r="N59" s="75">
        <f aca="true" t="shared" si="21" ref="N59:N73">J59+L59-M59</f>
        <v>275</v>
      </c>
      <c r="O59" s="42">
        <v>270</v>
      </c>
      <c r="P59" s="72">
        <f>123+147</f>
        <v>270</v>
      </c>
      <c r="Q59" s="41">
        <v>184</v>
      </c>
      <c r="R59" s="74">
        <f aca="true" t="shared" si="22" ref="R59:R73">O59-Q59</f>
        <v>86</v>
      </c>
      <c r="S59" s="42">
        <f>42+98</f>
        <v>140</v>
      </c>
      <c r="T59" s="41">
        <f>42+98</f>
        <v>140</v>
      </c>
      <c r="U59" s="41">
        <v>25</v>
      </c>
      <c r="V59" s="74">
        <f aca="true" t="shared" si="23" ref="V59:V73">S59-U59</f>
        <v>115</v>
      </c>
      <c r="Y59" s="105" t="s">
        <v>14</v>
      </c>
    </row>
    <row r="60" spans="1:22" s="1" customFormat="1" ht="19.5" customHeight="1">
      <c r="A60" s="69" t="s">
        <v>112</v>
      </c>
      <c r="B60" s="13">
        <v>950</v>
      </c>
      <c r="C60" s="14">
        <v>879</v>
      </c>
      <c r="D60" s="14">
        <v>2587</v>
      </c>
      <c r="E60" s="15">
        <v>0</v>
      </c>
      <c r="F60" s="15">
        <v>2300</v>
      </c>
      <c r="G60" s="15">
        <v>0</v>
      </c>
      <c r="H60" s="16">
        <f>977+E60+F60+G60</f>
        <v>3277</v>
      </c>
      <c r="I60" s="17">
        <f aca="true" t="shared" si="24" ref="I60:I73">B60+D60-H60</f>
        <v>260</v>
      </c>
      <c r="J60" s="13">
        <f>936+526</f>
        <v>1462</v>
      </c>
      <c r="K60" s="14">
        <v>1462</v>
      </c>
      <c r="L60" s="14">
        <v>193</v>
      </c>
      <c r="M60" s="15">
        <f>800+526</f>
        <v>1326</v>
      </c>
      <c r="N60" s="16">
        <f t="shared" si="21"/>
        <v>329</v>
      </c>
      <c r="O60" s="13">
        <f>234+138</f>
        <v>372</v>
      </c>
      <c r="P60" s="14">
        <f>234+97</f>
        <v>331</v>
      </c>
      <c r="Q60" s="15">
        <v>289</v>
      </c>
      <c r="R60" s="17">
        <f t="shared" si="22"/>
        <v>83</v>
      </c>
      <c r="S60" s="13">
        <f>191+789</f>
        <v>980</v>
      </c>
      <c r="T60" s="15">
        <v>980</v>
      </c>
      <c r="U60" s="15">
        <v>500</v>
      </c>
      <c r="V60" s="17">
        <f t="shared" si="23"/>
        <v>480</v>
      </c>
    </row>
    <row r="61" spans="1:22" s="1" customFormat="1" ht="19.5" customHeight="1">
      <c r="A61" s="47" t="s">
        <v>111</v>
      </c>
      <c r="B61" s="13">
        <v>719</v>
      </c>
      <c r="C61" s="14">
        <v>719</v>
      </c>
      <c r="D61" s="14">
        <v>2640</v>
      </c>
      <c r="E61" s="15">
        <v>620</v>
      </c>
      <c r="F61" s="15">
        <v>60</v>
      </c>
      <c r="G61" s="15">
        <v>420</v>
      </c>
      <c r="H61" s="16">
        <f>1156+E61+F61+G61</f>
        <v>2256</v>
      </c>
      <c r="I61" s="17">
        <f t="shared" si="24"/>
        <v>1103</v>
      </c>
      <c r="J61" s="13">
        <f>514+1270</f>
        <v>1784</v>
      </c>
      <c r="K61" s="14">
        <f>514+1270</f>
        <v>1784</v>
      </c>
      <c r="L61" s="14">
        <v>64</v>
      </c>
      <c r="M61" s="15">
        <v>930</v>
      </c>
      <c r="N61" s="16">
        <f t="shared" si="21"/>
        <v>918</v>
      </c>
      <c r="O61" s="13">
        <f>260+214</f>
        <v>474</v>
      </c>
      <c r="P61" s="14">
        <f>260+125</f>
        <v>385</v>
      </c>
      <c r="Q61" s="15">
        <v>265</v>
      </c>
      <c r="R61" s="17">
        <f t="shared" si="22"/>
        <v>209</v>
      </c>
      <c r="S61" s="13">
        <f>58+299</f>
        <v>357</v>
      </c>
      <c r="T61" s="14">
        <f>58+299</f>
        <v>357</v>
      </c>
      <c r="U61" s="15">
        <v>0</v>
      </c>
      <c r="V61" s="17">
        <f t="shared" si="23"/>
        <v>357</v>
      </c>
    </row>
    <row r="62" spans="1:22" s="1" customFormat="1" ht="19.5" customHeight="1">
      <c r="A62" s="69" t="s">
        <v>24</v>
      </c>
      <c r="B62" s="13">
        <v>1556</v>
      </c>
      <c r="C62" s="14">
        <v>1556</v>
      </c>
      <c r="D62" s="14">
        <v>1570</v>
      </c>
      <c r="E62" s="15">
        <v>800</v>
      </c>
      <c r="F62" s="15">
        <v>0</v>
      </c>
      <c r="G62" s="15">
        <v>0</v>
      </c>
      <c r="H62" s="16">
        <f>767+E62+F62+G62</f>
        <v>1567</v>
      </c>
      <c r="I62" s="17">
        <f t="shared" si="24"/>
        <v>1559</v>
      </c>
      <c r="J62" s="13">
        <f>1771+744</f>
        <v>2515</v>
      </c>
      <c r="K62" s="14">
        <f>1771+744</f>
        <v>2515</v>
      </c>
      <c r="L62" s="14">
        <v>320</v>
      </c>
      <c r="M62" s="15">
        <v>744</v>
      </c>
      <c r="N62" s="16">
        <f t="shared" si="21"/>
        <v>2091</v>
      </c>
      <c r="O62" s="13">
        <f>370+255</f>
        <v>625</v>
      </c>
      <c r="P62" s="14">
        <f>365+255</f>
        <v>620</v>
      </c>
      <c r="Q62" s="15">
        <v>336</v>
      </c>
      <c r="R62" s="17">
        <f t="shared" si="22"/>
        <v>289</v>
      </c>
      <c r="S62" s="13">
        <f>200+1282</f>
        <v>1482</v>
      </c>
      <c r="T62" s="15">
        <f>200+1282</f>
        <v>1482</v>
      </c>
      <c r="U62" s="15">
        <v>100</v>
      </c>
      <c r="V62" s="17">
        <f t="shared" si="23"/>
        <v>1382</v>
      </c>
    </row>
    <row r="63" spans="1:22" s="1" customFormat="1" ht="19.5" customHeight="1">
      <c r="A63" s="69" t="s">
        <v>49</v>
      </c>
      <c r="B63" s="13">
        <v>618</v>
      </c>
      <c r="C63" s="14">
        <v>618</v>
      </c>
      <c r="D63" s="14">
        <v>2595</v>
      </c>
      <c r="E63" s="15">
        <v>2370</v>
      </c>
      <c r="F63" s="15">
        <v>0</v>
      </c>
      <c r="G63" s="15">
        <v>0</v>
      </c>
      <c r="H63" s="16">
        <f>E63+F63+G63+394</f>
        <v>2764</v>
      </c>
      <c r="I63" s="17">
        <f t="shared" si="24"/>
        <v>449</v>
      </c>
      <c r="J63" s="13">
        <f>62+115</f>
        <v>177</v>
      </c>
      <c r="K63" s="14">
        <f>116+115</f>
        <v>231</v>
      </c>
      <c r="L63" s="14">
        <v>54</v>
      </c>
      <c r="M63" s="15">
        <v>0</v>
      </c>
      <c r="N63" s="16">
        <f t="shared" si="21"/>
        <v>231</v>
      </c>
      <c r="O63" s="13">
        <f>150+392</f>
        <v>542</v>
      </c>
      <c r="P63" s="14">
        <f>150+392</f>
        <v>542</v>
      </c>
      <c r="Q63" s="15">
        <v>150</v>
      </c>
      <c r="R63" s="17">
        <f t="shared" si="22"/>
        <v>392</v>
      </c>
      <c r="S63" s="13">
        <v>61</v>
      </c>
      <c r="T63" s="15">
        <v>61</v>
      </c>
      <c r="U63" s="15">
        <v>0</v>
      </c>
      <c r="V63" s="17">
        <f t="shared" si="23"/>
        <v>61</v>
      </c>
    </row>
    <row r="64" spans="1:22" s="1" customFormat="1" ht="19.5" customHeight="1">
      <c r="A64" s="69" t="s">
        <v>115</v>
      </c>
      <c r="B64" s="13">
        <v>2782</v>
      </c>
      <c r="C64" s="14">
        <v>2782</v>
      </c>
      <c r="D64" s="14">
        <v>2545</v>
      </c>
      <c r="E64" s="15">
        <v>400</v>
      </c>
      <c r="F64" s="15">
        <v>0</v>
      </c>
      <c r="G64" s="15">
        <v>0</v>
      </c>
      <c r="H64" s="16">
        <f>E64+F64+G64+1917</f>
        <v>2317</v>
      </c>
      <c r="I64" s="17">
        <f t="shared" si="24"/>
        <v>3010</v>
      </c>
      <c r="J64" s="13">
        <f>1134+1582</f>
        <v>2716</v>
      </c>
      <c r="K64" s="14">
        <f>1134+1582</f>
        <v>2716</v>
      </c>
      <c r="L64" s="14">
        <v>802</v>
      </c>
      <c r="M64" s="15">
        <f>850+1582</f>
        <v>2432</v>
      </c>
      <c r="N64" s="16">
        <f t="shared" si="21"/>
        <v>1086</v>
      </c>
      <c r="O64" s="13">
        <f>360+533</f>
        <v>893</v>
      </c>
      <c r="P64" s="14">
        <f>360+526</f>
        <v>886</v>
      </c>
      <c r="Q64" s="15">
        <v>650</v>
      </c>
      <c r="R64" s="17">
        <f t="shared" si="22"/>
        <v>243</v>
      </c>
      <c r="S64" s="13">
        <f>468+694</f>
        <v>1162</v>
      </c>
      <c r="T64" s="15">
        <f>468+694</f>
        <v>1162</v>
      </c>
      <c r="U64" s="15">
        <v>500</v>
      </c>
      <c r="V64" s="17">
        <f t="shared" si="23"/>
        <v>662</v>
      </c>
    </row>
    <row r="65" spans="1:22" s="1" customFormat="1" ht="19.5" customHeight="1">
      <c r="A65" s="69" t="s">
        <v>25</v>
      </c>
      <c r="B65" s="13">
        <v>1414</v>
      </c>
      <c r="C65" s="14">
        <v>1414</v>
      </c>
      <c r="D65" s="14">
        <v>1488</v>
      </c>
      <c r="E65" s="15">
        <v>150</v>
      </c>
      <c r="F65" s="15">
        <v>0</v>
      </c>
      <c r="G65" s="15">
        <v>0</v>
      </c>
      <c r="H65" s="16">
        <f>E65+F65+G65+420</f>
        <v>570</v>
      </c>
      <c r="I65" s="17">
        <f t="shared" si="24"/>
        <v>2332</v>
      </c>
      <c r="J65" s="13">
        <f>107+160</f>
        <v>267</v>
      </c>
      <c r="K65" s="14">
        <f>107+160</f>
        <v>267</v>
      </c>
      <c r="L65" s="14">
        <v>100</v>
      </c>
      <c r="M65" s="15">
        <v>209</v>
      </c>
      <c r="N65" s="16">
        <f t="shared" si="21"/>
        <v>158</v>
      </c>
      <c r="O65" s="13">
        <f>249+512</f>
        <v>761</v>
      </c>
      <c r="P65" s="14">
        <f>249+512</f>
        <v>761</v>
      </c>
      <c r="Q65" s="15">
        <v>347</v>
      </c>
      <c r="R65" s="17">
        <f t="shared" si="22"/>
        <v>414</v>
      </c>
      <c r="S65" s="13">
        <f>20+440</f>
        <v>460</v>
      </c>
      <c r="T65" s="15">
        <f>20+440</f>
        <v>460</v>
      </c>
      <c r="U65" s="15">
        <v>100</v>
      </c>
      <c r="V65" s="17">
        <f t="shared" si="23"/>
        <v>360</v>
      </c>
    </row>
    <row r="66" spans="1:22" s="1" customFormat="1" ht="19.5" customHeight="1">
      <c r="A66" s="69" t="s">
        <v>26</v>
      </c>
      <c r="B66" s="13">
        <v>136</v>
      </c>
      <c r="C66" s="14">
        <v>136</v>
      </c>
      <c r="D66" s="14">
        <v>2883</v>
      </c>
      <c r="E66" s="15">
        <v>2010</v>
      </c>
      <c r="F66" s="15">
        <v>0</v>
      </c>
      <c r="G66" s="15">
        <v>0</v>
      </c>
      <c r="H66" s="16">
        <f>E66+F66+G66+801</f>
        <v>2811</v>
      </c>
      <c r="I66" s="17">
        <f t="shared" si="24"/>
        <v>208</v>
      </c>
      <c r="J66" s="13">
        <f>3+852</f>
        <v>855</v>
      </c>
      <c r="K66" s="14">
        <f>3+852</f>
        <v>855</v>
      </c>
      <c r="L66" s="14">
        <f>17+15</f>
        <v>32</v>
      </c>
      <c r="M66" s="15">
        <f>20+867</f>
        <v>887</v>
      </c>
      <c r="N66" s="16">
        <f t="shared" si="21"/>
        <v>0</v>
      </c>
      <c r="O66" s="13">
        <f>260+11</f>
        <v>271</v>
      </c>
      <c r="P66" s="14">
        <f>260+5</f>
        <v>265</v>
      </c>
      <c r="Q66" s="15">
        <v>268</v>
      </c>
      <c r="R66" s="17">
        <f t="shared" si="22"/>
        <v>3</v>
      </c>
      <c r="S66" s="13">
        <v>161</v>
      </c>
      <c r="T66" s="15">
        <v>161</v>
      </c>
      <c r="U66" s="15">
        <v>50</v>
      </c>
      <c r="V66" s="17">
        <f t="shared" si="23"/>
        <v>111</v>
      </c>
    </row>
    <row r="67" spans="1:22" s="1" customFormat="1" ht="19.5" customHeight="1">
      <c r="A67" s="69" t="s">
        <v>83</v>
      </c>
      <c r="B67" s="13">
        <v>1437</v>
      </c>
      <c r="C67" s="14">
        <v>1437</v>
      </c>
      <c r="D67" s="14">
        <v>4126</v>
      </c>
      <c r="E67" s="7">
        <v>0</v>
      </c>
      <c r="F67" s="7">
        <v>0</v>
      </c>
      <c r="G67" s="15">
        <v>0</v>
      </c>
      <c r="H67" s="16">
        <f>E67+F67+G67+1358</f>
        <v>1358</v>
      </c>
      <c r="I67" s="17">
        <f t="shared" si="24"/>
        <v>4205</v>
      </c>
      <c r="J67" s="13">
        <f>3472+1471</f>
        <v>4943</v>
      </c>
      <c r="K67" s="14">
        <f>3472+1471</f>
        <v>4943</v>
      </c>
      <c r="L67" s="14">
        <v>122</v>
      </c>
      <c r="M67" s="15">
        <f>300+1471</f>
        <v>1771</v>
      </c>
      <c r="N67" s="16">
        <f t="shared" si="21"/>
        <v>3294</v>
      </c>
      <c r="O67" s="13">
        <f>335+682</f>
        <v>1017</v>
      </c>
      <c r="P67" s="14">
        <f>335+688</f>
        <v>1023</v>
      </c>
      <c r="Q67" s="15">
        <v>440</v>
      </c>
      <c r="R67" s="17">
        <f t="shared" si="22"/>
        <v>577</v>
      </c>
      <c r="S67" s="13">
        <f>485+691</f>
        <v>1176</v>
      </c>
      <c r="T67" s="15">
        <f>485+691</f>
        <v>1176</v>
      </c>
      <c r="U67" s="15">
        <v>900</v>
      </c>
      <c r="V67" s="17">
        <f t="shared" si="23"/>
        <v>276</v>
      </c>
    </row>
    <row r="68" spans="1:22" s="1" customFormat="1" ht="19.5" customHeight="1">
      <c r="A68" s="106" t="s">
        <v>27</v>
      </c>
      <c r="B68" s="95">
        <v>879</v>
      </c>
      <c r="C68" s="96">
        <v>879</v>
      </c>
      <c r="D68" s="96">
        <v>1661</v>
      </c>
      <c r="E68" s="97">
        <v>138</v>
      </c>
      <c r="F68" s="97">
        <v>300</v>
      </c>
      <c r="G68" s="97">
        <v>200</v>
      </c>
      <c r="H68" s="98">
        <f>E68+F68+G68+822</f>
        <v>1460</v>
      </c>
      <c r="I68" s="45">
        <f t="shared" si="24"/>
        <v>1080</v>
      </c>
      <c r="J68" s="95">
        <f>132+1311</f>
        <v>1443</v>
      </c>
      <c r="K68" s="96">
        <f>132+1311</f>
        <v>1443</v>
      </c>
      <c r="L68" s="96">
        <v>80</v>
      </c>
      <c r="M68" s="97">
        <f>80+1311</f>
        <v>1391</v>
      </c>
      <c r="N68" s="98">
        <f t="shared" si="21"/>
        <v>132</v>
      </c>
      <c r="O68" s="95">
        <f>250+105</f>
        <v>355</v>
      </c>
      <c r="P68" s="96">
        <f>250+105</f>
        <v>355</v>
      </c>
      <c r="Q68" s="97">
        <v>290</v>
      </c>
      <c r="R68" s="45">
        <f t="shared" si="22"/>
        <v>65</v>
      </c>
      <c r="S68" s="95">
        <f>9+13</f>
        <v>22</v>
      </c>
      <c r="T68" s="97">
        <f>9+13</f>
        <v>22</v>
      </c>
      <c r="U68" s="97">
        <v>0</v>
      </c>
      <c r="V68" s="45">
        <f t="shared" si="23"/>
        <v>22</v>
      </c>
    </row>
    <row r="69" spans="1:23" s="1" customFormat="1" ht="19.5" customHeight="1">
      <c r="A69" s="106" t="s">
        <v>114</v>
      </c>
      <c r="B69" s="95">
        <v>812</v>
      </c>
      <c r="C69" s="96">
        <v>812</v>
      </c>
      <c r="D69" s="96">
        <v>2590</v>
      </c>
      <c r="E69" s="46">
        <v>1190</v>
      </c>
      <c r="F69" s="97">
        <v>0</v>
      </c>
      <c r="G69" s="97">
        <v>0</v>
      </c>
      <c r="H69" s="98">
        <f>E69+F69+G69+912</f>
        <v>2102</v>
      </c>
      <c r="I69" s="45">
        <f t="shared" si="24"/>
        <v>1300</v>
      </c>
      <c r="J69" s="95">
        <v>773</v>
      </c>
      <c r="K69" s="96">
        <v>773</v>
      </c>
      <c r="L69" s="96">
        <v>102</v>
      </c>
      <c r="M69" s="97">
        <v>0</v>
      </c>
      <c r="N69" s="98">
        <f t="shared" si="21"/>
        <v>875</v>
      </c>
      <c r="O69" s="95">
        <f>183+57</f>
        <v>240</v>
      </c>
      <c r="P69" s="96">
        <f>183+57</f>
        <v>240</v>
      </c>
      <c r="Q69" s="97">
        <v>240</v>
      </c>
      <c r="R69" s="45">
        <f t="shared" si="22"/>
        <v>0</v>
      </c>
      <c r="S69" s="95">
        <f>25+192</f>
        <v>217</v>
      </c>
      <c r="T69" s="97">
        <f>25+192</f>
        <v>217</v>
      </c>
      <c r="U69" s="97">
        <v>29</v>
      </c>
      <c r="V69" s="45">
        <f t="shared" si="23"/>
        <v>188</v>
      </c>
      <c r="W69" s="71"/>
    </row>
    <row r="70" spans="1:22" s="1" customFormat="1" ht="19.5" customHeight="1">
      <c r="A70" s="106" t="s">
        <v>28</v>
      </c>
      <c r="B70" s="95">
        <v>408</v>
      </c>
      <c r="C70" s="96">
        <v>408</v>
      </c>
      <c r="D70" s="96">
        <v>1170</v>
      </c>
      <c r="E70" s="46">
        <v>310</v>
      </c>
      <c r="F70" s="46">
        <v>0</v>
      </c>
      <c r="G70" s="46">
        <v>100</v>
      </c>
      <c r="H70" s="98">
        <f>E70+F70+G70+662</f>
        <v>1072</v>
      </c>
      <c r="I70" s="45">
        <f t="shared" si="24"/>
        <v>506</v>
      </c>
      <c r="J70" s="95">
        <f>344+62</f>
        <v>406</v>
      </c>
      <c r="K70" s="96">
        <f>344+62</f>
        <v>406</v>
      </c>
      <c r="L70" s="96">
        <v>0</v>
      </c>
      <c r="M70" s="97">
        <f>200+62</f>
        <v>262</v>
      </c>
      <c r="N70" s="98">
        <f t="shared" si="21"/>
        <v>144</v>
      </c>
      <c r="O70" s="95">
        <f>180+35</f>
        <v>215</v>
      </c>
      <c r="P70" s="96">
        <f>180+35</f>
        <v>215</v>
      </c>
      <c r="Q70" s="97">
        <v>215</v>
      </c>
      <c r="R70" s="45">
        <f t="shared" si="22"/>
        <v>0</v>
      </c>
      <c r="S70" s="95">
        <v>5</v>
      </c>
      <c r="T70" s="97">
        <v>5</v>
      </c>
      <c r="U70" s="97">
        <v>0</v>
      </c>
      <c r="V70" s="45">
        <f t="shared" si="23"/>
        <v>5</v>
      </c>
    </row>
    <row r="71" spans="1:22" s="1" customFormat="1" ht="19.5" customHeight="1">
      <c r="A71" s="106" t="s">
        <v>29</v>
      </c>
      <c r="B71" s="95">
        <v>622</v>
      </c>
      <c r="C71" s="96">
        <v>622</v>
      </c>
      <c r="D71" s="96">
        <v>1445</v>
      </c>
      <c r="E71" s="97">
        <v>400</v>
      </c>
      <c r="F71" s="97">
        <v>0</v>
      </c>
      <c r="G71" s="97">
        <v>80</v>
      </c>
      <c r="H71" s="98">
        <f>E71+F71+G71+734</f>
        <v>1214</v>
      </c>
      <c r="I71" s="45">
        <f t="shared" si="24"/>
        <v>853</v>
      </c>
      <c r="J71" s="95">
        <f>311+597</f>
        <v>908</v>
      </c>
      <c r="K71" s="96">
        <f>311+597</f>
        <v>908</v>
      </c>
      <c r="L71" s="96">
        <v>255</v>
      </c>
      <c r="M71" s="97">
        <f>100+597</f>
        <v>697</v>
      </c>
      <c r="N71" s="98">
        <f t="shared" si="21"/>
        <v>466</v>
      </c>
      <c r="O71" s="95">
        <f>180+170</f>
        <v>350</v>
      </c>
      <c r="P71" s="96">
        <f>180+130</f>
        <v>310</v>
      </c>
      <c r="Q71" s="97">
        <v>200</v>
      </c>
      <c r="R71" s="45">
        <f t="shared" si="22"/>
        <v>150</v>
      </c>
      <c r="S71" s="95">
        <v>256</v>
      </c>
      <c r="T71" s="97">
        <v>256</v>
      </c>
      <c r="U71" s="97">
        <v>0</v>
      </c>
      <c r="V71" s="45">
        <f t="shared" si="23"/>
        <v>256</v>
      </c>
    </row>
    <row r="72" spans="1:22" s="1" customFormat="1" ht="19.5" customHeight="1">
      <c r="A72" s="107" t="s">
        <v>50</v>
      </c>
      <c r="B72" s="13">
        <v>2764</v>
      </c>
      <c r="C72" s="14">
        <v>2764</v>
      </c>
      <c r="D72" s="14">
        <v>2257</v>
      </c>
      <c r="E72" s="15">
        <v>0</v>
      </c>
      <c r="F72" s="15">
        <v>500</v>
      </c>
      <c r="G72" s="15">
        <v>0</v>
      </c>
      <c r="H72" s="16">
        <f>E72+F72+G72+462</f>
        <v>962</v>
      </c>
      <c r="I72" s="17">
        <f t="shared" si="24"/>
        <v>4059</v>
      </c>
      <c r="J72" s="13">
        <f>684+603</f>
        <v>1287</v>
      </c>
      <c r="K72" s="14">
        <f>684+603</f>
        <v>1287</v>
      </c>
      <c r="L72" s="14">
        <v>246</v>
      </c>
      <c r="M72" s="15">
        <f>778+603</f>
        <v>1381</v>
      </c>
      <c r="N72" s="16">
        <f t="shared" si="21"/>
        <v>152</v>
      </c>
      <c r="O72" s="13">
        <f>175+256</f>
        <v>431</v>
      </c>
      <c r="P72" s="14">
        <f>175+241</f>
        <v>416</v>
      </c>
      <c r="Q72" s="15">
        <v>347</v>
      </c>
      <c r="R72" s="17">
        <f t="shared" si="22"/>
        <v>84</v>
      </c>
      <c r="S72" s="13">
        <v>479</v>
      </c>
      <c r="T72" s="15">
        <v>479</v>
      </c>
      <c r="U72" s="15">
        <v>300</v>
      </c>
      <c r="V72" s="17">
        <f t="shared" si="23"/>
        <v>179</v>
      </c>
    </row>
    <row r="73" spans="1:22" s="1" customFormat="1" ht="19.5" customHeight="1" thickBot="1">
      <c r="A73" s="108" t="s">
        <v>51</v>
      </c>
      <c r="B73" s="95">
        <v>588</v>
      </c>
      <c r="C73" s="96">
        <v>588</v>
      </c>
      <c r="D73" s="96">
        <v>692</v>
      </c>
      <c r="E73" s="97">
        <v>0</v>
      </c>
      <c r="F73" s="97">
        <v>0</v>
      </c>
      <c r="G73" s="97">
        <v>0</v>
      </c>
      <c r="H73" s="98">
        <f>E73+F73+G73+394</f>
        <v>394</v>
      </c>
      <c r="I73" s="45">
        <f t="shared" si="24"/>
        <v>886</v>
      </c>
      <c r="J73" s="95">
        <f>836+670</f>
        <v>1506</v>
      </c>
      <c r="K73" s="96">
        <f>836+670</f>
        <v>1506</v>
      </c>
      <c r="L73" s="96">
        <v>300</v>
      </c>
      <c r="M73" s="97">
        <v>670</v>
      </c>
      <c r="N73" s="98">
        <f t="shared" si="21"/>
        <v>1136</v>
      </c>
      <c r="O73" s="95">
        <f>100+119</f>
        <v>219</v>
      </c>
      <c r="P73" s="96">
        <f>100+85</f>
        <v>185</v>
      </c>
      <c r="Q73" s="97">
        <v>173</v>
      </c>
      <c r="R73" s="45">
        <f t="shared" si="22"/>
        <v>46</v>
      </c>
      <c r="S73" s="95">
        <f>137+3</f>
        <v>140</v>
      </c>
      <c r="T73" s="97">
        <v>140</v>
      </c>
      <c r="U73" s="97">
        <v>135</v>
      </c>
      <c r="V73" s="45">
        <f t="shared" si="23"/>
        <v>5</v>
      </c>
    </row>
    <row r="74" spans="1:256" s="109" customFormat="1" ht="19.5" customHeight="1" thickBot="1">
      <c r="A74" s="67" t="s">
        <v>30</v>
      </c>
      <c r="B74" s="40">
        <f>SUM(B75)</f>
        <v>96</v>
      </c>
      <c r="C74" s="38">
        <f aca="true" t="shared" si="25" ref="C74:V74">SUM(C75)</f>
        <v>96</v>
      </c>
      <c r="D74" s="38">
        <f t="shared" si="25"/>
        <v>434</v>
      </c>
      <c r="E74" s="38">
        <f t="shared" si="25"/>
        <v>0</v>
      </c>
      <c r="F74" s="38">
        <f t="shared" si="25"/>
        <v>0</v>
      </c>
      <c r="G74" s="38">
        <f t="shared" si="25"/>
        <v>0</v>
      </c>
      <c r="H74" s="38">
        <f t="shared" si="25"/>
        <v>177</v>
      </c>
      <c r="I74" s="39">
        <f t="shared" si="25"/>
        <v>353</v>
      </c>
      <c r="J74" s="40">
        <f t="shared" si="25"/>
        <v>352</v>
      </c>
      <c r="K74" s="38">
        <f t="shared" si="25"/>
        <v>352</v>
      </c>
      <c r="L74" s="38">
        <f t="shared" si="25"/>
        <v>2</v>
      </c>
      <c r="M74" s="38">
        <f t="shared" si="25"/>
        <v>77</v>
      </c>
      <c r="N74" s="39">
        <f t="shared" si="25"/>
        <v>277</v>
      </c>
      <c r="O74" s="40">
        <f t="shared" si="25"/>
        <v>146</v>
      </c>
      <c r="P74" s="38">
        <f t="shared" si="25"/>
        <v>146</v>
      </c>
      <c r="Q74" s="38">
        <f t="shared" si="25"/>
        <v>120</v>
      </c>
      <c r="R74" s="39">
        <f t="shared" si="25"/>
        <v>26</v>
      </c>
      <c r="S74" s="40">
        <f t="shared" si="25"/>
        <v>20</v>
      </c>
      <c r="T74" s="38">
        <f t="shared" si="25"/>
        <v>20</v>
      </c>
      <c r="U74" s="38">
        <f t="shared" si="25"/>
        <v>0</v>
      </c>
      <c r="V74" s="39">
        <f t="shared" si="25"/>
        <v>20</v>
      </c>
      <c r="W74" s="85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8"/>
      <c r="IG74" s="68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8"/>
      <c r="IV74" s="68"/>
    </row>
    <row r="75" spans="1:256" s="1" customFormat="1" ht="19.5" customHeight="1" thickBot="1">
      <c r="A75" s="110" t="s">
        <v>108</v>
      </c>
      <c r="B75" s="111">
        <v>96</v>
      </c>
      <c r="C75" s="112">
        <v>96</v>
      </c>
      <c r="D75" s="112">
        <v>434</v>
      </c>
      <c r="E75" s="113">
        <v>0</v>
      </c>
      <c r="F75" s="113">
        <v>0</v>
      </c>
      <c r="G75" s="113">
        <v>0</v>
      </c>
      <c r="H75" s="114">
        <v>177</v>
      </c>
      <c r="I75" s="115">
        <f>B75+D75-H75</f>
        <v>353</v>
      </c>
      <c r="J75" s="111">
        <f>80+272</f>
        <v>352</v>
      </c>
      <c r="K75" s="112">
        <v>352</v>
      </c>
      <c r="L75" s="112">
        <v>2</v>
      </c>
      <c r="M75" s="113">
        <v>77</v>
      </c>
      <c r="N75" s="114">
        <f>J75+L75-M75</f>
        <v>277</v>
      </c>
      <c r="O75" s="111">
        <f>118+28</f>
        <v>146</v>
      </c>
      <c r="P75" s="112">
        <v>146</v>
      </c>
      <c r="Q75" s="113">
        <v>120</v>
      </c>
      <c r="R75" s="115">
        <f>O75-Q75</f>
        <v>26</v>
      </c>
      <c r="S75" s="111">
        <v>20</v>
      </c>
      <c r="T75" s="112">
        <v>20</v>
      </c>
      <c r="U75" s="113">
        <v>0</v>
      </c>
      <c r="V75" s="115">
        <f>S75-U75</f>
        <v>20</v>
      </c>
      <c r="W75" s="116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  <c r="IT75" s="77"/>
      <c r="IU75" s="77"/>
      <c r="IV75" s="77"/>
    </row>
    <row r="76" spans="1:256" s="1" customFormat="1" ht="19.5" customHeight="1" thickBot="1">
      <c r="A76" s="117" t="s">
        <v>17</v>
      </c>
      <c r="B76" s="33">
        <f>SUM(B77)</f>
        <v>7932</v>
      </c>
      <c r="C76" s="31">
        <f aca="true" t="shared" si="26" ref="C76:V76">SUM(C77)</f>
        <v>1000</v>
      </c>
      <c r="D76" s="31">
        <f t="shared" si="26"/>
        <v>4600</v>
      </c>
      <c r="E76" s="31">
        <f t="shared" si="26"/>
        <v>4900</v>
      </c>
      <c r="F76" s="31">
        <f t="shared" si="26"/>
        <v>1450</v>
      </c>
      <c r="G76" s="31">
        <f t="shared" si="26"/>
        <v>1400</v>
      </c>
      <c r="H76" s="31">
        <f t="shared" si="26"/>
        <v>7750</v>
      </c>
      <c r="I76" s="32">
        <f t="shared" si="26"/>
        <v>4782</v>
      </c>
      <c r="J76" s="33">
        <f t="shared" si="26"/>
        <v>8444</v>
      </c>
      <c r="K76" s="31">
        <f t="shared" si="26"/>
        <v>1000</v>
      </c>
      <c r="L76" s="31">
        <f t="shared" si="26"/>
        <v>135</v>
      </c>
      <c r="M76" s="31">
        <f t="shared" si="26"/>
        <v>0</v>
      </c>
      <c r="N76" s="32">
        <f t="shared" si="26"/>
        <v>8579</v>
      </c>
      <c r="O76" s="33">
        <f t="shared" si="26"/>
        <v>424</v>
      </c>
      <c r="P76" s="31">
        <f t="shared" si="26"/>
        <v>232</v>
      </c>
      <c r="Q76" s="31">
        <f t="shared" si="26"/>
        <v>202</v>
      </c>
      <c r="R76" s="32">
        <f t="shared" si="26"/>
        <v>222</v>
      </c>
      <c r="S76" s="33">
        <f t="shared" si="26"/>
        <v>845</v>
      </c>
      <c r="T76" s="31">
        <f t="shared" si="26"/>
        <v>845</v>
      </c>
      <c r="U76" s="31">
        <f t="shared" si="26"/>
        <v>400</v>
      </c>
      <c r="V76" s="32">
        <f t="shared" si="26"/>
        <v>445</v>
      </c>
      <c r="W76" s="116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  <c r="IU76" s="77"/>
      <c r="IV76" s="77"/>
    </row>
    <row r="77" spans="1:256" s="81" customFormat="1" ht="19.5" customHeight="1" thickBot="1">
      <c r="A77" s="119" t="s">
        <v>41</v>
      </c>
      <c r="B77" s="36">
        <v>7932</v>
      </c>
      <c r="C77" s="37">
        <v>1000</v>
      </c>
      <c r="D77" s="37">
        <v>4600</v>
      </c>
      <c r="E77" s="34">
        <f>7900-3000</f>
        <v>4900</v>
      </c>
      <c r="F77" s="34">
        <v>1450</v>
      </c>
      <c r="G77" s="34">
        <v>1400</v>
      </c>
      <c r="H77" s="83">
        <f>10750-3000</f>
        <v>7750</v>
      </c>
      <c r="I77" s="35">
        <f>B77+D77-H77</f>
        <v>4782</v>
      </c>
      <c r="J77" s="36">
        <v>8444</v>
      </c>
      <c r="K77" s="37">
        <v>1000</v>
      </c>
      <c r="L77" s="37">
        <v>135</v>
      </c>
      <c r="M77" s="34">
        <v>0</v>
      </c>
      <c r="N77" s="83">
        <f>J77+L77-M77</f>
        <v>8579</v>
      </c>
      <c r="O77" s="36">
        <f>257+167</f>
        <v>424</v>
      </c>
      <c r="P77" s="37">
        <f>65+167</f>
        <v>232</v>
      </c>
      <c r="Q77" s="34">
        <v>202</v>
      </c>
      <c r="R77" s="35">
        <f>O77-Q77</f>
        <v>222</v>
      </c>
      <c r="S77" s="37">
        <f>745+100</f>
        <v>845</v>
      </c>
      <c r="T77" s="37">
        <f>745+100</f>
        <v>845</v>
      </c>
      <c r="U77" s="34">
        <v>400</v>
      </c>
      <c r="V77" s="35">
        <f>S77-U77</f>
        <v>445</v>
      </c>
      <c r="W77" s="118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  <c r="FF77" s="80"/>
      <c r="FG77" s="80"/>
      <c r="FH77" s="80"/>
      <c r="FI77" s="80"/>
      <c r="FJ77" s="80"/>
      <c r="FK77" s="80"/>
      <c r="FL77" s="80"/>
      <c r="FM77" s="80"/>
      <c r="FN77" s="80"/>
      <c r="FO77" s="80"/>
      <c r="FP77" s="80"/>
      <c r="FQ77" s="80"/>
      <c r="FR77" s="80"/>
      <c r="FS77" s="80"/>
      <c r="FT77" s="80"/>
      <c r="FU77" s="80"/>
      <c r="FV77" s="80"/>
      <c r="FW77" s="80"/>
      <c r="FX77" s="80"/>
      <c r="FY77" s="80"/>
      <c r="FZ77" s="80"/>
      <c r="GA77" s="80"/>
      <c r="GB77" s="80"/>
      <c r="GC77" s="80"/>
      <c r="GD77" s="80"/>
      <c r="GE77" s="80"/>
      <c r="GF77" s="80"/>
      <c r="GG77" s="80"/>
      <c r="GH77" s="80"/>
      <c r="GI77" s="80"/>
      <c r="GJ77" s="80"/>
      <c r="GK77" s="80"/>
      <c r="GL77" s="80"/>
      <c r="GM77" s="80"/>
      <c r="GN77" s="80"/>
      <c r="GO77" s="80"/>
      <c r="GP77" s="80"/>
      <c r="GQ77" s="80"/>
      <c r="GR77" s="80"/>
      <c r="GS77" s="80"/>
      <c r="GT77" s="80"/>
      <c r="GU77" s="80"/>
      <c r="GV77" s="80"/>
      <c r="GW77" s="80"/>
      <c r="GX77" s="80"/>
      <c r="GY77" s="80"/>
      <c r="GZ77" s="80"/>
      <c r="HA77" s="80"/>
      <c r="HB77" s="80"/>
      <c r="HC77" s="80"/>
      <c r="HD77" s="80"/>
      <c r="HE77" s="80"/>
      <c r="HF77" s="80"/>
      <c r="HG77" s="80"/>
      <c r="HH77" s="80"/>
      <c r="HI77" s="80"/>
      <c r="HJ77" s="80"/>
      <c r="HK77" s="80"/>
      <c r="HL77" s="80"/>
      <c r="HM77" s="80"/>
      <c r="HN77" s="80"/>
      <c r="HO77" s="80"/>
      <c r="HP77" s="80"/>
      <c r="HQ77" s="80"/>
      <c r="HR77" s="80"/>
      <c r="HS77" s="80"/>
      <c r="HT77" s="80"/>
      <c r="HU77" s="80"/>
      <c r="HV77" s="80"/>
      <c r="HW77" s="80"/>
      <c r="HX77" s="80"/>
      <c r="HY77" s="80"/>
      <c r="HZ77" s="80"/>
      <c r="IA77" s="80"/>
      <c r="IB77" s="80"/>
      <c r="IC77" s="80"/>
      <c r="ID77" s="80"/>
      <c r="IE77" s="80"/>
      <c r="IF77" s="80"/>
      <c r="IG77" s="80"/>
      <c r="IH77" s="80"/>
      <c r="II77" s="80"/>
      <c r="IJ77" s="80"/>
      <c r="IK77" s="80"/>
      <c r="IL77" s="80"/>
      <c r="IM77" s="80"/>
      <c r="IN77" s="80"/>
      <c r="IO77" s="80"/>
      <c r="IP77" s="80"/>
      <c r="IQ77" s="80"/>
      <c r="IR77" s="80"/>
      <c r="IS77" s="80"/>
      <c r="IT77" s="80"/>
      <c r="IU77" s="80"/>
      <c r="IV77" s="80"/>
    </row>
    <row r="78" spans="1:256" s="109" customFormat="1" ht="19.5" customHeight="1" thickBot="1">
      <c r="A78" s="67" t="s">
        <v>18</v>
      </c>
      <c r="B78" s="40">
        <f>SUM(B79:B83)</f>
        <v>426</v>
      </c>
      <c r="C78" s="38">
        <f aca="true" t="shared" si="27" ref="C78:V78">SUM(C79:C83)</f>
        <v>426</v>
      </c>
      <c r="D78" s="38">
        <f t="shared" si="27"/>
        <v>142</v>
      </c>
      <c r="E78" s="38">
        <f t="shared" si="27"/>
        <v>0</v>
      </c>
      <c r="F78" s="38">
        <f t="shared" si="27"/>
        <v>0</v>
      </c>
      <c r="G78" s="38">
        <f t="shared" si="27"/>
        <v>60</v>
      </c>
      <c r="H78" s="38">
        <f t="shared" si="27"/>
        <v>109</v>
      </c>
      <c r="I78" s="39">
        <f t="shared" si="27"/>
        <v>459</v>
      </c>
      <c r="J78" s="40">
        <f t="shared" si="27"/>
        <v>31</v>
      </c>
      <c r="K78" s="38">
        <f t="shared" si="27"/>
        <v>31</v>
      </c>
      <c r="L78" s="38">
        <f t="shared" si="27"/>
        <v>24</v>
      </c>
      <c r="M78" s="38">
        <f t="shared" si="27"/>
        <v>2</v>
      </c>
      <c r="N78" s="39">
        <f t="shared" si="27"/>
        <v>53</v>
      </c>
      <c r="O78" s="40">
        <f t="shared" si="27"/>
        <v>205</v>
      </c>
      <c r="P78" s="38">
        <f t="shared" si="27"/>
        <v>205</v>
      </c>
      <c r="Q78" s="38">
        <f t="shared" si="27"/>
        <v>176</v>
      </c>
      <c r="R78" s="39">
        <f t="shared" si="27"/>
        <v>29</v>
      </c>
      <c r="S78" s="40">
        <f t="shared" si="27"/>
        <v>55</v>
      </c>
      <c r="T78" s="38">
        <f t="shared" si="27"/>
        <v>55</v>
      </c>
      <c r="U78" s="38">
        <f t="shared" si="27"/>
        <v>55</v>
      </c>
      <c r="V78" s="39">
        <f t="shared" si="27"/>
        <v>0</v>
      </c>
      <c r="W78" s="85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8"/>
      <c r="IG78" s="68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8"/>
      <c r="IV78" s="68"/>
    </row>
    <row r="79" spans="1:256" s="1" customFormat="1" ht="19.5" customHeight="1">
      <c r="A79" s="119" t="s">
        <v>103</v>
      </c>
      <c r="B79" s="42">
        <v>18</v>
      </c>
      <c r="C79" s="72">
        <v>18</v>
      </c>
      <c r="D79" s="72">
        <v>28</v>
      </c>
      <c r="E79" s="41">
        <v>0</v>
      </c>
      <c r="F79" s="41">
        <v>0</v>
      </c>
      <c r="G79" s="41">
        <v>0</v>
      </c>
      <c r="H79" s="75">
        <v>18</v>
      </c>
      <c r="I79" s="74">
        <f>B79+D79-H79</f>
        <v>28</v>
      </c>
      <c r="J79" s="42">
        <v>20</v>
      </c>
      <c r="K79" s="72">
        <v>20</v>
      </c>
      <c r="L79" s="72">
        <v>1</v>
      </c>
      <c r="M79" s="41">
        <v>0</v>
      </c>
      <c r="N79" s="75">
        <f>J79+L79-M79</f>
        <v>21</v>
      </c>
      <c r="O79" s="42">
        <f>22+14</f>
        <v>36</v>
      </c>
      <c r="P79" s="72">
        <v>36</v>
      </c>
      <c r="Q79" s="41">
        <v>36</v>
      </c>
      <c r="R79" s="74">
        <f>O79-Q79</f>
        <v>0</v>
      </c>
      <c r="S79" s="42">
        <v>0</v>
      </c>
      <c r="T79" s="72">
        <v>0</v>
      </c>
      <c r="U79" s="41">
        <v>0</v>
      </c>
      <c r="V79" s="17">
        <f>S79-U79</f>
        <v>0</v>
      </c>
      <c r="W79" s="116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7"/>
      <c r="HL79" s="77"/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7"/>
      <c r="IM79" s="77"/>
      <c r="IN79" s="77"/>
      <c r="IO79" s="77"/>
      <c r="IP79" s="77"/>
      <c r="IQ79" s="77"/>
      <c r="IR79" s="77"/>
      <c r="IS79" s="77"/>
      <c r="IT79" s="77"/>
      <c r="IU79" s="77"/>
      <c r="IV79" s="77"/>
    </row>
    <row r="80" spans="1:256" s="1" customFormat="1" ht="19.5" customHeight="1">
      <c r="A80" s="119" t="s">
        <v>104</v>
      </c>
      <c r="B80" s="13">
        <v>3</v>
      </c>
      <c r="C80" s="14">
        <v>3</v>
      </c>
      <c r="D80" s="14">
        <v>31</v>
      </c>
      <c r="E80" s="15">
        <v>0</v>
      </c>
      <c r="F80" s="15">
        <v>0</v>
      </c>
      <c r="G80" s="15">
        <v>0</v>
      </c>
      <c r="H80" s="16">
        <v>31</v>
      </c>
      <c r="I80" s="17">
        <f>B80+D80-H80</f>
        <v>3</v>
      </c>
      <c r="J80" s="13">
        <v>2</v>
      </c>
      <c r="K80" s="14">
        <v>2</v>
      </c>
      <c r="L80" s="14">
        <v>0</v>
      </c>
      <c r="M80" s="15">
        <v>0</v>
      </c>
      <c r="N80" s="16">
        <f>J80+L80-M80</f>
        <v>2</v>
      </c>
      <c r="O80" s="13">
        <v>58</v>
      </c>
      <c r="P80" s="15">
        <v>58</v>
      </c>
      <c r="Q80" s="15">
        <v>42</v>
      </c>
      <c r="R80" s="17">
        <f>O80-Q80</f>
        <v>16</v>
      </c>
      <c r="S80" s="13">
        <v>27</v>
      </c>
      <c r="T80" s="14">
        <v>27</v>
      </c>
      <c r="U80" s="15">
        <v>27</v>
      </c>
      <c r="V80" s="17">
        <f>S80-U80</f>
        <v>0</v>
      </c>
      <c r="W80" s="116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7"/>
      <c r="FO80" s="77"/>
      <c r="FP80" s="77"/>
      <c r="FQ80" s="77"/>
      <c r="FR80" s="77"/>
      <c r="FS80" s="77"/>
      <c r="FT80" s="77"/>
      <c r="FU80" s="77"/>
      <c r="FV80" s="77"/>
      <c r="FW80" s="77"/>
      <c r="FX80" s="77"/>
      <c r="FY80" s="77"/>
      <c r="FZ80" s="77"/>
      <c r="GA80" s="77"/>
      <c r="GB80" s="77"/>
      <c r="GC80" s="77"/>
      <c r="GD80" s="77"/>
      <c r="GE80" s="77"/>
      <c r="GF80" s="77"/>
      <c r="GG80" s="77"/>
      <c r="GH80" s="77"/>
      <c r="GI80" s="77"/>
      <c r="GJ80" s="77"/>
      <c r="GK80" s="77"/>
      <c r="GL80" s="77"/>
      <c r="GM80" s="77"/>
      <c r="GN80" s="77"/>
      <c r="GO80" s="77"/>
      <c r="GP80" s="77"/>
      <c r="GQ80" s="77"/>
      <c r="GR80" s="77"/>
      <c r="GS80" s="77"/>
      <c r="GT80" s="77"/>
      <c r="GU80" s="77"/>
      <c r="GV80" s="77"/>
      <c r="GW80" s="77"/>
      <c r="GX80" s="77"/>
      <c r="GY80" s="77"/>
      <c r="GZ80" s="77"/>
      <c r="HA80" s="77"/>
      <c r="HB80" s="77"/>
      <c r="HC80" s="77"/>
      <c r="HD80" s="77"/>
      <c r="HE80" s="77"/>
      <c r="HF80" s="77"/>
      <c r="HG80" s="77"/>
      <c r="HH80" s="77"/>
      <c r="HI80" s="77"/>
      <c r="HJ80" s="77"/>
      <c r="HK80" s="77"/>
      <c r="HL80" s="77"/>
      <c r="HM80" s="77"/>
      <c r="HN80" s="77"/>
      <c r="HO80" s="77"/>
      <c r="HP80" s="77"/>
      <c r="HQ80" s="77"/>
      <c r="HR80" s="77"/>
      <c r="HS80" s="77"/>
      <c r="HT80" s="77"/>
      <c r="HU80" s="77"/>
      <c r="HV80" s="77"/>
      <c r="HW80" s="77"/>
      <c r="HX80" s="77"/>
      <c r="HY80" s="77"/>
      <c r="HZ80" s="77"/>
      <c r="IA80" s="77"/>
      <c r="IB80" s="77"/>
      <c r="IC80" s="77"/>
      <c r="ID80" s="77"/>
      <c r="IE80" s="77"/>
      <c r="IF80" s="77"/>
      <c r="IG80" s="77"/>
      <c r="IH80" s="77"/>
      <c r="II80" s="77"/>
      <c r="IJ80" s="77"/>
      <c r="IK80" s="77"/>
      <c r="IL80" s="77"/>
      <c r="IM80" s="77"/>
      <c r="IN80" s="77"/>
      <c r="IO80" s="77"/>
      <c r="IP80" s="77"/>
      <c r="IQ80" s="77"/>
      <c r="IR80" s="77"/>
      <c r="IS80" s="77"/>
      <c r="IT80" s="77"/>
      <c r="IU80" s="77"/>
      <c r="IV80" s="77"/>
    </row>
    <row r="81" spans="1:256" s="1" customFormat="1" ht="19.5" customHeight="1">
      <c r="A81" s="119" t="s">
        <v>105</v>
      </c>
      <c r="B81" s="13">
        <v>0</v>
      </c>
      <c r="C81" s="14">
        <v>0</v>
      </c>
      <c r="D81" s="14">
        <v>0</v>
      </c>
      <c r="E81" s="15">
        <v>0</v>
      </c>
      <c r="F81" s="15">
        <v>0</v>
      </c>
      <c r="G81" s="15">
        <v>0</v>
      </c>
      <c r="H81" s="16">
        <v>0</v>
      </c>
      <c r="I81" s="17">
        <f>B81+D81-H81</f>
        <v>0</v>
      </c>
      <c r="J81" s="13">
        <v>2</v>
      </c>
      <c r="K81" s="14">
        <v>2</v>
      </c>
      <c r="L81" s="14">
        <v>1</v>
      </c>
      <c r="M81" s="15">
        <v>2</v>
      </c>
      <c r="N81" s="16">
        <f>J81+L81-M81</f>
        <v>1</v>
      </c>
      <c r="O81" s="13">
        <f>19+8</f>
        <v>27</v>
      </c>
      <c r="P81" s="14">
        <v>27</v>
      </c>
      <c r="Q81" s="15">
        <v>18</v>
      </c>
      <c r="R81" s="17">
        <f>O81-Q81</f>
        <v>9</v>
      </c>
      <c r="S81" s="13">
        <v>0</v>
      </c>
      <c r="T81" s="14">
        <v>0</v>
      </c>
      <c r="U81" s="15">
        <v>0</v>
      </c>
      <c r="V81" s="17">
        <f>S81-U81</f>
        <v>0</v>
      </c>
      <c r="W81" s="116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  <c r="GA81" s="77"/>
      <c r="GB81" s="77"/>
      <c r="GC81" s="77"/>
      <c r="GD81" s="77"/>
      <c r="GE81" s="77"/>
      <c r="GF81" s="77"/>
      <c r="GG81" s="77"/>
      <c r="GH81" s="77"/>
      <c r="GI81" s="77"/>
      <c r="GJ81" s="77"/>
      <c r="GK81" s="77"/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  <c r="HE81" s="77"/>
      <c r="HF81" s="77"/>
      <c r="HG81" s="77"/>
      <c r="HH81" s="77"/>
      <c r="HI81" s="77"/>
      <c r="HJ81" s="77"/>
      <c r="HK81" s="77"/>
      <c r="HL81" s="77"/>
      <c r="HM81" s="77"/>
      <c r="HN81" s="77"/>
      <c r="HO81" s="77"/>
      <c r="HP81" s="77"/>
      <c r="HQ81" s="77"/>
      <c r="HR81" s="77"/>
      <c r="HS81" s="77"/>
      <c r="HT81" s="77"/>
      <c r="HU81" s="77"/>
      <c r="HV81" s="77"/>
      <c r="HW81" s="77"/>
      <c r="HX81" s="77"/>
      <c r="HY81" s="77"/>
      <c r="HZ81" s="77"/>
      <c r="IA81" s="77"/>
      <c r="IB81" s="77"/>
      <c r="IC81" s="77"/>
      <c r="ID81" s="77"/>
      <c r="IE81" s="77"/>
      <c r="IF81" s="77"/>
      <c r="IG81" s="77"/>
      <c r="IH81" s="77"/>
      <c r="II81" s="77"/>
      <c r="IJ81" s="77"/>
      <c r="IK81" s="77"/>
      <c r="IL81" s="77"/>
      <c r="IM81" s="77"/>
      <c r="IN81" s="77"/>
      <c r="IO81" s="77"/>
      <c r="IP81" s="77"/>
      <c r="IQ81" s="77"/>
      <c r="IR81" s="77"/>
      <c r="IS81" s="77"/>
      <c r="IT81" s="77"/>
      <c r="IU81" s="77"/>
      <c r="IV81" s="77"/>
    </row>
    <row r="82" spans="1:256" ht="19.5" customHeight="1">
      <c r="A82" s="119" t="s">
        <v>106</v>
      </c>
      <c r="B82" s="13">
        <v>181</v>
      </c>
      <c r="C82" s="14">
        <v>181</v>
      </c>
      <c r="D82" s="14">
        <v>55</v>
      </c>
      <c r="E82" s="15">
        <v>0</v>
      </c>
      <c r="F82" s="15">
        <v>0</v>
      </c>
      <c r="G82" s="15">
        <v>0</v>
      </c>
      <c r="H82" s="16">
        <v>0</v>
      </c>
      <c r="I82" s="17">
        <f>B82+D82-H82</f>
        <v>236</v>
      </c>
      <c r="J82" s="13">
        <v>6</v>
      </c>
      <c r="K82" s="14">
        <v>6</v>
      </c>
      <c r="L82" s="14">
        <v>2</v>
      </c>
      <c r="M82" s="15">
        <v>0</v>
      </c>
      <c r="N82" s="16">
        <f>J82+L82-M82</f>
        <v>8</v>
      </c>
      <c r="O82" s="13">
        <v>40</v>
      </c>
      <c r="P82" s="14">
        <v>40</v>
      </c>
      <c r="Q82" s="15">
        <v>38</v>
      </c>
      <c r="R82" s="17">
        <f>O82-Q82</f>
        <v>2</v>
      </c>
      <c r="S82" s="13">
        <v>28</v>
      </c>
      <c r="T82" s="14">
        <v>28</v>
      </c>
      <c r="U82" s="15">
        <v>28</v>
      </c>
      <c r="V82" s="17">
        <f>S82-U82</f>
        <v>0</v>
      </c>
      <c r="W82" s="85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  <c r="IV82" s="68"/>
    </row>
    <row r="83" spans="1:256" s="1" customFormat="1" ht="19.5" customHeight="1" thickBot="1">
      <c r="A83" s="119" t="s">
        <v>107</v>
      </c>
      <c r="B83" s="20">
        <v>224</v>
      </c>
      <c r="C83" s="18">
        <v>224</v>
      </c>
      <c r="D83" s="18">
        <v>28</v>
      </c>
      <c r="E83" s="18">
        <v>0</v>
      </c>
      <c r="F83" s="18">
        <v>0</v>
      </c>
      <c r="G83" s="18">
        <v>60</v>
      </c>
      <c r="H83" s="18">
        <v>60</v>
      </c>
      <c r="I83" s="19">
        <f>B83+D83-H83</f>
        <v>192</v>
      </c>
      <c r="J83" s="20">
        <v>1</v>
      </c>
      <c r="K83" s="18">
        <v>1</v>
      </c>
      <c r="L83" s="18">
        <v>20</v>
      </c>
      <c r="M83" s="18">
        <v>0</v>
      </c>
      <c r="N83" s="19">
        <f>J83+L83-M83</f>
        <v>21</v>
      </c>
      <c r="O83" s="20">
        <v>44</v>
      </c>
      <c r="P83" s="18">
        <v>44</v>
      </c>
      <c r="Q83" s="18">
        <v>42</v>
      </c>
      <c r="R83" s="19">
        <f>O83-Q83</f>
        <v>2</v>
      </c>
      <c r="S83" s="20">
        <v>0</v>
      </c>
      <c r="T83" s="18">
        <v>0</v>
      </c>
      <c r="U83" s="18">
        <v>0</v>
      </c>
      <c r="V83" s="120">
        <f>S83-U83</f>
        <v>0</v>
      </c>
      <c r="W83" s="116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  <c r="FI83" s="77"/>
      <c r="FJ83" s="77"/>
      <c r="FK83" s="77"/>
      <c r="FL83" s="77"/>
      <c r="FM83" s="77"/>
      <c r="FN83" s="77"/>
      <c r="FO83" s="77"/>
      <c r="FP83" s="77"/>
      <c r="FQ83" s="77"/>
      <c r="FR83" s="77"/>
      <c r="FS83" s="77"/>
      <c r="FT83" s="77"/>
      <c r="FU83" s="77"/>
      <c r="FV83" s="77"/>
      <c r="FW83" s="77"/>
      <c r="FX83" s="77"/>
      <c r="FY83" s="77"/>
      <c r="FZ83" s="77"/>
      <c r="GA83" s="77"/>
      <c r="GB83" s="77"/>
      <c r="GC83" s="77"/>
      <c r="GD83" s="77"/>
      <c r="GE83" s="77"/>
      <c r="GF83" s="77"/>
      <c r="GG83" s="77"/>
      <c r="GH83" s="77"/>
      <c r="GI83" s="77"/>
      <c r="GJ83" s="77"/>
      <c r="GK83" s="77"/>
      <c r="GL83" s="77"/>
      <c r="GM83" s="77"/>
      <c r="GN83" s="77"/>
      <c r="GO83" s="77"/>
      <c r="GP83" s="77"/>
      <c r="GQ83" s="77"/>
      <c r="GR83" s="77"/>
      <c r="GS83" s="77"/>
      <c r="GT83" s="77"/>
      <c r="GU83" s="77"/>
      <c r="GV83" s="77"/>
      <c r="GW83" s="77"/>
      <c r="GX83" s="77"/>
      <c r="GY83" s="77"/>
      <c r="GZ83" s="77"/>
      <c r="HA83" s="77"/>
      <c r="HB83" s="77"/>
      <c r="HC83" s="77"/>
      <c r="HD83" s="77"/>
      <c r="HE83" s="77"/>
      <c r="HF83" s="77"/>
      <c r="HG83" s="77"/>
      <c r="HH83" s="77"/>
      <c r="HI83" s="77"/>
      <c r="HJ83" s="77"/>
      <c r="HK83" s="77"/>
      <c r="HL83" s="77"/>
      <c r="HM83" s="77"/>
      <c r="HN83" s="77"/>
      <c r="HO83" s="77"/>
      <c r="HP83" s="77"/>
      <c r="HQ83" s="77"/>
      <c r="HR83" s="77"/>
      <c r="HS83" s="77"/>
      <c r="HT83" s="77"/>
      <c r="HU83" s="77"/>
      <c r="HV83" s="77"/>
      <c r="HW83" s="77"/>
      <c r="HX83" s="77"/>
      <c r="HY83" s="77"/>
      <c r="HZ83" s="77"/>
      <c r="IA83" s="77"/>
      <c r="IB83" s="77"/>
      <c r="IC83" s="77"/>
      <c r="ID83" s="77"/>
      <c r="IE83" s="77"/>
      <c r="IF83" s="77"/>
      <c r="IG83" s="77"/>
      <c r="IH83" s="77"/>
      <c r="II83" s="77"/>
      <c r="IJ83" s="77"/>
      <c r="IK83" s="77"/>
      <c r="IL83" s="77"/>
      <c r="IM83" s="77"/>
      <c r="IN83" s="77"/>
      <c r="IO83" s="77"/>
      <c r="IP83" s="77"/>
      <c r="IQ83" s="77"/>
      <c r="IR83" s="77"/>
      <c r="IS83" s="77"/>
      <c r="IT83" s="77"/>
      <c r="IU83" s="77"/>
      <c r="IV83" s="77"/>
    </row>
    <row r="84" spans="1:256" ht="19.5" customHeight="1" thickBot="1">
      <c r="A84" s="67" t="s">
        <v>19</v>
      </c>
      <c r="B84" s="23">
        <f aca="true" t="shared" si="28" ref="B84:V84">SUM(B85:B85)</f>
        <v>1133</v>
      </c>
      <c r="C84" s="24">
        <f t="shared" si="28"/>
        <v>1133</v>
      </c>
      <c r="D84" s="24">
        <f t="shared" si="28"/>
        <v>837</v>
      </c>
      <c r="E84" s="24">
        <f t="shared" si="28"/>
        <v>80</v>
      </c>
      <c r="F84" s="24">
        <f t="shared" si="28"/>
        <v>0</v>
      </c>
      <c r="G84" s="24">
        <f t="shared" si="28"/>
        <v>725</v>
      </c>
      <c r="H84" s="21">
        <f t="shared" si="28"/>
        <v>1120</v>
      </c>
      <c r="I84" s="22">
        <f t="shared" si="28"/>
        <v>850</v>
      </c>
      <c r="J84" s="23">
        <f t="shared" si="28"/>
        <v>169</v>
      </c>
      <c r="K84" s="24">
        <f t="shared" si="28"/>
        <v>169</v>
      </c>
      <c r="L84" s="24">
        <f t="shared" si="28"/>
        <v>23</v>
      </c>
      <c r="M84" s="24">
        <f t="shared" si="28"/>
        <v>0</v>
      </c>
      <c r="N84" s="22">
        <f t="shared" si="28"/>
        <v>192</v>
      </c>
      <c r="O84" s="23">
        <f t="shared" si="28"/>
        <v>120</v>
      </c>
      <c r="P84" s="24">
        <f t="shared" si="28"/>
        <v>120</v>
      </c>
      <c r="Q84" s="24">
        <f t="shared" si="28"/>
        <v>98</v>
      </c>
      <c r="R84" s="22">
        <f t="shared" si="28"/>
        <v>22</v>
      </c>
      <c r="S84" s="23">
        <f t="shared" si="28"/>
        <v>259</v>
      </c>
      <c r="T84" s="24">
        <f t="shared" si="28"/>
        <v>259</v>
      </c>
      <c r="U84" s="24">
        <f t="shared" si="28"/>
        <v>259</v>
      </c>
      <c r="V84" s="22">
        <f t="shared" si="28"/>
        <v>0</v>
      </c>
      <c r="W84" s="121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  <c r="IV84" s="68"/>
    </row>
    <row r="85" spans="1:256" s="1" customFormat="1" ht="19.5" customHeight="1" thickBot="1">
      <c r="A85" s="119" t="s">
        <v>77</v>
      </c>
      <c r="B85" s="30">
        <v>1133</v>
      </c>
      <c r="C85" s="28">
        <v>1133</v>
      </c>
      <c r="D85" s="29">
        <v>837</v>
      </c>
      <c r="E85" s="122">
        <v>80</v>
      </c>
      <c r="F85" s="29">
        <v>0</v>
      </c>
      <c r="G85" s="30">
        <v>725</v>
      </c>
      <c r="H85" s="25">
        <f>G85+F85+E85+315</f>
        <v>1120</v>
      </c>
      <c r="I85" s="26">
        <f>B85+D85-H85</f>
        <v>850</v>
      </c>
      <c r="J85" s="27">
        <v>169</v>
      </c>
      <c r="K85" s="28">
        <v>169</v>
      </c>
      <c r="L85" s="29">
        <v>23</v>
      </c>
      <c r="M85" s="30">
        <v>0</v>
      </c>
      <c r="N85" s="123">
        <f>J85+L85-M85</f>
        <v>192</v>
      </c>
      <c r="O85" s="124">
        <f>75+45</f>
        <v>120</v>
      </c>
      <c r="P85" s="28">
        <f>75+45</f>
        <v>120</v>
      </c>
      <c r="Q85" s="30">
        <v>98</v>
      </c>
      <c r="R85" s="123">
        <f>O85-Q85</f>
        <v>22</v>
      </c>
      <c r="S85" s="124">
        <f>92+167</f>
        <v>259</v>
      </c>
      <c r="T85" s="30">
        <f>92+167</f>
        <v>259</v>
      </c>
      <c r="U85" s="30">
        <v>259</v>
      </c>
      <c r="V85" s="123">
        <f>S85-U85</f>
        <v>0</v>
      </c>
      <c r="HJ85" s="77"/>
      <c r="HK85" s="77"/>
      <c r="HL85" s="77"/>
      <c r="HM85" s="77"/>
      <c r="HN85" s="77"/>
      <c r="HO85" s="77"/>
      <c r="HP85" s="77"/>
      <c r="HQ85" s="77"/>
      <c r="HR85" s="77"/>
      <c r="HS85" s="77"/>
      <c r="HT85" s="77"/>
      <c r="HU85" s="77"/>
      <c r="HV85" s="77"/>
      <c r="HW85" s="77"/>
      <c r="HX85" s="77"/>
      <c r="HY85" s="77"/>
      <c r="HZ85" s="77"/>
      <c r="IA85" s="77"/>
      <c r="IB85" s="77"/>
      <c r="IC85" s="77"/>
      <c r="ID85" s="77"/>
      <c r="IE85" s="77"/>
      <c r="IF85" s="77"/>
      <c r="IG85" s="77"/>
      <c r="IH85" s="77"/>
      <c r="II85" s="77"/>
      <c r="IJ85" s="77"/>
      <c r="IK85" s="77"/>
      <c r="IL85" s="77"/>
      <c r="IM85" s="77"/>
      <c r="IN85" s="77"/>
      <c r="IO85" s="77"/>
      <c r="IP85" s="77"/>
      <c r="IQ85" s="77"/>
      <c r="IR85" s="77"/>
      <c r="IS85" s="77"/>
      <c r="IT85" s="77"/>
      <c r="IU85" s="77"/>
      <c r="IV85" s="77"/>
    </row>
    <row r="86" spans="1:35" ht="19.5" customHeight="1" thickBot="1">
      <c r="A86" s="65" t="s">
        <v>32</v>
      </c>
      <c r="B86" s="33">
        <f>SUM(B87)</f>
        <v>315</v>
      </c>
      <c r="C86" s="31">
        <f aca="true" t="shared" si="29" ref="C86:V86">SUM(C87)</f>
        <v>315</v>
      </c>
      <c r="D86" s="31">
        <f t="shared" si="29"/>
        <v>127</v>
      </c>
      <c r="E86" s="31">
        <f t="shared" si="29"/>
        <v>0</v>
      </c>
      <c r="F86" s="31">
        <f t="shared" si="29"/>
        <v>0</v>
      </c>
      <c r="G86" s="31">
        <f t="shared" si="29"/>
        <v>0</v>
      </c>
      <c r="H86" s="31">
        <f t="shared" si="29"/>
        <v>0</v>
      </c>
      <c r="I86" s="32">
        <f t="shared" si="29"/>
        <v>442</v>
      </c>
      <c r="J86" s="33">
        <f t="shared" si="29"/>
        <v>2304</v>
      </c>
      <c r="K86" s="31">
        <f t="shared" si="29"/>
        <v>2304</v>
      </c>
      <c r="L86" s="31">
        <f t="shared" si="29"/>
        <v>2226</v>
      </c>
      <c r="M86" s="31">
        <f t="shared" si="29"/>
        <v>1541</v>
      </c>
      <c r="N86" s="32">
        <f t="shared" si="29"/>
        <v>2989</v>
      </c>
      <c r="O86" s="33">
        <f t="shared" si="29"/>
        <v>54</v>
      </c>
      <c r="P86" s="31">
        <f t="shared" si="29"/>
        <v>54</v>
      </c>
      <c r="Q86" s="31">
        <f t="shared" si="29"/>
        <v>40</v>
      </c>
      <c r="R86" s="32">
        <f t="shared" si="29"/>
        <v>14</v>
      </c>
      <c r="S86" s="33">
        <f t="shared" si="29"/>
        <v>169</v>
      </c>
      <c r="T86" s="31">
        <f t="shared" si="29"/>
        <v>169</v>
      </c>
      <c r="U86" s="31">
        <f t="shared" si="29"/>
        <v>60</v>
      </c>
      <c r="V86" s="32">
        <f t="shared" si="29"/>
        <v>109</v>
      </c>
      <c r="W86" s="85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</row>
    <row r="87" spans="1:35" s="127" customFormat="1" ht="25.5" customHeight="1" thickBot="1">
      <c r="A87" s="143" t="s">
        <v>110</v>
      </c>
      <c r="B87" s="150">
        <v>315</v>
      </c>
      <c r="C87" s="147">
        <v>315</v>
      </c>
      <c r="D87" s="147">
        <v>127</v>
      </c>
      <c r="E87" s="147">
        <v>0</v>
      </c>
      <c r="F87" s="147">
        <v>0</v>
      </c>
      <c r="G87" s="147">
        <v>0</v>
      </c>
      <c r="H87" s="147">
        <v>0</v>
      </c>
      <c r="I87" s="148">
        <f>B87+D87-H87</f>
        <v>442</v>
      </c>
      <c r="J87" s="150">
        <f>763+1541</f>
        <v>2304</v>
      </c>
      <c r="K87" s="146">
        <f>763+1541</f>
        <v>2304</v>
      </c>
      <c r="L87" s="146">
        <v>2226</v>
      </c>
      <c r="M87" s="147">
        <v>1541</v>
      </c>
      <c r="N87" s="149">
        <f>J87+L87-M87</f>
        <v>2989</v>
      </c>
      <c r="O87" s="150">
        <f>23+31</f>
        <v>54</v>
      </c>
      <c r="P87" s="146">
        <f>23+31</f>
        <v>54</v>
      </c>
      <c r="Q87" s="147">
        <v>40</v>
      </c>
      <c r="R87" s="148">
        <f>O87-Q87</f>
        <v>14</v>
      </c>
      <c r="S87" s="150">
        <v>169</v>
      </c>
      <c r="T87" s="147">
        <v>169</v>
      </c>
      <c r="U87" s="147">
        <v>60</v>
      </c>
      <c r="V87" s="148">
        <f>S87-U87</f>
        <v>109</v>
      </c>
      <c r="W87" s="125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</row>
    <row r="88" spans="1:35" ht="19.5" customHeight="1" thickBot="1">
      <c r="A88" s="65" t="s">
        <v>20</v>
      </c>
      <c r="B88" s="40">
        <f>SUM(B89:B97)</f>
        <v>3037</v>
      </c>
      <c r="C88" s="38">
        <f aca="true" t="shared" si="30" ref="C88:V88">SUM(C89:C97)</f>
        <v>3037</v>
      </c>
      <c r="D88" s="38">
        <f t="shared" si="30"/>
        <v>2315</v>
      </c>
      <c r="E88" s="38">
        <f t="shared" si="30"/>
        <v>580</v>
      </c>
      <c r="F88" s="38">
        <f t="shared" si="30"/>
        <v>0</v>
      </c>
      <c r="G88" s="38">
        <f t="shared" si="30"/>
        <v>800</v>
      </c>
      <c r="H88" s="38">
        <f t="shared" si="30"/>
        <v>2326</v>
      </c>
      <c r="I88" s="39">
        <f t="shared" si="30"/>
        <v>3026</v>
      </c>
      <c r="J88" s="40">
        <f t="shared" si="30"/>
        <v>2021</v>
      </c>
      <c r="K88" s="38">
        <f t="shared" si="30"/>
        <v>2021</v>
      </c>
      <c r="L88" s="38">
        <f t="shared" si="30"/>
        <v>774</v>
      </c>
      <c r="M88" s="38">
        <f t="shared" si="30"/>
        <v>1094</v>
      </c>
      <c r="N88" s="39">
        <f t="shared" si="30"/>
        <v>1701</v>
      </c>
      <c r="O88" s="40">
        <f t="shared" si="30"/>
        <v>1048</v>
      </c>
      <c r="P88" s="38">
        <f t="shared" si="30"/>
        <v>1028</v>
      </c>
      <c r="Q88" s="38">
        <f t="shared" si="30"/>
        <v>690</v>
      </c>
      <c r="R88" s="39">
        <f t="shared" si="30"/>
        <v>358</v>
      </c>
      <c r="S88" s="40">
        <f t="shared" si="30"/>
        <v>79</v>
      </c>
      <c r="T88" s="38">
        <f t="shared" si="30"/>
        <v>79</v>
      </c>
      <c r="U88" s="38">
        <f t="shared" si="30"/>
        <v>38</v>
      </c>
      <c r="V88" s="39">
        <f t="shared" si="30"/>
        <v>41</v>
      </c>
      <c r="W88" s="85"/>
      <c r="X88" s="68"/>
      <c r="Y88" s="68"/>
      <c r="Z88" s="68"/>
      <c r="AA88" s="77"/>
      <c r="AB88" s="68"/>
      <c r="AC88" s="68"/>
      <c r="AD88" s="68"/>
      <c r="AE88" s="68"/>
      <c r="AF88" s="68"/>
      <c r="AG88" s="68"/>
      <c r="AH88" s="68"/>
      <c r="AI88" s="68"/>
    </row>
    <row r="89" spans="1:35" s="1" customFormat="1" ht="19.5" customHeight="1">
      <c r="A89" s="128" t="s">
        <v>96</v>
      </c>
      <c r="B89" s="42">
        <v>147</v>
      </c>
      <c r="C89" s="41">
        <v>147</v>
      </c>
      <c r="D89" s="41">
        <f>324-54</f>
        <v>270</v>
      </c>
      <c r="E89" s="41">
        <v>0</v>
      </c>
      <c r="F89" s="41">
        <v>0</v>
      </c>
      <c r="G89" s="41">
        <v>100</v>
      </c>
      <c r="H89" s="41">
        <v>207</v>
      </c>
      <c r="I89" s="74">
        <f aca="true" t="shared" si="31" ref="I89:I97">B89+D89-H89</f>
        <v>210</v>
      </c>
      <c r="J89" s="42">
        <f>54+280</f>
        <v>334</v>
      </c>
      <c r="K89" s="41">
        <v>334</v>
      </c>
      <c r="L89" s="41">
        <v>309</v>
      </c>
      <c r="M89" s="41">
        <f>354-54</f>
        <v>300</v>
      </c>
      <c r="N89" s="74">
        <f aca="true" t="shared" si="32" ref="N89:N96">J89+L89-M89</f>
        <v>343</v>
      </c>
      <c r="O89" s="42">
        <v>71</v>
      </c>
      <c r="P89" s="41">
        <f>6+61</f>
        <v>67</v>
      </c>
      <c r="Q89" s="41">
        <v>31</v>
      </c>
      <c r="R89" s="74">
        <f>O89-Q89</f>
        <v>40</v>
      </c>
      <c r="S89" s="42">
        <v>23</v>
      </c>
      <c r="T89" s="41">
        <v>23</v>
      </c>
      <c r="U89" s="41">
        <v>0</v>
      </c>
      <c r="V89" s="74">
        <f aca="true" t="shared" si="33" ref="V89:V96">S89-U89</f>
        <v>23</v>
      </c>
      <c r="W89" s="116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</row>
    <row r="90" spans="1:35" s="1" customFormat="1" ht="19.5" customHeight="1">
      <c r="A90" s="107" t="s">
        <v>95</v>
      </c>
      <c r="B90" s="13">
        <v>307</v>
      </c>
      <c r="C90" s="15">
        <v>307</v>
      </c>
      <c r="D90" s="15">
        <v>378</v>
      </c>
      <c r="E90" s="15">
        <v>580</v>
      </c>
      <c r="F90" s="15">
        <v>0</v>
      </c>
      <c r="G90" s="15">
        <v>0</v>
      </c>
      <c r="H90" s="15">
        <f>E90+80</f>
        <v>660</v>
      </c>
      <c r="I90" s="17">
        <f t="shared" si="31"/>
        <v>25</v>
      </c>
      <c r="J90" s="13">
        <v>68</v>
      </c>
      <c r="K90" s="15">
        <v>68</v>
      </c>
      <c r="L90" s="15">
        <v>0</v>
      </c>
      <c r="M90" s="15">
        <v>0</v>
      </c>
      <c r="N90" s="17">
        <f t="shared" si="32"/>
        <v>68</v>
      </c>
      <c r="O90" s="13">
        <f>43+194</f>
        <v>237</v>
      </c>
      <c r="P90" s="15">
        <v>237</v>
      </c>
      <c r="Q90" s="15">
        <v>50</v>
      </c>
      <c r="R90" s="17">
        <f aca="true" t="shared" si="34" ref="R90:R97">O90-Q90</f>
        <v>187</v>
      </c>
      <c r="S90" s="13">
        <v>0</v>
      </c>
      <c r="T90" s="15">
        <v>0</v>
      </c>
      <c r="U90" s="15">
        <v>0</v>
      </c>
      <c r="V90" s="17">
        <f t="shared" si="33"/>
        <v>0</v>
      </c>
      <c r="W90" s="116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</row>
    <row r="91" spans="1:35" s="1" customFormat="1" ht="19.5" customHeight="1">
      <c r="A91" s="69" t="s">
        <v>97</v>
      </c>
      <c r="B91" s="5">
        <v>721</v>
      </c>
      <c r="C91" s="7">
        <v>721</v>
      </c>
      <c r="D91" s="15">
        <v>428</v>
      </c>
      <c r="E91" s="7">
        <v>0</v>
      </c>
      <c r="F91" s="15">
        <v>0</v>
      </c>
      <c r="G91" s="15">
        <v>400</v>
      </c>
      <c r="H91" s="15">
        <f>E91+G91+208</f>
        <v>608</v>
      </c>
      <c r="I91" s="141">
        <f t="shared" si="31"/>
        <v>541</v>
      </c>
      <c r="J91" s="13">
        <f>68+311</f>
        <v>379</v>
      </c>
      <c r="K91" s="15">
        <v>379</v>
      </c>
      <c r="L91" s="15">
        <v>119</v>
      </c>
      <c r="M91" s="15">
        <v>200</v>
      </c>
      <c r="N91" s="17">
        <f t="shared" si="32"/>
        <v>298</v>
      </c>
      <c r="O91" s="13">
        <f>58+21</f>
        <v>79</v>
      </c>
      <c r="P91" s="15">
        <f>15+58</f>
        <v>73</v>
      </c>
      <c r="Q91" s="15">
        <v>58</v>
      </c>
      <c r="R91" s="17">
        <f t="shared" si="34"/>
        <v>21</v>
      </c>
      <c r="S91" s="13">
        <v>27</v>
      </c>
      <c r="T91" s="15">
        <v>27</v>
      </c>
      <c r="U91" s="15">
        <v>20</v>
      </c>
      <c r="V91" s="17">
        <f t="shared" si="33"/>
        <v>7</v>
      </c>
      <c r="W91" s="116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</row>
    <row r="92" spans="1:35" s="1" customFormat="1" ht="19.5" customHeight="1">
      <c r="A92" s="107" t="s">
        <v>98</v>
      </c>
      <c r="B92" s="13">
        <v>219</v>
      </c>
      <c r="C92" s="15">
        <v>219</v>
      </c>
      <c r="D92" s="15">
        <v>348</v>
      </c>
      <c r="E92" s="15">
        <v>0</v>
      </c>
      <c r="F92" s="15">
        <v>0</v>
      </c>
      <c r="G92" s="15">
        <v>0</v>
      </c>
      <c r="H92" s="15">
        <v>160</v>
      </c>
      <c r="I92" s="17">
        <f t="shared" si="31"/>
        <v>407</v>
      </c>
      <c r="J92" s="13">
        <v>153</v>
      </c>
      <c r="K92" s="15">
        <v>153</v>
      </c>
      <c r="L92" s="15">
        <v>53</v>
      </c>
      <c r="M92" s="15">
        <v>206</v>
      </c>
      <c r="N92" s="17">
        <f t="shared" si="32"/>
        <v>0</v>
      </c>
      <c r="O92" s="13">
        <f>52+60</f>
        <v>112</v>
      </c>
      <c r="P92" s="15">
        <v>112</v>
      </c>
      <c r="Q92" s="15">
        <v>112</v>
      </c>
      <c r="R92" s="17">
        <f t="shared" si="34"/>
        <v>0</v>
      </c>
      <c r="S92" s="13">
        <v>8</v>
      </c>
      <c r="T92" s="15">
        <v>8</v>
      </c>
      <c r="U92" s="15">
        <v>8</v>
      </c>
      <c r="V92" s="17">
        <f t="shared" si="33"/>
        <v>0</v>
      </c>
      <c r="W92" s="116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</row>
    <row r="93" spans="1:35" s="1" customFormat="1" ht="19.5" customHeight="1">
      <c r="A93" s="106" t="s">
        <v>99</v>
      </c>
      <c r="B93" s="13">
        <v>556</v>
      </c>
      <c r="C93" s="15">
        <v>556</v>
      </c>
      <c r="D93" s="15">
        <v>346</v>
      </c>
      <c r="E93" s="15">
        <v>0</v>
      </c>
      <c r="F93" s="15">
        <v>0</v>
      </c>
      <c r="G93" s="15">
        <v>300</v>
      </c>
      <c r="H93" s="15">
        <f>300+163</f>
        <v>463</v>
      </c>
      <c r="I93" s="17">
        <f t="shared" si="31"/>
        <v>439</v>
      </c>
      <c r="J93" s="13">
        <f>3+148</f>
        <v>151</v>
      </c>
      <c r="K93" s="15">
        <v>151</v>
      </c>
      <c r="L93" s="15">
        <v>1</v>
      </c>
      <c r="M93" s="15">
        <v>0</v>
      </c>
      <c r="N93" s="17">
        <f t="shared" si="32"/>
        <v>152</v>
      </c>
      <c r="O93" s="13">
        <f>121+60</f>
        <v>181</v>
      </c>
      <c r="P93" s="15">
        <v>181</v>
      </c>
      <c r="Q93" s="15">
        <v>176</v>
      </c>
      <c r="R93" s="17">
        <f t="shared" si="34"/>
        <v>5</v>
      </c>
      <c r="S93" s="13">
        <v>2</v>
      </c>
      <c r="T93" s="15">
        <v>2</v>
      </c>
      <c r="U93" s="15">
        <v>0</v>
      </c>
      <c r="V93" s="17">
        <f t="shared" si="33"/>
        <v>2</v>
      </c>
      <c r="W93" s="116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</row>
    <row r="94" spans="1:35" s="1" customFormat="1" ht="19.5" customHeight="1">
      <c r="A94" s="107" t="s">
        <v>100</v>
      </c>
      <c r="B94" s="13">
        <v>401</v>
      </c>
      <c r="C94" s="15">
        <v>401</v>
      </c>
      <c r="D94" s="15">
        <v>67</v>
      </c>
      <c r="E94" s="15">
        <v>0</v>
      </c>
      <c r="F94" s="15">
        <v>0</v>
      </c>
      <c r="G94" s="15">
        <v>0</v>
      </c>
      <c r="H94" s="15">
        <v>15</v>
      </c>
      <c r="I94" s="17">
        <f t="shared" si="31"/>
        <v>453</v>
      </c>
      <c r="J94" s="13">
        <f>11+353</f>
        <v>364</v>
      </c>
      <c r="K94" s="15">
        <v>364</v>
      </c>
      <c r="L94" s="15">
        <v>23</v>
      </c>
      <c r="M94" s="15">
        <v>28</v>
      </c>
      <c r="N94" s="17">
        <f t="shared" si="32"/>
        <v>359</v>
      </c>
      <c r="O94" s="13">
        <v>38</v>
      </c>
      <c r="P94" s="15">
        <v>38</v>
      </c>
      <c r="Q94" s="15">
        <v>37</v>
      </c>
      <c r="R94" s="17">
        <f t="shared" si="34"/>
        <v>1</v>
      </c>
      <c r="S94" s="13">
        <v>0</v>
      </c>
      <c r="T94" s="15">
        <v>0</v>
      </c>
      <c r="U94" s="15">
        <v>0</v>
      </c>
      <c r="V94" s="17">
        <f t="shared" si="33"/>
        <v>0</v>
      </c>
      <c r="W94" s="116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</row>
    <row r="95" spans="1:35" s="1" customFormat="1" ht="19.5" customHeight="1">
      <c r="A95" s="107" t="s">
        <v>101</v>
      </c>
      <c r="B95" s="13">
        <v>460</v>
      </c>
      <c r="C95" s="15">
        <v>460</v>
      </c>
      <c r="D95" s="15">
        <v>229</v>
      </c>
      <c r="E95" s="15">
        <v>0</v>
      </c>
      <c r="F95" s="15">
        <v>0</v>
      </c>
      <c r="G95" s="15">
        <v>0</v>
      </c>
      <c r="H95" s="15">
        <v>125</v>
      </c>
      <c r="I95" s="17">
        <f t="shared" si="31"/>
        <v>564</v>
      </c>
      <c r="J95" s="13">
        <f>38+244</f>
        <v>282</v>
      </c>
      <c r="K95" s="15">
        <v>282</v>
      </c>
      <c r="L95" s="15">
        <v>154</v>
      </c>
      <c r="M95" s="15">
        <v>130</v>
      </c>
      <c r="N95" s="17">
        <f t="shared" si="32"/>
        <v>306</v>
      </c>
      <c r="O95" s="13">
        <f>43+146</f>
        <v>189</v>
      </c>
      <c r="P95" s="15">
        <v>189</v>
      </c>
      <c r="Q95" s="15">
        <v>100</v>
      </c>
      <c r="R95" s="17">
        <f t="shared" si="34"/>
        <v>89</v>
      </c>
      <c r="S95" s="13">
        <v>9</v>
      </c>
      <c r="T95" s="15">
        <v>9</v>
      </c>
      <c r="U95" s="15">
        <v>0</v>
      </c>
      <c r="V95" s="17">
        <f t="shared" si="33"/>
        <v>9</v>
      </c>
      <c r="W95" s="116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</row>
    <row r="96" spans="1:35" s="1" customFormat="1" ht="19.5" customHeight="1">
      <c r="A96" s="107" t="s">
        <v>113</v>
      </c>
      <c r="B96" s="13">
        <v>39</v>
      </c>
      <c r="C96" s="15">
        <v>39</v>
      </c>
      <c r="D96" s="15">
        <v>75</v>
      </c>
      <c r="E96" s="15">
        <v>0</v>
      </c>
      <c r="F96" s="15">
        <v>0</v>
      </c>
      <c r="G96" s="15">
        <v>0</v>
      </c>
      <c r="H96" s="15">
        <v>15</v>
      </c>
      <c r="I96" s="17">
        <f t="shared" si="31"/>
        <v>99</v>
      </c>
      <c r="J96" s="13">
        <v>46</v>
      </c>
      <c r="K96" s="15">
        <v>46</v>
      </c>
      <c r="L96" s="15">
        <v>52</v>
      </c>
      <c r="M96" s="15">
        <v>50</v>
      </c>
      <c r="N96" s="17">
        <f t="shared" si="32"/>
        <v>48</v>
      </c>
      <c r="O96" s="13">
        <f>29+28</f>
        <v>57</v>
      </c>
      <c r="P96" s="15">
        <v>57</v>
      </c>
      <c r="Q96" s="15">
        <v>42</v>
      </c>
      <c r="R96" s="17">
        <f t="shared" si="34"/>
        <v>15</v>
      </c>
      <c r="S96" s="13">
        <v>0</v>
      </c>
      <c r="T96" s="15">
        <v>0</v>
      </c>
      <c r="U96" s="15">
        <v>0</v>
      </c>
      <c r="V96" s="17">
        <f t="shared" si="33"/>
        <v>0</v>
      </c>
      <c r="W96" s="116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</row>
    <row r="97" spans="1:35" s="1" customFormat="1" ht="19.5" customHeight="1" thickBot="1">
      <c r="A97" s="129" t="s">
        <v>102</v>
      </c>
      <c r="B97" s="20">
        <v>187</v>
      </c>
      <c r="C97" s="18">
        <v>187</v>
      </c>
      <c r="D97" s="18">
        <v>174</v>
      </c>
      <c r="E97" s="18">
        <v>0</v>
      </c>
      <c r="F97" s="18">
        <v>0</v>
      </c>
      <c r="G97" s="18">
        <v>0</v>
      </c>
      <c r="H97" s="18">
        <v>73</v>
      </c>
      <c r="I97" s="120">
        <f t="shared" si="31"/>
        <v>288</v>
      </c>
      <c r="J97" s="20">
        <f>129+115</f>
        <v>244</v>
      </c>
      <c r="K97" s="18">
        <v>244</v>
      </c>
      <c r="L97" s="18">
        <v>63</v>
      </c>
      <c r="M97" s="18">
        <v>180</v>
      </c>
      <c r="N97" s="120">
        <f>J97+L97-M97</f>
        <v>127</v>
      </c>
      <c r="O97" s="20">
        <f>41+43</f>
        <v>84</v>
      </c>
      <c r="P97" s="18">
        <f>31+43</f>
        <v>74</v>
      </c>
      <c r="Q97" s="18">
        <v>84</v>
      </c>
      <c r="R97" s="120">
        <f t="shared" si="34"/>
        <v>0</v>
      </c>
      <c r="S97" s="20">
        <v>10</v>
      </c>
      <c r="T97" s="18">
        <v>10</v>
      </c>
      <c r="U97" s="18">
        <v>10</v>
      </c>
      <c r="V97" s="120">
        <f>S97-U97</f>
        <v>0</v>
      </c>
      <c r="W97" s="130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</row>
    <row r="98" spans="1:35" s="1" customFormat="1" ht="12.75">
      <c r="A98" s="131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132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</row>
    <row r="99" spans="1:34" ht="24" customHeight="1" thickBot="1">
      <c r="A99" s="133" t="s">
        <v>93</v>
      </c>
      <c r="B99" s="61"/>
      <c r="C99" s="61"/>
      <c r="D99" s="61"/>
      <c r="E99" s="61"/>
      <c r="F99" s="61"/>
      <c r="G99" s="61"/>
      <c r="H99" s="61"/>
      <c r="I99" s="61"/>
      <c r="J99" s="61"/>
      <c r="K99" s="134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121"/>
      <c r="X99" s="66"/>
      <c r="Y99" s="135"/>
      <c r="Z99" s="136"/>
      <c r="AA99" s="135"/>
      <c r="AC99" s="66"/>
      <c r="AH99" s="66"/>
    </row>
    <row r="100" spans="1:34" ht="20.25" customHeight="1" thickBot="1">
      <c r="A100" s="137" t="s">
        <v>0</v>
      </c>
      <c r="B100" s="138"/>
      <c r="C100" s="187" t="s">
        <v>81</v>
      </c>
      <c r="D100" s="188"/>
      <c r="E100" s="61"/>
      <c r="F100" s="61"/>
      <c r="G100" s="61"/>
      <c r="H100" s="61"/>
      <c r="I100" s="61"/>
      <c r="J100" s="61"/>
      <c r="K100" s="134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121"/>
      <c r="X100" s="66"/>
      <c r="Y100" s="135"/>
      <c r="Z100" s="136"/>
      <c r="AA100" s="135"/>
      <c r="AC100" s="66"/>
      <c r="AH100" s="66"/>
    </row>
    <row r="101" spans="1:34" ht="20.25" customHeight="1" thickBot="1">
      <c r="A101" s="139" t="s">
        <v>112</v>
      </c>
      <c r="B101" s="140"/>
      <c r="C101" s="179">
        <v>800</v>
      </c>
      <c r="D101" s="180"/>
      <c r="E101" s="61"/>
      <c r="F101" s="61"/>
      <c r="G101" s="61"/>
      <c r="H101" s="61"/>
      <c r="I101" s="61"/>
      <c r="J101" s="61"/>
      <c r="K101" s="134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121"/>
      <c r="X101" s="66"/>
      <c r="Y101" s="135"/>
      <c r="Z101" s="136"/>
      <c r="AA101" s="135"/>
      <c r="AC101" s="66"/>
      <c r="AH101" s="66"/>
    </row>
  </sheetData>
  <sheetProtection/>
  <mergeCells count="31">
    <mergeCell ref="T2:V2"/>
    <mergeCell ref="L6:L8"/>
    <mergeCell ref="C100:D100"/>
    <mergeCell ref="N6:N8"/>
    <mergeCell ref="I6:I8"/>
    <mergeCell ref="T6:T8"/>
    <mergeCell ref="A3:V3"/>
    <mergeCell ref="O5:R5"/>
    <mergeCell ref="R6:R8"/>
    <mergeCell ref="C101:D101"/>
    <mergeCell ref="B6:B8"/>
    <mergeCell ref="O6:O8"/>
    <mergeCell ref="C6:C8"/>
    <mergeCell ref="P6:P8"/>
    <mergeCell ref="A5:A8"/>
    <mergeCell ref="E7:E8"/>
    <mergeCell ref="G7:G8"/>
    <mergeCell ref="M6:M8"/>
    <mergeCell ref="H7:H8"/>
    <mergeCell ref="V6:V8"/>
    <mergeCell ref="F7:F8"/>
    <mergeCell ref="B5:I5"/>
    <mergeCell ref="J5:N5"/>
    <mergeCell ref="E6:H6"/>
    <mergeCell ref="S5:V5"/>
    <mergeCell ref="K6:K8"/>
    <mergeCell ref="D6:D8"/>
    <mergeCell ref="U6:U8"/>
    <mergeCell ref="S6:S8"/>
    <mergeCell ref="J6:J8"/>
    <mergeCell ref="Q6:Q8"/>
  </mergeCells>
  <printOptions horizontalCentered="1" verticalCentered="1"/>
  <pageMargins left="0.2755905511811024" right="0.2755905511811024" top="0.5905511811023623" bottom="0.5905511811023623" header="0.11811023622047245" footer="0.11811023622047245"/>
  <pageSetup firstPageNumber="1" useFirstPageNumber="1" fitToHeight="4" fitToWidth="1" horizontalDpi="600" verticalDpi="600" orientation="landscape" paperSize="8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Jakoubková Marie</cp:lastModifiedBy>
  <cp:lastPrinted>2013-03-18T07:46:30Z</cp:lastPrinted>
  <dcterms:created xsi:type="dcterms:W3CDTF">2002-01-30T15:48:46Z</dcterms:created>
  <dcterms:modified xsi:type="dcterms:W3CDTF">2013-03-21T18:16:48Z</dcterms:modified>
  <cp:category/>
  <cp:version/>
  <cp:contentType/>
  <cp:contentStatus/>
</cp:coreProperties>
</file>