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90" windowHeight="3840" tabRatio="622" firstSheet="2" activeTab="2"/>
  </bookViews>
  <sheets>
    <sheet name="RK-12-2012-31, př. 2" sheetId="1" r:id="rId1"/>
    <sheet name="RK-12-2012-31, př. 3" sheetId="2" r:id="rId2"/>
    <sheet name="        RK-38-2012-44, př. 1  " sheetId="3" r:id="rId3"/>
  </sheets>
  <definedNames>
    <definedName name="_xlnm.Print_Titles" localSheetId="0">'RK-12-2012-31, př. 2'!$3:$8</definedName>
    <definedName name="_xlnm.Print_Titles" localSheetId="1">'RK-12-2012-31, př. 3'!$3:$5</definedName>
    <definedName name="_xlnm.Print_Area" localSheetId="2">'        RK-38-2012-44, př. 1  '!$A$1:$P$24</definedName>
    <definedName name="_xlnm.Print_Area" localSheetId="0">'RK-12-2012-31, př. 2'!$A$1:$V$99</definedName>
    <definedName name="_xlnm.Print_Area" localSheetId="1">'RK-12-2012-31, př. 3'!$A$1:$V$111</definedName>
  </definedNames>
  <calcPr fullCalcOnLoad="1"/>
</workbook>
</file>

<file path=xl/sharedStrings.xml><?xml version="1.0" encoding="utf-8"?>
<sst xmlns="http://schemas.openxmlformats.org/spreadsheetml/2006/main" count="358" uniqueCount="236">
  <si>
    <t>běžná údržba a opravy majetku 80 tis. Kč</t>
  </si>
  <si>
    <t>prezentační technika (do tří učeben - cca 53 tis./učebna) 160 tis. Kč</t>
  </si>
  <si>
    <t>rekonstrukce datových sítí 100 tis. Kč, montáž radiátorů v učebnách 30 tis. Kč, nátěry a výmalba 80 tis. Kč, opravy a údržba 259 tis. Kč, oprava vzduchotechniky v tělocvičně 30 tis. Kč, oprava komína 40 tis. Kč</t>
  </si>
  <si>
    <t>Organizace</t>
  </si>
  <si>
    <t>Gymnázium Chotěboř</t>
  </si>
  <si>
    <t>Gymnázium Jihlava</t>
  </si>
  <si>
    <t>Gymnázium Pacov</t>
  </si>
  <si>
    <t>Gymnázium Pelhřimov</t>
  </si>
  <si>
    <t>Gymnázium Třebíč</t>
  </si>
  <si>
    <t>/v tis. Kč/</t>
  </si>
  <si>
    <t>Investiční fond</t>
  </si>
  <si>
    <t>Rezervní fond</t>
  </si>
  <si>
    <t>FKSP</t>
  </si>
  <si>
    <t>Fond odměn</t>
  </si>
  <si>
    <t>Použití</t>
  </si>
  <si>
    <t xml:space="preserve"> </t>
  </si>
  <si>
    <t>§ 3122 - celkem</t>
  </si>
  <si>
    <t>§ 3123 - celkem</t>
  </si>
  <si>
    <t>§ 3125 - celkem</t>
  </si>
  <si>
    <t>§ 3146 - celkem</t>
  </si>
  <si>
    <t>PPP Jihlava</t>
  </si>
  <si>
    <t>PPP Pelhřimov</t>
  </si>
  <si>
    <t>PPP Třebíč</t>
  </si>
  <si>
    <t>§ 3147 - celkem</t>
  </si>
  <si>
    <t>§ 4322 - celkem</t>
  </si>
  <si>
    <t>Celkem</t>
  </si>
  <si>
    <t>fondu</t>
  </si>
  <si>
    <t>Gymnázium Velké Meziříčí</t>
  </si>
  <si>
    <t>Gymnázium Žďár nad Sázavou</t>
  </si>
  <si>
    <t>PPP Žďár nad Sázavou</t>
  </si>
  <si>
    <t>SOŠ a SOU Třešť</t>
  </si>
  <si>
    <t>Střední škola technická Jihlava</t>
  </si>
  <si>
    <t>Střední škola stavební Jihlava</t>
  </si>
  <si>
    <t>Hotelová škola Třebíč</t>
  </si>
  <si>
    <t>Střední škola řemesel Třebíč</t>
  </si>
  <si>
    <t>SOŠ Nové Město na Moravě</t>
  </si>
  <si>
    <t>§ 3124 - celkem</t>
  </si>
  <si>
    <t>ZŠ a MŠ při ZZ kraje Vysočina</t>
  </si>
  <si>
    <r>
      <t xml:space="preserve">Odvětví: </t>
    </r>
    <r>
      <rPr>
        <b/>
        <sz val="12"/>
        <rFont val="Arial"/>
        <family val="2"/>
      </rPr>
      <t>školství</t>
    </r>
  </si>
  <si>
    <t>§ 3299 - celkem</t>
  </si>
  <si>
    <t>Obchodní akademie, Pelhřimov, Jirsíkova 875</t>
  </si>
  <si>
    <t>OU a Prakt. škola, Černovice, Mariánské nám. 72</t>
  </si>
  <si>
    <t>ZŠ Humpolec, Husova 391</t>
  </si>
  <si>
    <t>k 31.12.2009</t>
  </si>
  <si>
    <t>techn. zhodnoc. nemov. majetku</t>
  </si>
  <si>
    <t>údržba a opravy majetku, který PO používá k činnosti</t>
  </si>
  <si>
    <t xml:space="preserve">název akce </t>
  </si>
  <si>
    <t>v tis.Kč</t>
  </si>
  <si>
    <t>v tis. Kč</t>
  </si>
  <si>
    <t>Gymnázium Havlíčkův Brod</t>
  </si>
  <si>
    <t>Střední škola stavební Třebíč</t>
  </si>
  <si>
    <t>SOU technické, Chotěboř, Žižkova 1501</t>
  </si>
  <si>
    <t>Střední škola řemesel a služeb Moravské Budějovice</t>
  </si>
  <si>
    <t>Školní statek, Humpolec, Dusilov 384</t>
  </si>
  <si>
    <r>
      <t>Tvorba</t>
    </r>
    <r>
      <rPr>
        <vertAlign val="superscript"/>
        <sz val="10"/>
        <rFont val="Arial"/>
        <family val="2"/>
      </rPr>
      <t>1</t>
    </r>
    <r>
      <rPr>
        <b/>
        <vertAlign val="superscript"/>
        <sz val="10"/>
        <rFont val="Arial"/>
        <family val="2"/>
      </rPr>
      <t>) celkem</t>
    </r>
  </si>
  <si>
    <t>celkem vč. odvodu</t>
  </si>
  <si>
    <r>
      <t>Tvorba</t>
    </r>
    <r>
      <rPr>
        <b/>
        <vertAlign val="superscript"/>
        <sz val="10"/>
        <rFont val="Arial"/>
        <family val="2"/>
      </rPr>
      <t xml:space="preserve"> celkem</t>
    </r>
  </si>
  <si>
    <t>Použití celkem</t>
  </si>
  <si>
    <t>Gymnázium Bystřice nad Pernštejnem</t>
  </si>
  <si>
    <t>Česká zemědělská akademie v Humpolci, střední škola</t>
  </si>
  <si>
    <t>OA a Hotelová škola Havlíčkův Brod</t>
  </si>
  <si>
    <t>Pořízení movitého majetku</t>
  </si>
  <si>
    <t>Technické zhodnocení nem. maj., údržba a opravy maj., který PO používá k činnosti</t>
  </si>
  <si>
    <t>pořízení movitého majetku</t>
  </si>
  <si>
    <t>Střední škola automobilní Jihlava</t>
  </si>
  <si>
    <t>Stř. škola obchodu a služeb Jihlava</t>
  </si>
  <si>
    <t>Střední škola Kamenice nad Lipou</t>
  </si>
  <si>
    <t>SŠ řemesel a služeb Moravské Budějovice</t>
  </si>
  <si>
    <t>Střední škola technická Žďár nad Sázavou</t>
  </si>
  <si>
    <t>Střední škola řemesel a služeb Velké Meziříčí</t>
  </si>
  <si>
    <t>Akademie - VOŠ, Gy a SOŠ uměleckoprům. Světlá nad Sáz.</t>
  </si>
  <si>
    <t>Gymnázium, SOŠ a VOŠ Ledeč nad Sáz.</t>
  </si>
  <si>
    <t>Gymnázium Otokara Březiny a SOŠ Telč</t>
  </si>
  <si>
    <t>Gymnázium dr. A. Hrdličky, Humpolec, Komenského 147</t>
  </si>
  <si>
    <t>Gymnázium dr. A. Hrdličky, Humpolec, Kom.147</t>
  </si>
  <si>
    <t>Gymnázium a SOŠ, Mor. Budějovice, Tyršova 365</t>
  </si>
  <si>
    <t>Gymnázium Vincence Makovského se sportovními třídami Nové Město na Moravě</t>
  </si>
  <si>
    <t>Gymnázium a SOŠ, Moravské Budějovice, Tyršova 365</t>
  </si>
  <si>
    <t>ZŠ Ledeč nad Sázavou,  Habrecká 378</t>
  </si>
  <si>
    <t>ZŠ Pelhřimov, Komenského 1326</t>
  </si>
  <si>
    <t>ZŠ speciální a Praktická škola Černovice</t>
  </si>
  <si>
    <t>Praktická škola a SPC Ždár n/Sázavou</t>
  </si>
  <si>
    <t>ZŠ při dětské  psych. léčebně Velká  Bíteš</t>
  </si>
  <si>
    <t>ZŠ Nové Město na Moravě, Malá 154</t>
  </si>
  <si>
    <t>ZŠ a Praktická škola Chotěboř</t>
  </si>
  <si>
    <t>ZŠ Třebíč, Cyrilometodějská  22</t>
  </si>
  <si>
    <t>ZŠ a Praktická škola Velké Meziříčí</t>
  </si>
  <si>
    <t>ZŠ, SPC a ŠD, U Trojice 2104 Havlíčkův Brod</t>
  </si>
  <si>
    <t>Vyšší odborná škola a Obchodní akademie Chotěboř</t>
  </si>
  <si>
    <t>Střední průmyslová škola stavební akademika Stanislava  Bechyně, Havlíčkův Brod, Jihlavská 628</t>
  </si>
  <si>
    <t>Střední zdravotnická škola a Vyšší odborná škola zdravotnická  Havlíčkův Brod</t>
  </si>
  <si>
    <t>Obchodní akademie a Jazyková škola s právem státní jazykové zkoušky Jihlava</t>
  </si>
  <si>
    <t>Střední průmyslová škola Jihlava</t>
  </si>
  <si>
    <t>Střední uměleckoprůmyslová škola Jihlava - Helenín, Hálkova 42</t>
  </si>
  <si>
    <t>Střední zdravotnická škola a Vyšší odborná škola zdravotnická Jihlava</t>
  </si>
  <si>
    <t>Střední průmyslová škola Třebíč</t>
  </si>
  <si>
    <t>Vyšší odborná škola a Střední škola veterinární, zemědělská a zdravotická Třebíč</t>
  </si>
  <si>
    <t>Hotelová škola Světlá a Obchodní akademie Velké Meziříčí</t>
  </si>
  <si>
    <t>Vyšší odborná škola a Střední odborná škola zemědělsko - technická  Bystřice nad Pernštejnem</t>
  </si>
  <si>
    <t>Střední zdravotnická škola a Vyšší odborná škola zdravotnická  Žďár nad Sázavou</t>
  </si>
  <si>
    <t>Obchodní akademie Dr. Albína Bráfa a Jazyková  škola s právem státní  jazykové  zkoušky Třebíč</t>
  </si>
  <si>
    <t>Vyšší odborná škola a Střední průmyslová škola, Žďár nad Sázavou, Studentská 1</t>
  </si>
  <si>
    <t>Domov mládeže a Školní jídelna Jihlava</t>
  </si>
  <si>
    <t>Odborné učiliště a Praktická škola Černovice</t>
  </si>
  <si>
    <t>Akademie - VOŠ, Gy a SOŠ uměleckoprům. Světlá nad Sázavou</t>
  </si>
  <si>
    <t>PPP, Havlíčkův Brod, Nad Tratí 335</t>
  </si>
  <si>
    <t>Dětský domov, Nová Ves u Chotěboře 1</t>
  </si>
  <si>
    <t>Dětský domov, Telč, Štěpnická 111</t>
  </si>
  <si>
    <t>Dětský domov, Humpolec, Libická 928</t>
  </si>
  <si>
    <t>Dětský domov, Senožaty 199</t>
  </si>
  <si>
    <t>Dětský domov, Budkov 1</t>
  </si>
  <si>
    <t>Dětský domov, Hrotovice, Sokolská 362</t>
  </si>
  <si>
    <t>Dětský domov, Jemnice, Třešňová 748</t>
  </si>
  <si>
    <t>Dětský domov, Náměšť nad Oslavou, Krátká 284</t>
  </si>
  <si>
    <t>Dětský domov, Rovečné 40</t>
  </si>
  <si>
    <t>Gymnázium, SOŠ a VOŠ Ledeč nad Sázavou</t>
  </si>
  <si>
    <t>ZŠ Bystřice n/Pernšt., Tyršova 106</t>
  </si>
  <si>
    <t>Celkem školství</t>
  </si>
  <si>
    <t>Plán čerpání investičního fondu na rok 2012</t>
  </si>
  <si>
    <t>Tvorba a použití peněžních fondů v roce 2012</t>
  </si>
  <si>
    <t>Zůstatek k 1.1.2012</t>
  </si>
  <si>
    <t>Stav krytí fondu k 31.12.   2011</t>
  </si>
  <si>
    <t>Zůstatek k 31.12.   2012</t>
  </si>
  <si>
    <t>Stav krytí fondu k 31.12.   2011</t>
  </si>
  <si>
    <t>Zůstatek k 31.12.   2012</t>
  </si>
  <si>
    <t>Tvorba vč. zůst. k 1.1.2012</t>
  </si>
  <si>
    <t>Tvorba+stav krytí fondu k 31.12.  2011</t>
  </si>
  <si>
    <t>ZŠ a Praktická škola Moravské  Budějovice, Dobrovského 11</t>
  </si>
  <si>
    <t>olepovačka hran 250 tis. Kč, soustruh univerzálni 350 tis. Kč</t>
  </si>
  <si>
    <t>smažící pánve elektrické - 2 ks 260 tis. Kč, vchodové plastové dveře 70 tis. Kč</t>
  </si>
  <si>
    <t>oprava povrchu školního dvora 630 tis. Kč</t>
  </si>
  <si>
    <t>plotter 120 tis. Kč</t>
  </si>
  <si>
    <t>stravovací systém 250 tis. Kč, telefonní ústředna 125 tis. Kč, mulfifunkční zařízení A3 - 68 tis. Kč</t>
  </si>
  <si>
    <t>malířské a natěračské práce 50 tis. Kč, oprava střech na budovách školy 100 tis. Kč, oprava ústředního topení a vodovodních rozvodů 50 tis. Kč</t>
  </si>
  <si>
    <t>varný kotel 120 tis. Kč</t>
  </si>
  <si>
    <t xml:space="preserve"> mycí podlahový elektrický automat 57 tis. Kč, interaktivní tabule s příslušenstvím 120 tis. Kč</t>
  </si>
  <si>
    <t>oprava střechy na budově gymnázia - Tyršova 555, Chotěboř 380 tis. Kč</t>
  </si>
  <si>
    <t>konvektomat do kuchyně 500 tis. Kč</t>
  </si>
  <si>
    <t>výmalba školy, oprava nářadí v tělocvičně, oprava doskočiště celkem 160 tis. Kč</t>
  </si>
  <si>
    <t>pořízení serveru 300 tis. Kč</t>
  </si>
  <si>
    <t>server se síťovým rozvaděčem 80 tis. Kč</t>
  </si>
  <si>
    <t>oprava tělocvičny 250 tis. Kč</t>
  </si>
  <si>
    <t>okna - učebna č. 12 - 200 tis. Kč</t>
  </si>
  <si>
    <t>běžné opravy v budově školy - elektro, vody, odpadu, kotlů 100 tis. Kč, malba v budově 50 tis. Kč, nátěr podlahy v tělocvičně 150 tis. Kč</t>
  </si>
  <si>
    <t>oprava plotu kolem školního hřiště 110 tis. Kč</t>
  </si>
  <si>
    <t>kopírka 71 tis. Kč</t>
  </si>
  <si>
    <t>server 70 tis. Kč</t>
  </si>
  <si>
    <t>PC program na evidenci klientů 70 tis.Kč</t>
  </si>
  <si>
    <t>zahradní pergola včetně příslušenství 100 tis. Kč</t>
  </si>
  <si>
    <t>oprava koupelny 1. rodinné skupiny 120 tis. Kč</t>
  </si>
  <si>
    <t>automobil  vícemístný - výměna ( dotace zřizovatele 600 tis. Kč)</t>
  </si>
  <si>
    <t>pořízení nového serveru 85 tis. Kč</t>
  </si>
  <si>
    <t>oprava školního hřiště ul. Bratříků 900 tis. Kč</t>
  </si>
  <si>
    <t xml:space="preserve"> běžné opravy 200 tis. Kč, malování - přístavek škola, DM, školní kuchyně 80 tis. Kč, oprava žaluzií 20 tis. Kč</t>
  </si>
  <si>
    <t>kopírka 60 tis. Kč, závitořez pro výuku 130 tis. Kč</t>
  </si>
  <si>
    <t>oprava podlah v učebnách školy 140 tis. Kč</t>
  </si>
  <si>
    <t>údržba a opravy majetku 160 tis. Kč</t>
  </si>
  <si>
    <t>soustava ICT 320 tis. Kč</t>
  </si>
  <si>
    <t>počítačové vybavení učebny 230 tis. Kč</t>
  </si>
  <si>
    <t>osobní automobil pro autoškolu - výměna 350 tis. Kč</t>
  </si>
  <si>
    <t>Střední průmyslová škola a Střední odborné učiliště Pelhřimov</t>
  </si>
  <si>
    <r>
      <t xml:space="preserve">výměna části oken na DM  200 tis. Kč, výměna okapů na budově gymnázia  200 tis. Kč, oprava kopule hvězdárny v budově gymnázia 150 tis. Kč, oprava omítek a fasády v dílnách 50 tis. Kč, </t>
    </r>
    <r>
      <rPr>
        <sz val="8"/>
        <rFont val="Arial"/>
        <family val="2"/>
      </rPr>
      <t>sněhové zábrany na střechu budovy gymnázia 150 tis. Kč</t>
    </r>
  </si>
  <si>
    <t>bidety - dívčí WC - 2 ks 45 tis. Kč, kotel s malým výkonem na ohřev TUV - 60 tis. Kč, výměna podlahové krytiny v kanceláři zástupce školy 13 tis. Kč, malování - pouze opravy a běžná údržba 10 tis. Kč, dokončení oprav venkovních omítek budovy 50 tis. Kč, opravy v kotelně - kotlové čerpadlo, mix 30 tis. Kč</t>
  </si>
  <si>
    <t>výměna oken na hlavní budově školy 200 tis.Kč, rekonstrukce vchodu do hlavní budovy školy 300 tis.Kč</t>
  </si>
  <si>
    <t>oprava elektroinstalace, rozvody plynu, vody a podlah v uvolněném bytu 150 tis.Kč, oprava podlah učebny + kabinety (budova B) 120 tis.Kč, oprava hygienických koutků v učebnách 110 tis.Kč</t>
  </si>
  <si>
    <t>TZ schodiště 220 tis.Kč, rekonstrukce půdy 200 tis.Kč, rekonstrukce oken v tělocvičně 200 tis.Kč, rekonstrukce střechy šatny 160 tis.Kč</t>
  </si>
  <si>
    <t>běžná údržba a opravy movitého a nemovitého majetku 150 tis. Kč</t>
  </si>
  <si>
    <t>výměna oken na hale pro praxi - I. etapa 350 tis. Kč</t>
  </si>
  <si>
    <t>výměna linolea v přízemí školy 190 tis.Kč,  modernizace šaten školy - nová podlaha, osvětlení, malířské práce 510 tis.Kč</t>
  </si>
  <si>
    <t>revitalizace zahrady (dotace) 1 031 tis.Kč, revitalizace zahrady - spolupodíl školy k projektu 344 tis.Kč, revitalizace zahrady- nezpůsobilé náklady 31 tis.Kč, vstup do sklepních prostor 180 tis.Kč, vstupní prostor přízemí 230 tis.Kč, zateplení - fasáda Hrotovická - dokončení 20 tis.Kč, klimatizace do auly 60 tis.Kč</t>
  </si>
  <si>
    <t>učebna výpočetní techniky 550 tis.Kč, osobní automobil - výměna 400 tis.Kč</t>
  </si>
  <si>
    <t>servery 50 tis.Kč, PC  učebna 150 tis.Kč</t>
  </si>
  <si>
    <t>server 100 tis.Kč, konvektomat 400 tis.Kč, smažící pánev 50 tis.Kč</t>
  </si>
  <si>
    <t>oprava stropů a osvětlení  v umývárnách žáků 110 tis.Kč, malířské a natěračské práce 90 tis. Kč, oprava podlahové krytiny na pokojích žáků 60 tis. Kč</t>
  </si>
  <si>
    <t>stavební opravy v areálu domova, opravy věcí movitých 270 tis. Kč</t>
  </si>
  <si>
    <t>rekonstrukce školní datové sítě 1 000 tis.Kč, úprava uč. 102 na studenský klub - vybourání otvoru na prosklené okno z chodby 90 tis.Kč, nový podhled ve vestibulu 60 tis.Kč, oprava podlah chodba II.N.P. - dlažba 200 tis.Kč, oprava podlah 2x chodba domov mládeže -PVC  140 tis.Kč,výměna osvětlení - tři učebny silnoproudu 60 tis.Kč, oprava a výměna osvětlení v hale - snížení spotřeby el. energie 380 tis.Kč, oprava elektroinstalace, kanalizačních svodů a potrubí vody v budově A vč. projektu 560 tis.Kč, oprava stěn v pokojích - dvě podlaží 70 tis.Kč, oprava stoupacích vedení potrubí vody a kanalizace 115 tis.Kč</t>
  </si>
  <si>
    <t>docházkový, stravovací a školský systém  500 tis.Kč, lednice do školní jídelny 45 tis.Kč, rekonstrukce výukových pracovišť pro silnoproud - tři učebny 180 tis.Kč,</t>
  </si>
  <si>
    <t>vodní fritéza 57 tis.Kč, přenosný mobilní ultrasonograf  140 tis.Kč, osobní automobil pro autoškolu - výměna 280 tis. Kč, pánev samičí se zárodkem 110 tis.Kč, projekt ESF: komplet - inter. tabule, PC 130 tis.Kč, projekt ESF: 4 x komplet - PC, dataprojektor, plátno a 45 tis. Kč - celkem 180 tis. Kč</t>
  </si>
  <si>
    <t>malby a nátěry na domově mláděže ( výmalba socální zařízení, pokojů, nátěry dveří, radiátorů) 150 tis.Kč</t>
  </si>
  <si>
    <t xml:space="preserve">smažící plynová pánev do školní jídelny - 2 ks 420 tis. Kč, plynový sporák do školní jídelny 100 tis. Kč </t>
  </si>
  <si>
    <t>realizace I. etapy gumových podlah haly praktické výuky 160  tis. Kč, rekonstrukce vjezdové vozovky do areálu 100 tis. Kč, sněhové zábrany a vedení bleskosvodů haly OV 120 tis. Kč, oprava obketku údržby 1 200 tis. Kč</t>
  </si>
  <si>
    <t>elektronicky ovládaná vjezdová závora 100 tis. Kč, pořízení investičního movitého majetek v rámci projektu "Moderní měření" - investiční dotace od zřizovatele - 2 400 tis. Kč, spolúčast v projektu "Moderní měření " - 100 tis. Kč</t>
  </si>
  <si>
    <t>výměna zbylých oken ve školní jídelně  4 ks - 150 tis. Kč, výměna oken ve společenské místnosti domova mládeže - 3 ks čtyřdílných oken - 150 tis. Kč</t>
  </si>
  <si>
    <t>nákup dodávkového automobilu pro přepravu osob - výměna  550 tis. Kč</t>
  </si>
  <si>
    <t>svářečka 365 tis. Kč, svářečka elektotvarovek 96 tis. Kč, nákladní automobil pro autoškolu - výměna 1 200 tis. Kč</t>
  </si>
  <si>
    <t>osobní automobil - výměna  380 tis. Kč, mycí stroj na motorová vozidla 80 tis. Kč, závora vjezdová pro dílny OV 80 tis. Kč</t>
  </si>
  <si>
    <t>odsávání - svařovna 150 tis. Kč, oprava střechy na dílnách 300 tis. Kč</t>
  </si>
  <si>
    <t>výukový software pro konstruování v elektrotechnice 135 tis. Kč, výukový software pro CNC měřící stroj 90 tis. Kč</t>
  </si>
  <si>
    <t>kopírovací stroj 100 tis. Kč, svářečka 60 tis. Kč, geometrie pro osobní vozy 140 tis. Kč</t>
  </si>
  <si>
    <t>užitkový automobil (sklopný, 6 místný) - výměna 500 tis. Kč</t>
  </si>
  <si>
    <t>opravy elektroinstalace, rozvodů vody a energií 200 tis. Kč, opravy střech, zateplení a opravy plášťů budov 180 tis. Kč, opravy komunikací 50 tis. Kč, opravy a údržba bytů 90 tis. Kč, opravy strojů a vybavení 280 tis. Kč, opravy odchovny jalovic 800 tis. Kč, úprava stání pro koně a silážního žlabu 550 tis. Kč, napojení na městský vodovod 450 tis. Kč</t>
  </si>
  <si>
    <t>zvířata - zákl. stáda 2 500 tis. Kč, nákup traktoru 3 300 tis. Kč, zemědělské stroje (dle aktuální potřeby) 1200 tis. Kč, vybavení jatek a MV 1 000 Kč, bramborový kombajn 200 tis. Kč, osobní automobil - výměna - 200 tis. Kč</t>
  </si>
  <si>
    <t xml:space="preserve"> CNC dřevoobráběcí stroj  1 400 tis.( z toho: dotace zřizovatele 700 tis.Kč)</t>
  </si>
  <si>
    <t>server 150 tis. Kč, interaktivní tabule 100 tis. Kč</t>
  </si>
  <si>
    <t>cvičné auto pro autoškolu - výměna 300 tis. Kč, malý nákladní automobil - výměna 230 tis. Kč, počítače pro program CATIA (cena 1 ks nad 40 tis. Kč) 400 tis. Kč, pořízení investičního hmotného majetku v rámci projektu "Moderní měření " - investiční dotace od zřizovatele 2 400 tis. Kč</t>
  </si>
  <si>
    <r>
      <t xml:space="preserve">oprava výtahu 1 200 tis. Kč, oprava podlah tělocvičny 910 Kč , odhlučnění učebny "Měrové středisko" - </t>
    </r>
    <r>
      <rPr>
        <sz val="8"/>
        <rFont val="Arial"/>
        <family val="2"/>
      </rPr>
      <t>spoluúčast v rámci projektu "Moderní měření" 100 tis. Kč</t>
    </r>
  </si>
  <si>
    <t>počet stran: 3</t>
  </si>
  <si>
    <t>tělocvična - sprchy 100 tis. Kč, schody nová budova - obklady 50 tis. Kč, oprava byt školníka 50 tis. Kč, podlaha před tělocvičnou 50 tis. Kč, malování 100 tis. Kč, vchodové dveře - elektrické zabezpečení 150 tis. Kč</t>
  </si>
  <si>
    <t>RK-12-2012-31, př. 2</t>
  </si>
  <si>
    <t>§ 3114 - celkem</t>
  </si>
  <si>
    <t>§ 3121 - celkem</t>
  </si>
  <si>
    <t>Vysočina Education, školské zařízení pro další vzdělávání pedagogických pracovníků a středisko služeb školám, příspěšvková organizace</t>
  </si>
  <si>
    <t>Dětský domov, Náměšť n/ Osl., Krátká 284</t>
  </si>
  <si>
    <t>RK-12-2012-31, př. 3</t>
  </si>
  <si>
    <t>počet stran: 4</t>
  </si>
  <si>
    <t xml:space="preserve">§ 3121 - celkem </t>
  </si>
  <si>
    <t>dataprojektor 3 ks 140 tis. Kč, dovybavení laboratoří měření 222 tis. Kč, notebook 43 tis. Kč, zařízení uvolněného bytu - kuchyňský kout  60 tis. Kč, audiozařízení do jazykových učeben 150 tis. Kč</t>
  </si>
  <si>
    <t>automobil - 7 míst - výměna 260 tis. Kč, valník s šestimístnou kabinou - ojetý - výměna 450 tis.Kč, diagnostické zařízení - výměna 100 tis. Kč, 4-tunový zvedák - autoservis Humpolec  70 tis.Kč,</t>
  </si>
  <si>
    <t>unipar na vaření pro školní kuchyň 150 tis.Kč, univerzální multifunkční robot 80 tis.Kč, vyhřívaný transportní vozík s ventilátorem 70 tis. Kč, elektrický varný kotel do ŠJ 100 tis. Kč, měřící přístroj do elektrolaboratoře 100 tis. Kč, elektrický varný kotel do školní jídelny 100 tis. Kč</t>
  </si>
  <si>
    <t>závěrečné práce v přístřešku u tělocvičny 300 tis. Kč, oprava přívodů a rozvodu vody II. DM 200 tis. Kč</t>
  </si>
  <si>
    <t>osobní automobil - výměna 300 tis. Kč, 3D skener barevný 400 tis. Kč</t>
  </si>
  <si>
    <t>Střední škola obchodu a služeb Jihlava</t>
  </si>
  <si>
    <t>Vysočina Education, školské zařízení pro další vzdělávání pedagogických pracovníků a středisko služeb školám, příspěvková organizace</t>
  </si>
  <si>
    <t>osobní automobil - výměna 380 tis. Kč</t>
  </si>
  <si>
    <t>ponechání již v RK schváleného a platného požadavku</t>
  </si>
  <si>
    <t>xxxxxxxx</t>
  </si>
  <si>
    <t>změna výše čerpání, změna požadavku (nebude realizováno)</t>
  </si>
  <si>
    <t>nový požadavek k zařazení nemovitého, movitého majetku nebo nový objem použití</t>
  </si>
  <si>
    <t>Poznámka:</t>
  </si>
  <si>
    <t>název akce</t>
  </si>
  <si>
    <t>Návrh na úpravu čerpání investičního fondu v roce 2012</t>
  </si>
  <si>
    <t>technické zhodnocení nemovitého majetku</t>
  </si>
  <si>
    <t>Tvorba celkem</t>
  </si>
  <si>
    <t>Investiční fond po úpravě</t>
  </si>
  <si>
    <t>Odsouhlasené čerpání investičního fondu</t>
  </si>
  <si>
    <t xml:space="preserve"> Organizace</t>
  </si>
  <si>
    <t>Návrh na úpravu použití investičního fondu v roce 2012</t>
  </si>
  <si>
    <t>počet stran: 1</t>
  </si>
  <si>
    <t>Zůstatek k 1. 1. 2012</t>
  </si>
  <si>
    <t>Zůstatek k 31.12.2012</t>
  </si>
  <si>
    <t>Upravený zůstatek k 31.12.2012</t>
  </si>
  <si>
    <t>multifunkční zařízení A3  88 tis. Kč, mrazící skříň nerez 84 tis. Kč, switch 48 portů - včetně nastavení a zapojení 42 tis. Kč</t>
  </si>
  <si>
    <t>Střední odborná škola Nové Město na Moravě</t>
  </si>
  <si>
    <r>
      <t xml:space="preserve">odsávání - svařovna 150 tis. Kč, oprava střechy na dílnách 300 tis. Kč, </t>
    </r>
    <r>
      <rPr>
        <b/>
        <sz val="8"/>
        <rFont val="Arial"/>
        <family val="2"/>
      </rPr>
      <t>přístavba dílny Petrovice 1 900 tis. Kč</t>
    </r>
  </si>
  <si>
    <r>
      <t xml:space="preserve">vybourání silně poškozené příčky a výstaba nové ze sádrokartonu 100 tis. Kč, </t>
    </r>
    <r>
      <rPr>
        <b/>
        <sz val="8"/>
        <rFont val="Arial"/>
        <family val="2"/>
      </rPr>
      <t>sněhové zábrany na střechu budovy školy 284 tis. Kč (z toho investiční dotace zřizovatele 194 tis. Kč)</t>
    </r>
  </si>
  <si>
    <t xml:space="preserve">        RK-38-2012-44, př. 1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</si>
</sst>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0\ &quot;Kč&quot;"/>
    <numFmt numFmtId="185" formatCode="#,##0\ &quot;Kč&quot;"/>
    <numFmt numFmtId="186" formatCode="[$-405]d\.\ mmmm\ yyyy"/>
    <numFmt numFmtId="187" formatCode="000\ 00"/>
    <numFmt numFmtId="188" formatCode="0.0"/>
    <numFmt numFmtId="189" formatCode="0.0%"/>
    <numFmt numFmtId="190" formatCode="_-* #,##0.0\ &quot;Kč&quot;_-;\-* #,##0.0\ &quot;Kč&quot;_-;_-* &quot;-&quot;??\ &quot;Kč&quot;_-;_-@_-"/>
    <numFmt numFmtId="191" formatCode="_-* #,##0\ &quot;Kč&quot;_-;\-* #,##0\ &quot;Kč&quot;_-;_-* &quot;-&quot;??\ &quot;Kč&quot;_-;_-@_-"/>
    <numFmt numFmtId="192" formatCode="_-* #,##0.000\ &quot;Kč&quot;_-;\-* #,##0.000\ &quot;Kč&quot;_-;_-* &quot;-&quot;??\ &quot;Kč&quot;_-;_-@_-"/>
  </numFmts>
  <fonts count="72">
    <font>
      <sz val="10"/>
      <name val="Arial CE"/>
      <family val="0"/>
    </font>
    <font>
      <b/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0"/>
      <color indexed="12"/>
      <name val="Arial CE"/>
      <family val="0"/>
    </font>
    <font>
      <b/>
      <sz val="10"/>
      <color indexed="12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sz val="9"/>
      <name val="Arial CE"/>
      <family val="2"/>
    </font>
    <font>
      <sz val="8"/>
      <color indexed="10"/>
      <name val="Arial"/>
      <family val="2"/>
    </font>
    <font>
      <strike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 CE"/>
      <family val="0"/>
    </font>
    <font>
      <b/>
      <sz val="8"/>
      <name val="Arial"/>
      <family val="2"/>
    </font>
    <font>
      <b/>
      <sz val="12"/>
      <name val="Arial CE"/>
      <family val="0"/>
    </font>
    <font>
      <sz val="12"/>
      <name val="Arial CE"/>
      <family val="0"/>
    </font>
    <font>
      <strike/>
      <sz val="10"/>
      <name val="Arial"/>
      <family val="2"/>
    </font>
    <font>
      <strike/>
      <sz val="8"/>
      <name val="Arial"/>
      <family val="2"/>
    </font>
    <font>
      <b/>
      <sz val="9"/>
      <name val="Arial"/>
      <family val="2"/>
    </font>
    <font>
      <sz val="10"/>
      <color indexed="4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697">
    <xf numFmtId="0" fontId="0" fillId="0" borderId="0" xfId="0" applyAlignment="1">
      <alignment/>
    </xf>
    <xf numFmtId="3" fontId="16" fillId="0" borderId="10" xfId="0" applyNumberFormat="1" applyFont="1" applyBorder="1" applyAlignment="1">
      <alignment horizontal="right" vertical="center" wrapText="1" shrinkToFit="1"/>
    </xf>
    <xf numFmtId="3" fontId="16" fillId="0" borderId="10" xfId="0" applyNumberFormat="1" applyFont="1" applyBorder="1" applyAlignment="1">
      <alignment horizontal="right" vertical="center" wrapText="1"/>
    </xf>
    <xf numFmtId="0" fontId="13" fillId="0" borderId="11" xfId="0" applyFont="1" applyBorder="1" applyAlignment="1">
      <alignment horizontal="centerContinuous" vertical="center"/>
    </xf>
    <xf numFmtId="0" fontId="13" fillId="0" borderId="12" xfId="0" applyFont="1" applyBorder="1" applyAlignment="1">
      <alignment horizontal="centerContinuous" vertical="center"/>
    </xf>
    <xf numFmtId="0" fontId="13" fillId="0" borderId="13" xfId="0" applyFont="1" applyBorder="1" applyAlignment="1">
      <alignment horizontal="centerContinuous" vertical="center"/>
    </xf>
    <xf numFmtId="0" fontId="11" fillId="0" borderId="12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11" fillId="0" borderId="10" xfId="0" applyFont="1" applyBorder="1" applyAlignment="1">
      <alignment horizontal="centerContinuous" vertical="center"/>
    </xf>
    <xf numFmtId="0" fontId="11" fillId="0" borderId="14" xfId="0" applyFont="1" applyBorder="1" applyAlignment="1">
      <alignment horizontal="centerContinuous" vertical="center"/>
    </xf>
    <xf numFmtId="0" fontId="18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3" fontId="13" fillId="0" borderId="15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3" fontId="13" fillId="0" borderId="16" xfId="0" applyNumberFormat="1" applyFont="1" applyBorder="1" applyAlignment="1">
      <alignment horizontal="centerContinuous" vertical="center"/>
    </xf>
    <xf numFmtId="3" fontId="13" fillId="0" borderId="17" xfId="0" applyNumberFormat="1" applyFont="1" applyBorder="1" applyAlignment="1">
      <alignment horizontal="centerContinuous" vertical="center"/>
    </xf>
    <xf numFmtId="3" fontId="12" fillId="0" borderId="18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vertical="center" wrapText="1"/>
    </xf>
    <xf numFmtId="3" fontId="12" fillId="0" borderId="19" xfId="0" applyNumberFormat="1" applyFont="1" applyBorder="1" applyAlignment="1">
      <alignment horizontal="left" vertical="center"/>
    </xf>
    <xf numFmtId="3" fontId="12" fillId="0" borderId="20" xfId="0" applyNumberFormat="1" applyFont="1" applyBorder="1" applyAlignment="1">
      <alignment horizontal="left" vertical="center"/>
    </xf>
    <xf numFmtId="3" fontId="13" fillId="0" borderId="21" xfId="0" applyNumberFormat="1" applyFont="1" applyBorder="1" applyAlignment="1">
      <alignment vertical="center"/>
    </xf>
    <xf numFmtId="3" fontId="14" fillId="0" borderId="19" xfId="0" applyNumberFormat="1" applyFont="1" applyBorder="1" applyAlignment="1">
      <alignment horizontal="left" vertical="center"/>
    </xf>
    <xf numFmtId="0" fontId="17" fillId="0" borderId="22" xfId="0" applyFont="1" applyBorder="1" applyAlignment="1">
      <alignment vertical="center" wrapText="1"/>
    </xf>
    <xf numFmtId="3" fontId="27" fillId="0" borderId="22" xfId="0" applyNumberFormat="1" applyFont="1" applyBorder="1" applyAlignment="1">
      <alignment horizontal="left" vertical="center"/>
    </xf>
    <xf numFmtId="3" fontId="12" fillId="0" borderId="23" xfId="0" applyNumberFormat="1" applyFont="1" applyBorder="1" applyAlignment="1">
      <alignment horizontal="left" vertical="center"/>
    </xf>
    <xf numFmtId="3" fontId="11" fillId="0" borderId="24" xfId="0" applyNumberFormat="1" applyFont="1" applyBorder="1" applyAlignment="1">
      <alignment vertical="center"/>
    </xf>
    <xf numFmtId="3" fontId="11" fillId="0" borderId="24" xfId="0" applyNumberFormat="1" applyFont="1" applyBorder="1" applyAlignment="1">
      <alignment horizontal="right" vertical="center"/>
    </xf>
    <xf numFmtId="3" fontId="17" fillId="0" borderId="22" xfId="0" applyNumberFormat="1" applyFont="1" applyBorder="1" applyAlignment="1">
      <alignment horizontal="left" vertical="center"/>
    </xf>
    <xf numFmtId="3" fontId="17" fillId="0" borderId="23" xfId="0" applyNumberFormat="1" applyFont="1" applyBorder="1" applyAlignment="1">
      <alignment horizontal="left" vertical="center"/>
    </xf>
    <xf numFmtId="3" fontId="16" fillId="0" borderId="24" xfId="0" applyNumberFormat="1" applyFont="1" applyBorder="1" applyAlignment="1">
      <alignment vertical="center"/>
    </xf>
    <xf numFmtId="3" fontId="16" fillId="0" borderId="24" xfId="0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28" fillId="0" borderId="23" xfId="0" applyNumberFormat="1" applyFont="1" applyBorder="1" applyAlignment="1">
      <alignment horizontal="left" vertical="center"/>
    </xf>
    <xf numFmtId="3" fontId="29" fillId="0" borderId="23" xfId="0" applyNumberFormat="1" applyFont="1" applyBorder="1" applyAlignment="1">
      <alignment horizontal="left" vertical="center"/>
    </xf>
    <xf numFmtId="3" fontId="27" fillId="0" borderId="25" xfId="0" applyNumberFormat="1" applyFont="1" applyBorder="1" applyAlignment="1">
      <alignment horizontal="left" vertical="center"/>
    </xf>
    <xf numFmtId="3" fontId="12" fillId="0" borderId="26" xfId="0" applyNumberFormat="1" applyFont="1" applyBorder="1" applyAlignment="1">
      <alignment horizontal="left" vertical="center"/>
    </xf>
    <xf numFmtId="3" fontId="11" fillId="0" borderId="27" xfId="0" applyNumberFormat="1" applyFont="1" applyBorder="1" applyAlignment="1">
      <alignment vertical="center"/>
    </xf>
    <xf numFmtId="3" fontId="17" fillId="0" borderId="25" xfId="0" applyNumberFormat="1" applyFont="1" applyBorder="1" applyAlignment="1">
      <alignment horizontal="left" vertical="center"/>
    </xf>
    <xf numFmtId="3" fontId="11" fillId="0" borderId="27" xfId="0" applyNumberFormat="1" applyFont="1" applyBorder="1" applyAlignment="1">
      <alignment horizontal="right" vertical="center"/>
    </xf>
    <xf numFmtId="0" fontId="17" fillId="0" borderId="28" xfId="0" applyFont="1" applyBorder="1" applyAlignment="1">
      <alignment vertical="center" wrapText="1"/>
    </xf>
    <xf numFmtId="3" fontId="12" fillId="0" borderId="22" xfId="0" applyNumberFormat="1" applyFont="1" applyBorder="1" applyAlignment="1">
      <alignment horizontal="left" vertical="center"/>
    </xf>
    <xf numFmtId="0" fontId="13" fillId="0" borderId="29" xfId="0" applyFont="1" applyBorder="1" applyAlignment="1">
      <alignment vertical="center" wrapText="1"/>
    </xf>
    <xf numFmtId="3" fontId="16" fillId="0" borderId="30" xfId="0" applyNumberFormat="1" applyFont="1" applyBorder="1" applyAlignment="1">
      <alignment vertical="center"/>
    </xf>
    <xf numFmtId="3" fontId="16" fillId="0" borderId="30" xfId="0" applyNumberFormat="1" applyFont="1" applyBorder="1" applyAlignment="1">
      <alignment horizontal="right" vertical="center"/>
    </xf>
    <xf numFmtId="0" fontId="17" fillId="0" borderId="25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17" fillId="0" borderId="32" xfId="0" applyFont="1" applyBorder="1" applyAlignment="1">
      <alignment vertical="center" wrapText="1"/>
    </xf>
    <xf numFmtId="3" fontId="16" fillId="0" borderId="27" xfId="0" applyNumberFormat="1" applyFont="1" applyBorder="1" applyAlignment="1">
      <alignment horizontal="right" vertical="center"/>
    </xf>
    <xf numFmtId="3" fontId="16" fillId="0" borderId="33" xfId="0" applyNumberFormat="1" applyFont="1" applyBorder="1" applyAlignment="1">
      <alignment horizontal="right" vertical="center"/>
    </xf>
    <xf numFmtId="0" fontId="17" fillId="0" borderId="34" xfId="0" applyFont="1" applyBorder="1" applyAlignment="1">
      <alignment vertical="center" wrapText="1"/>
    </xf>
    <xf numFmtId="3" fontId="17" fillId="0" borderId="34" xfId="0" applyNumberFormat="1" applyFont="1" applyBorder="1" applyAlignment="1">
      <alignment horizontal="left" vertical="center"/>
    </xf>
    <xf numFmtId="3" fontId="17" fillId="0" borderId="35" xfId="0" applyNumberFormat="1" applyFont="1" applyBorder="1" applyAlignment="1">
      <alignment horizontal="left" vertical="center"/>
    </xf>
    <xf numFmtId="3" fontId="16" fillId="0" borderId="36" xfId="0" applyNumberFormat="1" applyFont="1" applyBorder="1" applyAlignment="1">
      <alignment vertical="center"/>
    </xf>
    <xf numFmtId="3" fontId="16" fillId="0" borderId="36" xfId="0" applyNumberFormat="1" applyFont="1" applyBorder="1" applyAlignment="1">
      <alignment horizontal="right" vertical="center"/>
    </xf>
    <xf numFmtId="3" fontId="17" fillId="0" borderId="28" xfId="0" applyNumberFormat="1" applyFont="1" applyBorder="1" applyAlignment="1">
      <alignment horizontal="left" vertical="center"/>
    </xf>
    <xf numFmtId="3" fontId="17" fillId="0" borderId="37" xfId="0" applyNumberFormat="1" applyFont="1" applyBorder="1" applyAlignment="1">
      <alignment horizontal="left" vertical="center"/>
    </xf>
    <xf numFmtId="3" fontId="16" fillId="0" borderId="33" xfId="0" applyNumberFormat="1" applyFont="1" applyBorder="1" applyAlignment="1">
      <alignment vertical="center"/>
    </xf>
    <xf numFmtId="3" fontId="16" fillId="0" borderId="27" xfId="0" applyNumberFormat="1" applyFont="1" applyBorder="1" applyAlignment="1">
      <alignment vertical="center"/>
    </xf>
    <xf numFmtId="3" fontId="11" fillId="0" borderId="33" xfId="0" applyNumberFormat="1" applyFont="1" applyBorder="1" applyAlignment="1">
      <alignment horizontal="right" vertical="center"/>
    </xf>
    <xf numFmtId="3" fontId="12" fillId="0" borderId="37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horizontal="right" vertical="center"/>
    </xf>
    <xf numFmtId="3" fontId="17" fillId="0" borderId="17" xfId="0" applyNumberFormat="1" applyFont="1" applyBorder="1" applyAlignment="1">
      <alignment horizontal="left" vertical="center"/>
    </xf>
    <xf numFmtId="3" fontId="17" fillId="0" borderId="39" xfId="0" applyNumberFormat="1" applyFont="1" applyBorder="1" applyAlignment="1">
      <alignment horizontal="left" vertical="center"/>
    </xf>
    <xf numFmtId="3" fontId="12" fillId="0" borderId="37" xfId="0" applyNumberFormat="1" applyFont="1" applyBorder="1" applyAlignment="1">
      <alignment horizontal="left" vertical="center"/>
    </xf>
    <xf numFmtId="3" fontId="11" fillId="0" borderId="33" xfId="0" applyNumberFormat="1" applyFont="1" applyBorder="1" applyAlignment="1">
      <alignment vertical="center"/>
    </xf>
    <xf numFmtId="3" fontId="11" fillId="0" borderId="38" xfId="0" applyNumberFormat="1" applyFont="1" applyBorder="1" applyAlignment="1">
      <alignment horizontal="right" vertical="center"/>
    </xf>
    <xf numFmtId="3" fontId="1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7" fillId="0" borderId="40" xfId="0" applyFont="1" applyBorder="1" applyAlignment="1">
      <alignment horizontal="left" vertical="center" wrapText="1"/>
    </xf>
    <xf numFmtId="3" fontId="11" fillId="0" borderId="30" xfId="0" applyNumberFormat="1" applyFont="1" applyBorder="1" applyAlignment="1">
      <alignment horizontal="right" vertical="center"/>
    </xf>
    <xf numFmtId="0" fontId="17" fillId="0" borderId="22" xfId="0" applyFont="1" applyFill="1" applyBorder="1" applyAlignment="1">
      <alignment vertical="center" wrapText="1"/>
    </xf>
    <xf numFmtId="3" fontId="16" fillId="0" borderId="24" xfId="0" applyNumberFormat="1" applyFont="1" applyFill="1" applyBorder="1" applyAlignment="1">
      <alignment vertical="center"/>
    </xf>
    <xf numFmtId="3" fontId="16" fillId="0" borderId="24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vertical="center"/>
    </xf>
    <xf numFmtId="3" fontId="13" fillId="0" borderId="19" xfId="0" applyNumberFormat="1" applyFont="1" applyBorder="1" applyAlignment="1">
      <alignment vertical="center"/>
    </xf>
    <xf numFmtId="3" fontId="13" fillId="0" borderId="20" xfId="0" applyNumberFormat="1" applyFont="1" applyBorder="1" applyAlignment="1">
      <alignment vertical="center"/>
    </xf>
    <xf numFmtId="3" fontId="13" fillId="0" borderId="41" xfId="0" applyNumberFormat="1" applyFont="1" applyBorder="1" applyAlignment="1">
      <alignment vertical="center"/>
    </xf>
    <xf numFmtId="0" fontId="17" fillId="0" borderId="42" xfId="0" applyFont="1" applyFill="1" applyBorder="1" applyAlignment="1">
      <alignment vertical="center" wrapText="1"/>
    </xf>
    <xf numFmtId="3" fontId="16" fillId="0" borderId="19" xfId="0" applyNumberFormat="1" applyFont="1" applyBorder="1" applyAlignment="1">
      <alignment vertical="center"/>
    </xf>
    <xf numFmtId="3" fontId="16" fillId="0" borderId="20" xfId="0" applyNumberFormat="1" applyFont="1" applyBorder="1" applyAlignment="1">
      <alignment vertical="center"/>
    </xf>
    <xf numFmtId="3" fontId="16" fillId="0" borderId="21" xfId="0" applyNumberFormat="1" applyFont="1" applyBorder="1" applyAlignment="1">
      <alignment vertical="center"/>
    </xf>
    <xf numFmtId="0" fontId="22" fillId="0" borderId="19" xfId="0" applyFont="1" applyFill="1" applyBorder="1" applyAlignment="1">
      <alignment vertical="center" wrapText="1"/>
    </xf>
    <xf numFmtId="3" fontId="22" fillId="0" borderId="21" xfId="0" applyNumberFormat="1" applyFont="1" applyBorder="1" applyAlignment="1">
      <alignment vertical="center"/>
    </xf>
    <xf numFmtId="3" fontId="12" fillId="0" borderId="43" xfId="0" applyNumberFormat="1" applyFont="1" applyBorder="1" applyAlignment="1">
      <alignment horizontal="left" vertical="center"/>
    </xf>
    <xf numFmtId="3" fontId="12" fillId="0" borderId="0" xfId="0" applyNumberFormat="1" applyFont="1" applyBorder="1" applyAlignment="1">
      <alignment horizontal="left" vertical="center"/>
    </xf>
    <xf numFmtId="0" fontId="12" fillId="0" borderId="40" xfId="0" applyFont="1" applyFill="1" applyBorder="1" applyAlignment="1">
      <alignment vertical="center" wrapText="1"/>
    </xf>
    <xf numFmtId="3" fontId="12" fillId="0" borderId="12" xfId="0" applyNumberFormat="1" applyFont="1" applyBorder="1" applyAlignment="1">
      <alignment horizontal="left" vertical="center"/>
    </xf>
    <xf numFmtId="3" fontId="11" fillId="0" borderId="30" xfId="0" applyNumberFormat="1" applyFont="1" applyBorder="1" applyAlignment="1">
      <alignment vertical="center"/>
    </xf>
    <xf numFmtId="0" fontId="12" fillId="0" borderId="32" xfId="0" applyFont="1" applyFill="1" applyBorder="1" applyAlignment="1">
      <alignment vertical="center" wrapText="1"/>
    </xf>
    <xf numFmtId="3" fontId="13" fillId="0" borderId="22" xfId="0" applyNumberFormat="1" applyFont="1" applyBorder="1" applyAlignment="1">
      <alignment horizontal="centerContinuous" vertical="center"/>
    </xf>
    <xf numFmtId="3" fontId="13" fillId="0" borderId="23" xfId="0" applyNumberFormat="1" applyFont="1" applyBorder="1" applyAlignment="1">
      <alignment horizontal="centerContinuous" vertical="center"/>
    </xf>
    <xf numFmtId="3" fontId="27" fillId="0" borderId="22" xfId="0" applyNumberFormat="1" applyFont="1" applyBorder="1" applyAlignment="1">
      <alignment horizontal="center" vertical="center"/>
    </xf>
    <xf numFmtId="3" fontId="12" fillId="0" borderId="23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right" vertical="center"/>
    </xf>
    <xf numFmtId="0" fontId="17" fillId="0" borderId="31" xfId="0" applyFont="1" applyFill="1" applyBorder="1" applyAlignment="1">
      <alignment vertical="center" wrapText="1"/>
    </xf>
    <xf numFmtId="3" fontId="22" fillId="0" borderId="28" xfId="0" applyNumberFormat="1" applyFont="1" applyBorder="1" applyAlignment="1">
      <alignment horizontal="centerContinuous" vertical="center"/>
    </xf>
    <xf numFmtId="3" fontId="22" fillId="0" borderId="37" xfId="0" applyNumberFormat="1" applyFont="1" applyBorder="1" applyAlignment="1">
      <alignment horizontal="centerContinuous" vertical="center"/>
    </xf>
    <xf numFmtId="3" fontId="17" fillId="0" borderId="28" xfId="0" applyNumberFormat="1" applyFont="1" applyBorder="1" applyAlignment="1">
      <alignment horizontal="center" vertical="center"/>
    </xf>
    <xf numFmtId="3" fontId="17" fillId="0" borderId="37" xfId="0" applyNumberFormat="1" applyFont="1" applyBorder="1" applyAlignment="1">
      <alignment horizontal="center" vertical="center"/>
    </xf>
    <xf numFmtId="0" fontId="12" fillId="0" borderId="31" xfId="0" applyFont="1" applyFill="1" applyBorder="1" applyAlignment="1">
      <alignment vertical="center" wrapText="1"/>
    </xf>
    <xf numFmtId="3" fontId="12" fillId="0" borderId="28" xfId="0" applyNumberFormat="1" applyFont="1" applyBorder="1" applyAlignment="1">
      <alignment horizontal="left" vertical="center"/>
    </xf>
    <xf numFmtId="0" fontId="12" fillId="0" borderId="44" xfId="0" applyFont="1" applyFill="1" applyBorder="1" applyAlignment="1">
      <alignment vertical="center" wrapText="1"/>
    </xf>
    <xf numFmtId="3" fontId="11" fillId="0" borderId="38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 horizontal="left" vertical="center"/>
    </xf>
    <xf numFmtId="3" fontId="16" fillId="0" borderId="18" xfId="0" applyNumberFormat="1" applyFont="1" applyBorder="1" applyAlignment="1">
      <alignment vertical="center"/>
    </xf>
    <xf numFmtId="3" fontId="16" fillId="0" borderId="18" xfId="0" applyNumberFormat="1" applyFont="1" applyBorder="1" applyAlignment="1">
      <alignment horizontal="right" vertical="center"/>
    </xf>
    <xf numFmtId="3" fontId="11" fillId="0" borderId="0" xfId="0" applyNumberFormat="1" applyFont="1" applyBorder="1" applyAlignment="1">
      <alignment vertical="center"/>
    </xf>
    <xf numFmtId="0" fontId="17" fillId="0" borderId="45" xfId="0" applyFont="1" applyFill="1" applyBorder="1" applyAlignment="1">
      <alignment vertical="center" wrapText="1"/>
    </xf>
    <xf numFmtId="0" fontId="17" fillId="0" borderId="32" xfId="0" applyFont="1" applyFill="1" applyBorder="1" applyAlignment="1">
      <alignment vertical="center" wrapText="1"/>
    </xf>
    <xf numFmtId="3" fontId="17" fillId="0" borderId="26" xfId="0" applyNumberFormat="1" applyFont="1" applyBorder="1" applyAlignment="1">
      <alignment horizontal="left" vertical="center"/>
    </xf>
    <xf numFmtId="0" fontId="13" fillId="0" borderId="29" xfId="0" applyFont="1" applyFill="1" applyBorder="1" applyAlignment="1">
      <alignment vertical="center" wrapText="1"/>
    </xf>
    <xf numFmtId="3" fontId="17" fillId="0" borderId="19" xfId="0" applyNumberFormat="1" applyFont="1" applyBorder="1" applyAlignment="1">
      <alignment horizontal="left" vertical="center"/>
    </xf>
    <xf numFmtId="3" fontId="17" fillId="0" borderId="20" xfId="0" applyNumberFormat="1" applyFont="1" applyBorder="1" applyAlignment="1">
      <alignment horizontal="left" vertical="center"/>
    </xf>
    <xf numFmtId="3" fontId="12" fillId="0" borderId="19" xfId="0" applyNumberFormat="1" applyFont="1" applyBorder="1" applyAlignment="1">
      <alignment vertical="center"/>
    </xf>
    <xf numFmtId="0" fontId="17" fillId="0" borderId="46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3" fontId="31" fillId="0" borderId="40" xfId="0" applyNumberFormat="1" applyFont="1" applyBorder="1" applyAlignment="1">
      <alignment horizontal="centerContinuous" vertical="center" wrapText="1"/>
    </xf>
    <xf numFmtId="3" fontId="31" fillId="0" borderId="47" xfId="0" applyNumberFormat="1" applyFont="1" applyBorder="1" applyAlignment="1">
      <alignment horizontal="centerContinuous" vertical="center" wrapText="1"/>
    </xf>
    <xf numFmtId="0" fontId="17" fillId="0" borderId="22" xfId="0" applyFont="1" applyBorder="1" applyAlignment="1">
      <alignment vertical="center"/>
    </xf>
    <xf numFmtId="0" fontId="17" fillId="0" borderId="32" xfId="0" applyFont="1" applyBorder="1" applyAlignment="1">
      <alignment horizontal="left" vertical="center" wrapText="1"/>
    </xf>
    <xf numFmtId="0" fontId="17" fillId="0" borderId="45" xfId="0" applyFont="1" applyBorder="1" applyAlignment="1">
      <alignment horizontal="left" vertical="center" wrapText="1"/>
    </xf>
    <xf numFmtId="0" fontId="17" fillId="0" borderId="45" xfId="0" applyFont="1" applyFill="1" applyBorder="1" applyAlignment="1">
      <alignment horizontal="left" vertical="center" wrapText="1"/>
    </xf>
    <xf numFmtId="0" fontId="17" fillId="0" borderId="44" xfId="0" applyFont="1" applyBorder="1" applyAlignment="1">
      <alignment horizontal="left" vertical="center" wrapText="1"/>
    </xf>
    <xf numFmtId="3" fontId="16" fillId="0" borderId="33" xfId="0" applyNumberFormat="1" applyFont="1" applyFill="1" applyBorder="1" applyAlignment="1">
      <alignment horizontal="right" vertical="center"/>
    </xf>
    <xf numFmtId="3" fontId="16" fillId="0" borderId="15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3" fillId="0" borderId="29" xfId="0" applyFont="1" applyBorder="1" applyAlignment="1">
      <alignment vertical="center"/>
    </xf>
    <xf numFmtId="3" fontId="13" fillId="0" borderId="48" xfId="0" applyNumberFormat="1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3" fontId="13" fillId="0" borderId="49" xfId="0" applyNumberFormat="1" applyFont="1" applyBorder="1" applyAlignment="1">
      <alignment vertical="center"/>
    </xf>
    <xf numFmtId="3" fontId="16" fillId="0" borderId="50" xfId="0" applyNumberFormat="1" applyFont="1" applyBorder="1" applyAlignment="1">
      <alignment vertical="center"/>
    </xf>
    <xf numFmtId="3" fontId="16" fillId="0" borderId="51" xfId="0" applyNumberFormat="1" applyFont="1" applyBorder="1" applyAlignment="1">
      <alignment vertical="center"/>
    </xf>
    <xf numFmtId="3" fontId="16" fillId="0" borderId="52" xfId="0" applyNumberFormat="1" applyFont="1" applyBorder="1" applyAlignment="1">
      <alignment vertical="center"/>
    </xf>
    <xf numFmtId="3" fontId="16" fillId="0" borderId="53" xfId="0" applyNumberFormat="1" applyFont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12" fillId="0" borderId="22" xfId="0" applyFont="1" applyBorder="1" applyAlignment="1">
      <alignment vertical="center"/>
    </xf>
    <xf numFmtId="3" fontId="21" fillId="0" borderId="0" xfId="0" applyNumberFormat="1" applyFont="1" applyFill="1" applyBorder="1" applyAlignment="1">
      <alignment vertical="center"/>
    </xf>
    <xf numFmtId="3" fontId="16" fillId="0" borderId="54" xfId="0" applyNumberFormat="1" applyFont="1" applyBorder="1" applyAlignment="1">
      <alignment vertical="center"/>
    </xf>
    <xf numFmtId="3" fontId="16" fillId="0" borderId="55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3" fontId="16" fillId="0" borderId="56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7" fillId="0" borderId="32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3" fontId="16" fillId="0" borderId="57" xfId="0" applyNumberFormat="1" applyFont="1" applyBorder="1" applyAlignment="1">
      <alignment vertical="center"/>
    </xf>
    <xf numFmtId="3" fontId="16" fillId="0" borderId="58" xfId="0" applyNumberFormat="1" applyFont="1" applyBorder="1" applyAlignment="1">
      <alignment vertical="center"/>
    </xf>
    <xf numFmtId="3" fontId="16" fillId="0" borderId="59" xfId="0" applyNumberFormat="1" applyFont="1" applyBorder="1" applyAlignment="1">
      <alignment vertical="center"/>
    </xf>
    <xf numFmtId="3" fontId="16" fillId="0" borderId="60" xfId="0" applyNumberFormat="1" applyFont="1" applyBorder="1" applyAlignment="1">
      <alignment vertical="center"/>
    </xf>
    <xf numFmtId="3" fontId="13" fillId="0" borderId="61" xfId="0" applyNumberFormat="1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3" fontId="16" fillId="0" borderId="58" xfId="0" applyNumberFormat="1" applyFont="1" applyFill="1" applyBorder="1" applyAlignment="1">
      <alignment vertical="center"/>
    </xf>
    <xf numFmtId="3" fontId="16" fillId="0" borderId="59" xfId="0" applyNumberFormat="1" applyFont="1" applyFill="1" applyBorder="1" applyAlignment="1">
      <alignment vertical="center"/>
    </xf>
    <xf numFmtId="3" fontId="11" fillId="0" borderId="57" xfId="0" applyNumberFormat="1" applyFont="1" applyBorder="1" applyAlignment="1">
      <alignment vertical="center"/>
    </xf>
    <xf numFmtId="3" fontId="11" fillId="0" borderId="58" xfId="0" applyNumberFormat="1" applyFont="1" applyBorder="1" applyAlignment="1">
      <alignment vertical="center"/>
    </xf>
    <xf numFmtId="3" fontId="11" fillId="0" borderId="59" xfId="0" applyNumberFormat="1" applyFont="1" applyBorder="1" applyAlignment="1">
      <alignment vertical="center"/>
    </xf>
    <xf numFmtId="3" fontId="11" fillId="0" borderId="60" xfId="0" applyNumberFormat="1" applyFont="1" applyBorder="1" applyAlignment="1">
      <alignment vertical="center"/>
    </xf>
    <xf numFmtId="3" fontId="16" fillId="0" borderId="62" xfId="0" applyNumberFormat="1" applyFont="1" applyBorder="1" applyAlignment="1">
      <alignment vertical="center"/>
    </xf>
    <xf numFmtId="3" fontId="16" fillId="0" borderId="63" xfId="0" applyNumberFormat="1" applyFont="1" applyBorder="1" applyAlignment="1">
      <alignment vertical="center"/>
    </xf>
    <xf numFmtId="3" fontId="16" fillId="0" borderId="64" xfId="0" applyNumberFormat="1" applyFon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0" fontId="17" fillId="33" borderId="22" xfId="0" applyFont="1" applyFill="1" applyBorder="1" applyAlignment="1">
      <alignment vertical="center" wrapText="1"/>
    </xf>
    <xf numFmtId="3" fontId="11" fillId="0" borderId="51" xfId="0" applyNumberFormat="1" applyFont="1" applyBorder="1" applyAlignment="1">
      <alignment vertical="center"/>
    </xf>
    <xf numFmtId="3" fontId="11" fillId="0" borderId="52" xfId="0" applyNumberFormat="1" applyFont="1" applyBorder="1" applyAlignment="1">
      <alignment vertical="center"/>
    </xf>
    <xf numFmtId="3" fontId="11" fillId="0" borderId="53" xfId="0" applyNumberFormat="1" applyFont="1" applyBorder="1" applyAlignment="1">
      <alignment vertical="center"/>
    </xf>
    <xf numFmtId="3" fontId="11" fillId="0" borderId="53" xfId="0" applyNumberFormat="1" applyFont="1" applyBorder="1" applyAlignment="1">
      <alignment horizontal="right" vertical="center"/>
    </xf>
    <xf numFmtId="0" fontId="20" fillId="0" borderId="4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7" fillId="0" borderId="22" xfId="0" applyFont="1" applyFill="1" applyBorder="1" applyAlignment="1">
      <alignment vertical="center"/>
    </xf>
    <xf numFmtId="3" fontId="16" fillId="0" borderId="50" xfId="0" applyNumberFormat="1" applyFont="1" applyFill="1" applyBorder="1" applyAlignment="1">
      <alignment vertical="center"/>
    </xf>
    <xf numFmtId="3" fontId="16" fillId="0" borderId="51" xfId="0" applyNumberFormat="1" applyFont="1" applyFill="1" applyBorder="1" applyAlignment="1">
      <alignment vertical="center"/>
    </xf>
    <xf numFmtId="3" fontId="16" fillId="0" borderId="52" xfId="0" applyNumberFormat="1" applyFont="1" applyFill="1" applyBorder="1" applyAlignment="1">
      <alignment vertical="center"/>
    </xf>
    <xf numFmtId="3" fontId="16" fillId="0" borderId="53" xfId="0" applyNumberFormat="1" applyFont="1" applyFill="1" applyBorder="1" applyAlignment="1">
      <alignment vertical="center"/>
    </xf>
    <xf numFmtId="3" fontId="16" fillId="0" borderId="57" xfId="0" applyNumberFormat="1" applyFont="1" applyFill="1" applyBorder="1" applyAlignment="1">
      <alignment vertical="center"/>
    </xf>
    <xf numFmtId="3" fontId="16" fillId="0" borderId="60" xfId="0" applyNumberFormat="1" applyFont="1" applyFill="1" applyBorder="1" applyAlignment="1">
      <alignment vertical="center"/>
    </xf>
    <xf numFmtId="3" fontId="16" fillId="0" borderId="27" xfId="0" applyNumberFormat="1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3" fontId="16" fillId="0" borderId="65" xfId="0" applyNumberFormat="1" applyFont="1" applyBorder="1" applyAlignment="1">
      <alignment vertical="center"/>
    </xf>
    <xf numFmtId="3" fontId="16" fillId="0" borderId="66" xfId="0" applyNumberFormat="1" applyFont="1" applyBorder="1" applyAlignment="1">
      <alignment vertical="center"/>
    </xf>
    <xf numFmtId="3" fontId="16" fillId="0" borderId="67" xfId="0" applyNumberFormat="1" applyFont="1" applyBorder="1" applyAlignment="1">
      <alignment vertical="center"/>
    </xf>
    <xf numFmtId="3" fontId="16" fillId="0" borderId="68" xfId="0" applyNumberFormat="1" applyFont="1" applyBorder="1" applyAlignment="1">
      <alignment vertical="center"/>
    </xf>
    <xf numFmtId="0" fontId="21" fillId="0" borderId="43" xfId="0" applyFont="1" applyBorder="1" applyAlignment="1">
      <alignment vertical="center"/>
    </xf>
    <xf numFmtId="0" fontId="22" fillId="0" borderId="19" xfId="0" applyFont="1" applyFill="1" applyBorder="1" applyAlignment="1">
      <alignment vertical="center"/>
    </xf>
    <xf numFmtId="3" fontId="22" fillId="0" borderId="49" xfId="0" applyNumberFormat="1" applyFont="1" applyBorder="1" applyAlignment="1">
      <alignment vertical="center"/>
    </xf>
    <xf numFmtId="3" fontId="22" fillId="0" borderId="48" xfId="0" applyNumberFormat="1" applyFont="1" applyBorder="1" applyAlignment="1">
      <alignment vertical="center"/>
    </xf>
    <xf numFmtId="0" fontId="17" fillId="0" borderId="31" xfId="0" applyFont="1" applyFill="1" applyBorder="1" applyAlignment="1">
      <alignment vertical="center"/>
    </xf>
    <xf numFmtId="0" fontId="17" fillId="0" borderId="32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17" fillId="0" borderId="34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3" fontId="13" fillId="0" borderId="49" xfId="0" applyNumberFormat="1" applyFont="1" applyBorder="1" applyAlignment="1">
      <alignment horizontal="right" vertical="center"/>
    </xf>
    <xf numFmtId="3" fontId="13" fillId="0" borderId="48" xfId="0" applyNumberFormat="1" applyFont="1" applyBorder="1" applyAlignment="1">
      <alignment horizontal="right" vertical="center"/>
    </xf>
    <xf numFmtId="3" fontId="13" fillId="0" borderId="21" xfId="0" applyNumberFormat="1" applyFont="1" applyBorder="1" applyAlignment="1">
      <alignment horizontal="right" vertical="center"/>
    </xf>
    <xf numFmtId="3" fontId="16" fillId="0" borderId="10" xfId="0" applyNumberFormat="1" applyFont="1" applyBorder="1" applyAlignment="1">
      <alignment horizontal="right" vertical="center"/>
    </xf>
    <xf numFmtId="3" fontId="16" fillId="0" borderId="10" xfId="0" applyNumberFormat="1" applyFont="1" applyBorder="1" applyAlignment="1">
      <alignment horizontal="right" vertical="center" shrinkToFit="1"/>
    </xf>
    <xf numFmtId="3" fontId="16" fillId="0" borderId="54" xfId="0" applyNumberFormat="1" applyFont="1" applyBorder="1" applyAlignment="1">
      <alignment horizontal="right" vertical="center" wrapText="1"/>
    </xf>
    <xf numFmtId="3" fontId="16" fillId="0" borderId="54" xfId="0" applyNumberFormat="1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vertical="center"/>
    </xf>
    <xf numFmtId="0" fontId="21" fillId="0" borderId="43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3" fillId="0" borderId="29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7" fillId="0" borderId="46" xfId="0" applyFont="1" applyFill="1" applyBorder="1" applyAlignment="1">
      <alignment vertical="center"/>
    </xf>
    <xf numFmtId="0" fontId="17" fillId="0" borderId="28" xfId="0" applyFont="1" applyBorder="1" applyAlignment="1">
      <alignment/>
    </xf>
    <xf numFmtId="3" fontId="16" fillId="0" borderId="54" xfId="0" applyNumberFormat="1" applyFont="1" applyBorder="1" applyAlignment="1">
      <alignment/>
    </xf>
    <xf numFmtId="3" fontId="16" fillId="0" borderId="55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16" fillId="0" borderId="56" xfId="0" applyNumberFormat="1" applyFont="1" applyBorder="1" applyAlignment="1">
      <alignment/>
    </xf>
    <xf numFmtId="3" fontId="16" fillId="0" borderId="33" xfId="0" applyNumberFormat="1" applyFont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17" fillId="0" borderId="22" xfId="0" applyFont="1" applyBorder="1" applyAlignment="1">
      <alignment/>
    </xf>
    <xf numFmtId="3" fontId="16" fillId="0" borderId="50" xfId="0" applyNumberFormat="1" applyFont="1" applyBorder="1" applyAlignment="1">
      <alignment/>
    </xf>
    <xf numFmtId="3" fontId="16" fillId="0" borderId="51" xfId="0" applyNumberFormat="1" applyFont="1" applyBorder="1" applyAlignment="1">
      <alignment/>
    </xf>
    <xf numFmtId="3" fontId="16" fillId="0" borderId="52" xfId="0" applyNumberFormat="1" applyFont="1" applyBorder="1" applyAlignment="1">
      <alignment/>
    </xf>
    <xf numFmtId="3" fontId="16" fillId="0" borderId="53" xfId="0" applyNumberFormat="1" applyFont="1" applyBorder="1" applyAlignment="1">
      <alignment/>
    </xf>
    <xf numFmtId="3" fontId="16" fillId="0" borderId="24" xfId="0" applyNumberFormat="1" applyFont="1" applyBorder="1" applyAlignment="1">
      <alignment/>
    </xf>
    <xf numFmtId="3" fontId="16" fillId="0" borderId="50" xfId="0" applyNumberFormat="1" applyFont="1" applyFill="1" applyBorder="1" applyAlignment="1">
      <alignment/>
    </xf>
    <xf numFmtId="3" fontId="16" fillId="0" borderId="51" xfId="0" applyNumberFormat="1" applyFont="1" applyFill="1" applyBorder="1" applyAlignment="1">
      <alignment/>
    </xf>
    <xf numFmtId="3" fontId="16" fillId="0" borderId="52" xfId="0" applyNumberFormat="1" applyFont="1" applyFill="1" applyBorder="1" applyAlignment="1">
      <alignment/>
    </xf>
    <xf numFmtId="3" fontId="16" fillId="0" borderId="53" xfId="0" applyNumberFormat="1" applyFont="1" applyFill="1" applyBorder="1" applyAlignment="1">
      <alignment/>
    </xf>
    <xf numFmtId="3" fontId="16" fillId="0" borderId="24" xfId="0" applyNumberFormat="1" applyFont="1" applyFill="1" applyBorder="1" applyAlignment="1">
      <alignment/>
    </xf>
    <xf numFmtId="0" fontId="21" fillId="0" borderId="0" xfId="0" applyFont="1" applyAlignment="1">
      <alignment/>
    </xf>
    <xf numFmtId="3" fontId="16" fillId="0" borderId="52" xfId="0" applyNumberFormat="1" applyFont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17" fillId="0" borderId="32" xfId="0" applyFont="1" applyBorder="1" applyAlignment="1">
      <alignment/>
    </xf>
    <xf numFmtId="0" fontId="17" fillId="0" borderId="43" xfId="0" applyFont="1" applyBorder="1" applyAlignment="1">
      <alignment/>
    </xf>
    <xf numFmtId="3" fontId="16" fillId="0" borderId="43" xfId="0" applyNumberFormat="1" applyFont="1" applyBorder="1" applyAlignment="1">
      <alignment/>
    </xf>
    <xf numFmtId="3" fontId="16" fillId="0" borderId="69" xfId="0" applyNumberFormat="1" applyFont="1" applyBorder="1" applyAlignment="1">
      <alignment/>
    </xf>
    <xf numFmtId="3" fontId="16" fillId="0" borderId="70" xfId="0" applyNumberFormat="1" applyFont="1" applyBorder="1" applyAlignment="1">
      <alignment/>
    </xf>
    <xf numFmtId="3" fontId="16" fillId="0" borderId="38" xfId="0" applyNumberFormat="1" applyFont="1" applyBorder="1" applyAlignment="1">
      <alignment/>
    </xf>
    <xf numFmtId="3" fontId="16" fillId="0" borderId="14" xfId="0" applyNumberFormat="1" applyFont="1" applyBorder="1" applyAlignment="1">
      <alignment/>
    </xf>
    <xf numFmtId="0" fontId="17" fillId="0" borderId="25" xfId="0" applyFont="1" applyBorder="1" applyAlignment="1">
      <alignment/>
    </xf>
    <xf numFmtId="3" fontId="16" fillId="0" borderId="57" xfId="0" applyNumberFormat="1" applyFont="1" applyBorder="1" applyAlignment="1">
      <alignment/>
    </xf>
    <xf numFmtId="3" fontId="16" fillId="0" borderId="58" xfId="0" applyNumberFormat="1" applyFont="1" applyBorder="1" applyAlignment="1">
      <alignment/>
    </xf>
    <xf numFmtId="3" fontId="16" fillId="0" borderId="59" xfId="0" applyNumberFormat="1" applyFont="1" applyBorder="1" applyAlignment="1">
      <alignment/>
    </xf>
    <xf numFmtId="3" fontId="16" fillId="0" borderId="60" xfId="0" applyNumberFormat="1" applyFont="1" applyBorder="1" applyAlignment="1">
      <alignment/>
    </xf>
    <xf numFmtId="3" fontId="16" fillId="0" borderId="27" xfId="0" applyNumberFormat="1" applyFont="1" applyBorder="1" applyAlignment="1">
      <alignment/>
    </xf>
    <xf numFmtId="0" fontId="17" fillId="0" borderId="45" xfId="0" applyFont="1" applyBorder="1" applyAlignment="1">
      <alignment/>
    </xf>
    <xf numFmtId="0" fontId="17" fillId="0" borderId="22" xfId="0" applyFont="1" applyBorder="1" applyAlignment="1">
      <alignment wrapText="1"/>
    </xf>
    <xf numFmtId="0" fontId="17" fillId="0" borderId="31" xfId="0" applyFont="1" applyFill="1" applyBorder="1" applyAlignment="1">
      <alignment/>
    </xf>
    <xf numFmtId="3" fontId="16" fillId="0" borderId="71" xfId="0" applyNumberFormat="1" applyFont="1" applyBorder="1" applyAlignment="1">
      <alignment/>
    </xf>
    <xf numFmtId="0" fontId="21" fillId="0" borderId="43" xfId="0" applyFont="1" applyBorder="1" applyAlignment="1">
      <alignment/>
    </xf>
    <xf numFmtId="0" fontId="17" fillId="0" borderId="25" xfId="0" applyFont="1" applyFill="1" applyBorder="1" applyAlignment="1">
      <alignment vertical="center"/>
    </xf>
    <xf numFmtId="0" fontId="19" fillId="0" borderId="43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17" fillId="0" borderId="31" xfId="0" applyFont="1" applyBorder="1" applyAlignment="1">
      <alignment horizontal="left" vertical="center" wrapText="1"/>
    </xf>
    <xf numFmtId="3" fontId="0" fillId="0" borderId="0" xfId="0" applyNumberFormat="1" applyFont="1" applyAlignment="1">
      <alignment horizontal="left" vertical="center"/>
    </xf>
    <xf numFmtId="0" fontId="13" fillId="0" borderId="17" xfId="0" applyFont="1" applyBorder="1" applyAlignment="1">
      <alignment vertical="center" wrapText="1"/>
    </xf>
    <xf numFmtId="3" fontId="12" fillId="0" borderId="17" xfId="0" applyNumberFormat="1" applyFont="1" applyBorder="1" applyAlignment="1">
      <alignment horizontal="left" vertical="center"/>
    </xf>
    <xf numFmtId="3" fontId="12" fillId="0" borderId="39" xfId="0" applyNumberFormat="1" applyFont="1" applyBorder="1" applyAlignment="1">
      <alignment horizontal="left" vertical="center"/>
    </xf>
    <xf numFmtId="3" fontId="13" fillId="0" borderId="18" xfId="0" applyNumberFormat="1" applyFont="1" applyBorder="1" applyAlignment="1">
      <alignment vertical="center"/>
    </xf>
    <xf numFmtId="3" fontId="14" fillId="0" borderId="17" xfId="0" applyNumberFormat="1" applyFont="1" applyBorder="1" applyAlignment="1">
      <alignment horizontal="left" vertical="center"/>
    </xf>
    <xf numFmtId="3" fontId="13" fillId="0" borderId="19" xfId="0" applyNumberFormat="1" applyFont="1" applyBorder="1" applyAlignment="1">
      <alignment horizontal="centerContinuous" vertical="center"/>
    </xf>
    <xf numFmtId="3" fontId="13" fillId="0" borderId="20" xfId="0" applyNumberFormat="1" applyFont="1" applyBorder="1" applyAlignment="1">
      <alignment horizontal="centerContinuous" vertical="center"/>
    </xf>
    <xf numFmtId="3" fontId="13" fillId="0" borderId="21" xfId="0" applyNumberFormat="1" applyFont="1" applyBorder="1" applyAlignment="1">
      <alignment horizontal="right" vertical="center"/>
    </xf>
    <xf numFmtId="3" fontId="13" fillId="0" borderId="19" xfId="0" applyNumberFormat="1" applyFont="1" applyBorder="1" applyAlignment="1">
      <alignment horizontal="center" vertical="center"/>
    </xf>
    <xf numFmtId="3" fontId="13" fillId="0" borderId="20" xfId="0" applyNumberFormat="1" applyFont="1" applyBorder="1" applyAlignment="1">
      <alignment horizontal="center" vertical="center"/>
    </xf>
    <xf numFmtId="0" fontId="17" fillId="0" borderId="45" xfId="0" applyFont="1" applyBorder="1" applyAlignment="1">
      <alignment vertical="center" wrapText="1"/>
    </xf>
    <xf numFmtId="0" fontId="12" fillId="0" borderId="40" xfId="0" applyFont="1" applyFill="1" applyBorder="1" applyAlignment="1">
      <alignment vertical="center"/>
    </xf>
    <xf numFmtId="3" fontId="16" fillId="0" borderId="62" xfId="0" applyNumberFormat="1" applyFont="1" applyFill="1" applyBorder="1" applyAlignment="1">
      <alignment vertical="center"/>
    </xf>
    <xf numFmtId="3" fontId="16" fillId="0" borderId="63" xfId="0" applyNumberFormat="1" applyFont="1" applyFill="1" applyBorder="1" applyAlignment="1">
      <alignment vertical="center"/>
    </xf>
    <xf numFmtId="3" fontId="16" fillId="0" borderId="27" xfId="0" applyNumberFormat="1" applyFont="1" applyFill="1" applyBorder="1" applyAlignment="1">
      <alignment horizontal="right" vertical="center"/>
    </xf>
    <xf numFmtId="0" fontId="21" fillId="0" borderId="22" xfId="0" applyFont="1" applyBorder="1" applyAlignment="1">
      <alignment vertical="center"/>
    </xf>
    <xf numFmtId="0" fontId="21" fillId="34" borderId="0" xfId="0" applyFont="1" applyFill="1" applyAlignment="1">
      <alignment vertical="center"/>
    </xf>
    <xf numFmtId="3" fontId="11" fillId="34" borderId="58" xfId="0" applyNumberFormat="1" applyFont="1" applyFill="1" applyBorder="1" applyAlignment="1">
      <alignment vertical="center"/>
    </xf>
    <xf numFmtId="0" fontId="17" fillId="34" borderId="32" xfId="0" applyFont="1" applyFill="1" applyBorder="1" applyAlignment="1">
      <alignment vertical="center" wrapText="1"/>
    </xf>
    <xf numFmtId="3" fontId="0" fillId="34" borderId="24" xfId="0" applyNumberFormat="1" applyFill="1" applyBorder="1" applyAlignment="1">
      <alignment vertical="center" wrapText="1"/>
    </xf>
    <xf numFmtId="3" fontId="16" fillId="34" borderId="24" xfId="0" applyNumberFormat="1" applyFont="1" applyFill="1" applyBorder="1" applyAlignment="1">
      <alignment horizontal="right" vertical="center"/>
    </xf>
    <xf numFmtId="0" fontId="12" fillId="34" borderId="22" xfId="0" applyFont="1" applyFill="1" applyBorder="1" applyAlignment="1">
      <alignment vertical="center"/>
    </xf>
    <xf numFmtId="3" fontId="11" fillId="34" borderId="50" xfId="0" applyNumberFormat="1" applyFont="1" applyFill="1" applyBorder="1" applyAlignment="1">
      <alignment vertical="center"/>
    </xf>
    <xf numFmtId="3" fontId="11" fillId="34" borderId="51" xfId="0" applyNumberFormat="1" applyFont="1" applyFill="1" applyBorder="1" applyAlignment="1">
      <alignment vertical="center"/>
    </xf>
    <xf numFmtId="3" fontId="11" fillId="34" borderId="52" xfId="0" applyNumberFormat="1" applyFont="1" applyFill="1" applyBorder="1" applyAlignment="1">
      <alignment vertical="center"/>
    </xf>
    <xf numFmtId="3" fontId="11" fillId="34" borderId="53" xfId="0" applyNumberFormat="1" applyFont="1" applyFill="1" applyBorder="1" applyAlignment="1">
      <alignment vertical="center"/>
    </xf>
    <xf numFmtId="3" fontId="11" fillId="34" borderId="24" xfId="0" applyNumberFormat="1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Border="1" applyAlignment="1">
      <alignment vertical="center"/>
    </xf>
    <xf numFmtId="0" fontId="17" fillId="34" borderId="32" xfId="0" applyFont="1" applyFill="1" applyBorder="1" applyAlignment="1">
      <alignment horizontal="left" vertical="center" wrapText="1"/>
    </xf>
    <xf numFmtId="3" fontId="16" fillId="34" borderId="50" xfId="0" applyNumberFormat="1" applyFont="1" applyFill="1" applyBorder="1" applyAlignment="1">
      <alignment vertical="center"/>
    </xf>
    <xf numFmtId="3" fontId="16" fillId="34" borderId="51" xfId="0" applyNumberFormat="1" applyFont="1" applyFill="1" applyBorder="1" applyAlignment="1">
      <alignment vertical="center"/>
    </xf>
    <xf numFmtId="3" fontId="16" fillId="34" borderId="52" xfId="0" applyNumberFormat="1" applyFont="1" applyFill="1" applyBorder="1" applyAlignment="1">
      <alignment vertical="center"/>
    </xf>
    <xf numFmtId="3" fontId="16" fillId="34" borderId="53" xfId="0" applyNumberFormat="1" applyFont="1" applyFill="1" applyBorder="1" applyAlignment="1">
      <alignment vertical="center"/>
    </xf>
    <xf numFmtId="3" fontId="16" fillId="34" borderId="24" xfId="0" applyNumberFormat="1" applyFont="1" applyFill="1" applyBorder="1" applyAlignment="1">
      <alignment vertical="center"/>
    </xf>
    <xf numFmtId="3" fontId="17" fillId="0" borderId="22" xfId="0" applyNumberFormat="1" applyFont="1" applyFill="1" applyBorder="1" applyAlignment="1">
      <alignment horizontal="left" vertical="center"/>
    </xf>
    <xf numFmtId="3" fontId="17" fillId="0" borderId="23" xfId="0" applyNumberFormat="1" applyFont="1" applyFill="1" applyBorder="1" applyAlignment="1">
      <alignment horizontal="left" vertical="center"/>
    </xf>
    <xf numFmtId="3" fontId="11" fillId="0" borderId="52" xfId="0" applyNumberFormat="1" applyFont="1" applyFill="1" applyBorder="1" applyAlignment="1">
      <alignment vertical="center"/>
    </xf>
    <xf numFmtId="3" fontId="16" fillId="34" borderId="51" xfId="0" applyNumberFormat="1" applyFont="1" applyFill="1" applyBorder="1" applyAlignment="1">
      <alignment/>
    </xf>
    <xf numFmtId="3" fontId="16" fillId="34" borderId="63" xfId="0" applyNumberFormat="1" applyFont="1" applyFill="1" applyBorder="1" applyAlignment="1">
      <alignment vertical="center"/>
    </xf>
    <xf numFmtId="3" fontId="16" fillId="34" borderId="64" xfId="0" applyNumberFormat="1" applyFont="1" applyFill="1" applyBorder="1" applyAlignment="1">
      <alignment vertical="center"/>
    </xf>
    <xf numFmtId="3" fontId="16" fillId="34" borderId="62" xfId="0" applyNumberFormat="1" applyFont="1" applyFill="1" applyBorder="1" applyAlignment="1">
      <alignment vertical="center"/>
    </xf>
    <xf numFmtId="3" fontId="13" fillId="34" borderId="61" xfId="0" applyNumberFormat="1" applyFont="1" applyFill="1" applyBorder="1" applyAlignment="1">
      <alignment horizontal="right" vertical="center"/>
    </xf>
    <xf numFmtId="3" fontId="13" fillId="34" borderId="21" xfId="0" applyNumberFormat="1" applyFont="1" applyFill="1" applyBorder="1" applyAlignment="1">
      <alignment horizontal="right" vertical="center"/>
    </xf>
    <xf numFmtId="3" fontId="13" fillId="34" borderId="49" xfId="0" applyNumberFormat="1" applyFont="1" applyFill="1" applyBorder="1" applyAlignment="1">
      <alignment horizontal="right" vertical="center"/>
    </xf>
    <xf numFmtId="3" fontId="13" fillId="34" borderId="48" xfId="0" applyNumberFormat="1" applyFont="1" applyFill="1" applyBorder="1" applyAlignment="1">
      <alignment horizontal="right" vertical="center"/>
    </xf>
    <xf numFmtId="3" fontId="16" fillId="34" borderId="56" xfId="0" applyNumberFormat="1" applyFont="1" applyFill="1" applyBorder="1" applyAlignment="1">
      <alignment horizontal="right" vertical="center"/>
    </xf>
    <xf numFmtId="3" fontId="16" fillId="34" borderId="68" xfId="0" applyNumberFormat="1" applyFont="1" applyFill="1" applyBorder="1" applyAlignment="1">
      <alignment horizontal="right" vertical="center"/>
    </xf>
    <xf numFmtId="3" fontId="16" fillId="34" borderId="54" xfId="0" applyNumberFormat="1" applyFont="1" applyFill="1" applyBorder="1" applyAlignment="1">
      <alignment horizontal="right" vertical="center"/>
    </xf>
    <xf numFmtId="3" fontId="16" fillId="34" borderId="10" xfId="0" applyNumberFormat="1" applyFont="1" applyFill="1" applyBorder="1" applyAlignment="1">
      <alignment horizontal="right" vertical="center" shrinkToFit="1"/>
    </xf>
    <xf numFmtId="3" fontId="16" fillId="34" borderId="10" xfId="0" applyNumberFormat="1" applyFont="1" applyFill="1" applyBorder="1" applyAlignment="1">
      <alignment horizontal="right" vertical="center" wrapText="1"/>
    </xf>
    <xf numFmtId="3" fontId="16" fillId="34" borderId="10" xfId="0" applyNumberFormat="1" applyFont="1" applyFill="1" applyBorder="1" applyAlignment="1">
      <alignment horizontal="right" vertical="center"/>
    </xf>
    <xf numFmtId="3" fontId="22" fillId="34" borderId="48" xfId="0" applyNumberFormat="1" applyFont="1" applyFill="1" applyBorder="1" applyAlignment="1">
      <alignment vertical="center"/>
    </xf>
    <xf numFmtId="3" fontId="22" fillId="34" borderId="21" xfId="0" applyNumberFormat="1" applyFont="1" applyFill="1" applyBorder="1" applyAlignment="1">
      <alignment vertical="center"/>
    </xf>
    <xf numFmtId="3" fontId="22" fillId="34" borderId="49" xfId="0" applyNumberFormat="1" applyFont="1" applyFill="1" applyBorder="1" applyAlignment="1">
      <alignment vertical="center"/>
    </xf>
    <xf numFmtId="3" fontId="16" fillId="34" borderId="70" xfId="0" applyNumberFormat="1" applyFont="1" applyFill="1" applyBorder="1" applyAlignment="1">
      <alignment/>
    </xf>
    <xf numFmtId="3" fontId="16" fillId="34" borderId="38" xfId="0" applyNumberFormat="1" applyFont="1" applyFill="1" applyBorder="1" applyAlignment="1">
      <alignment/>
    </xf>
    <xf numFmtId="3" fontId="16" fillId="34" borderId="71" xfId="0" applyNumberFormat="1" applyFont="1" applyFill="1" applyBorder="1" applyAlignment="1">
      <alignment/>
    </xf>
    <xf numFmtId="3" fontId="16" fillId="34" borderId="69" xfId="0" applyNumberFormat="1" applyFont="1" applyFill="1" applyBorder="1" applyAlignment="1">
      <alignment/>
    </xf>
    <xf numFmtId="3" fontId="13" fillId="34" borderId="48" xfId="0" applyNumberFormat="1" applyFont="1" applyFill="1" applyBorder="1" applyAlignment="1">
      <alignment vertical="center"/>
    </xf>
    <xf numFmtId="3" fontId="13" fillId="34" borderId="21" xfId="0" applyNumberFormat="1" applyFont="1" applyFill="1" applyBorder="1" applyAlignment="1">
      <alignment vertical="center"/>
    </xf>
    <xf numFmtId="3" fontId="13" fillId="34" borderId="49" xfId="0" applyNumberFormat="1" applyFont="1" applyFill="1" applyBorder="1" applyAlignment="1">
      <alignment vertical="center"/>
    </xf>
    <xf numFmtId="3" fontId="16" fillId="34" borderId="10" xfId="0" applyNumberFormat="1" applyFont="1" applyFill="1" applyBorder="1" applyAlignment="1">
      <alignment vertical="center"/>
    </xf>
    <xf numFmtId="3" fontId="16" fillId="34" borderId="33" xfId="0" applyNumberFormat="1" applyFont="1" applyFill="1" applyBorder="1" applyAlignment="1">
      <alignment vertical="center"/>
    </xf>
    <xf numFmtId="3" fontId="16" fillId="34" borderId="54" xfId="0" applyNumberFormat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3" fontId="16" fillId="0" borderId="47" xfId="0" applyNumberFormat="1" applyFont="1" applyBorder="1" applyAlignment="1">
      <alignment vertical="center"/>
    </xf>
    <xf numFmtId="3" fontId="16" fillId="0" borderId="72" xfId="0" applyNumberFormat="1" applyFont="1" applyBorder="1" applyAlignment="1">
      <alignment vertical="center"/>
    </xf>
    <xf numFmtId="3" fontId="16" fillId="0" borderId="73" xfId="0" applyNumberFormat="1" applyFont="1" applyBorder="1" applyAlignment="1">
      <alignment vertical="center"/>
    </xf>
    <xf numFmtId="3" fontId="16" fillId="0" borderId="74" xfId="0" applyNumberFormat="1" applyFont="1" applyBorder="1" applyAlignment="1">
      <alignment vertical="center"/>
    </xf>
    <xf numFmtId="3" fontId="16" fillId="0" borderId="72" xfId="0" applyNumberFormat="1" applyFont="1" applyFill="1" applyBorder="1" applyAlignment="1">
      <alignment vertical="center"/>
    </xf>
    <xf numFmtId="3" fontId="16" fillId="0" borderId="73" xfId="0" applyNumberFormat="1" applyFont="1" applyFill="1" applyBorder="1" applyAlignment="1">
      <alignment vertical="center"/>
    </xf>
    <xf numFmtId="3" fontId="11" fillId="0" borderId="50" xfId="0" applyNumberFormat="1" applyFont="1" applyBorder="1" applyAlignment="1">
      <alignment vertical="center"/>
    </xf>
    <xf numFmtId="0" fontId="17" fillId="0" borderId="43" xfId="0" applyFont="1" applyBorder="1" applyAlignment="1">
      <alignment vertical="center"/>
    </xf>
    <xf numFmtId="3" fontId="3" fillId="34" borderId="0" xfId="0" applyNumberFormat="1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3" fontId="16" fillId="0" borderId="15" xfId="0" applyNumberFormat="1" applyFont="1" applyBorder="1" applyAlignment="1">
      <alignment horizontal="right" vertical="center" wrapText="1"/>
    </xf>
    <xf numFmtId="0" fontId="25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17" fillId="0" borderId="42" xfId="0" applyFont="1" applyFill="1" applyBorder="1" applyAlignment="1">
      <alignment horizontal="left" vertical="center" wrapText="1"/>
    </xf>
    <xf numFmtId="3" fontId="16" fillId="0" borderId="15" xfId="0" applyNumberFormat="1" applyFont="1" applyBorder="1" applyAlignment="1">
      <alignment horizontal="right" vertical="center"/>
    </xf>
    <xf numFmtId="0" fontId="17" fillId="34" borderId="45" xfId="0" applyFont="1" applyFill="1" applyBorder="1" applyAlignment="1">
      <alignment horizontal="left" vertical="center" wrapText="1"/>
    </xf>
    <xf numFmtId="0" fontId="12" fillId="0" borderId="44" xfId="0" applyFont="1" applyFill="1" applyBorder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4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0" fontId="12" fillId="0" borderId="16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vertical="center" wrapText="1"/>
    </xf>
    <xf numFmtId="0" fontId="0" fillId="0" borderId="0" xfId="0" applyFill="1" applyAlignment="1">
      <alignment/>
    </xf>
    <xf numFmtId="0" fontId="30" fillId="0" borderId="0" xfId="0" applyFont="1" applyAlignment="1">
      <alignment horizontal="right"/>
    </xf>
    <xf numFmtId="3" fontId="16" fillId="0" borderId="0" xfId="0" applyNumberFormat="1" applyFont="1" applyBorder="1" applyAlignment="1">
      <alignment/>
    </xf>
    <xf numFmtId="0" fontId="37" fillId="0" borderId="0" xfId="0" applyFont="1" applyBorder="1" applyAlignment="1">
      <alignment/>
    </xf>
    <xf numFmtId="3" fontId="16" fillId="0" borderId="75" xfId="0" applyNumberFormat="1" applyFont="1" applyBorder="1" applyAlignment="1">
      <alignment horizontal="right" vertical="center"/>
    </xf>
    <xf numFmtId="3" fontId="16" fillId="0" borderId="76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 wrapText="1"/>
    </xf>
    <xf numFmtId="3" fontId="16" fillId="0" borderId="47" xfId="0" applyNumberFormat="1" applyFont="1" applyBorder="1" applyAlignment="1">
      <alignment horizontal="right" vertical="center"/>
    </xf>
    <xf numFmtId="3" fontId="16" fillId="0" borderId="73" xfId="0" applyNumberFormat="1" applyFont="1" applyBorder="1" applyAlignment="1">
      <alignment horizontal="right" vertical="center"/>
    </xf>
    <xf numFmtId="3" fontId="0" fillId="0" borderId="30" xfId="0" applyNumberFormat="1" applyFont="1" applyBorder="1" applyAlignment="1">
      <alignment horizontal="right" vertical="center" wrapText="1"/>
    </xf>
    <xf numFmtId="3" fontId="11" fillId="0" borderId="16" xfId="0" applyNumberFormat="1" applyFont="1" applyBorder="1" applyAlignment="1">
      <alignment horizontal="right" vertical="center"/>
    </xf>
    <xf numFmtId="3" fontId="16" fillId="0" borderId="16" xfId="0" applyNumberFormat="1" applyFont="1" applyBorder="1" applyAlignment="1">
      <alignment horizontal="right" vertical="center"/>
    </xf>
    <xf numFmtId="3" fontId="11" fillId="0" borderId="40" xfId="0" applyNumberFormat="1" applyFont="1" applyBorder="1" applyAlignment="1">
      <alignment horizontal="right" vertical="center"/>
    </xf>
    <xf numFmtId="3" fontId="16" fillId="0" borderId="4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12" fillId="0" borderId="57" xfId="0" applyNumberFormat="1" applyFont="1" applyBorder="1" applyAlignment="1">
      <alignment horizontal="center" vertical="center" wrapText="1"/>
    </xf>
    <xf numFmtId="3" fontId="12" fillId="0" borderId="71" xfId="0" applyNumberFormat="1" applyFont="1" applyBorder="1" applyAlignment="1">
      <alignment horizontal="center" vertical="center" wrapText="1"/>
    </xf>
    <xf numFmtId="3" fontId="12" fillId="0" borderId="75" xfId="0" applyNumberFormat="1" applyFont="1" applyBorder="1" applyAlignment="1">
      <alignment horizontal="center" vertical="center" wrapText="1"/>
    </xf>
    <xf numFmtId="3" fontId="12" fillId="0" borderId="59" xfId="0" applyNumberFormat="1" applyFont="1" applyBorder="1" applyAlignment="1">
      <alignment horizontal="center" vertical="center" wrapText="1"/>
    </xf>
    <xf numFmtId="3" fontId="12" fillId="0" borderId="70" xfId="0" applyNumberFormat="1" applyFont="1" applyBorder="1" applyAlignment="1">
      <alignment horizontal="center" vertical="center" wrapText="1"/>
    </xf>
    <xf numFmtId="3" fontId="12" fillId="0" borderId="76" xfId="0" applyNumberFormat="1" applyFont="1" applyBorder="1" applyAlignment="1">
      <alignment horizontal="center" vertical="center" wrapText="1"/>
    </xf>
    <xf numFmtId="3" fontId="12" fillId="0" borderId="58" xfId="0" applyNumberFormat="1" applyFont="1" applyBorder="1" applyAlignment="1">
      <alignment horizontal="center" vertical="center" wrapText="1"/>
    </xf>
    <xf numFmtId="3" fontId="12" fillId="0" borderId="69" xfId="0" applyNumberFormat="1" applyFont="1" applyBorder="1" applyAlignment="1">
      <alignment horizontal="center" vertical="center" wrapText="1"/>
    </xf>
    <xf numFmtId="3" fontId="12" fillId="0" borderId="77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 wrapText="1"/>
    </xf>
    <xf numFmtId="0" fontId="12" fillId="0" borderId="76" xfId="0" applyFont="1" applyBorder="1" applyAlignment="1">
      <alignment horizontal="center" vertical="center" wrapText="1"/>
    </xf>
    <xf numFmtId="3" fontId="15" fillId="0" borderId="59" xfId="0" applyNumberFormat="1" applyFont="1" applyBorder="1" applyAlignment="1">
      <alignment horizontal="center" vertical="center" wrapText="1"/>
    </xf>
    <xf numFmtId="3" fontId="15" fillId="0" borderId="70" xfId="0" applyNumberFormat="1" applyFont="1" applyBorder="1" applyAlignment="1">
      <alignment horizontal="center" vertical="center" wrapText="1"/>
    </xf>
    <xf numFmtId="3" fontId="15" fillId="0" borderId="76" xfId="0" applyNumberFormat="1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 shrinkToFit="1"/>
    </xf>
    <xf numFmtId="0" fontId="12" fillId="0" borderId="76" xfId="0" applyFont="1" applyBorder="1" applyAlignment="1">
      <alignment horizontal="center" vertical="center" wrapText="1" shrinkToFit="1"/>
    </xf>
    <xf numFmtId="0" fontId="2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 wrapText="1"/>
    </xf>
    <xf numFmtId="3" fontId="13" fillId="0" borderId="78" xfId="0" applyNumberFormat="1" applyFont="1" applyBorder="1" applyAlignment="1">
      <alignment horizontal="center" vertical="center"/>
    </xf>
    <xf numFmtId="3" fontId="13" fillId="0" borderId="79" xfId="0" applyNumberFormat="1" applyFont="1" applyBorder="1" applyAlignment="1">
      <alignment horizontal="center" vertical="center"/>
    </xf>
    <xf numFmtId="3" fontId="13" fillId="0" borderId="66" xfId="0" applyNumberFormat="1" applyFont="1" applyBorder="1" applyAlignment="1">
      <alignment horizontal="center" vertical="center"/>
    </xf>
    <xf numFmtId="3" fontId="13" fillId="0" borderId="17" xfId="0" applyNumberFormat="1" applyFont="1" applyBorder="1" applyAlignment="1">
      <alignment horizontal="center" vertical="center"/>
    </xf>
    <xf numFmtId="3" fontId="13" fillId="0" borderId="39" xfId="0" applyNumberFormat="1" applyFont="1" applyBorder="1" applyAlignment="1">
      <alignment horizontal="center" vertical="center"/>
    </xf>
    <xf numFmtId="3" fontId="13" fillId="0" borderId="77" xfId="0" applyNumberFormat="1" applyFont="1" applyBorder="1" applyAlignment="1">
      <alignment horizontal="center" vertical="center"/>
    </xf>
    <xf numFmtId="3" fontId="17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72" xfId="0" applyBorder="1" applyAlignment="1">
      <alignment horizontal="left" vertical="center" wrapText="1"/>
    </xf>
    <xf numFmtId="3" fontId="17" fillId="0" borderId="22" xfId="0" applyNumberFormat="1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3" fontId="17" fillId="0" borderId="22" xfId="0" applyNumberFormat="1" applyFont="1" applyBorder="1" applyAlignment="1">
      <alignment horizontal="left" vertical="center"/>
    </xf>
    <xf numFmtId="3" fontId="17" fillId="0" borderId="23" xfId="0" applyNumberFormat="1" applyFont="1" applyBorder="1" applyAlignment="1">
      <alignment horizontal="left" vertical="center"/>
    </xf>
    <xf numFmtId="3" fontId="17" fillId="0" borderId="51" xfId="0" applyNumberFormat="1" applyFont="1" applyBorder="1" applyAlignment="1">
      <alignment horizontal="left" vertical="center"/>
    </xf>
    <xf numFmtId="3" fontId="12" fillId="0" borderId="22" xfId="0" applyNumberFormat="1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3" fontId="12" fillId="0" borderId="25" xfId="0" applyNumberFormat="1" applyFont="1" applyBorder="1" applyAlignment="1">
      <alignment horizontal="left" vertical="center" wrapText="1"/>
    </xf>
    <xf numFmtId="3" fontId="12" fillId="0" borderId="26" xfId="0" applyNumberFormat="1" applyFont="1" applyBorder="1" applyAlignment="1">
      <alignment horizontal="left" vertical="center" wrapText="1"/>
    </xf>
    <xf numFmtId="3" fontId="12" fillId="0" borderId="58" xfId="0" applyNumberFormat="1" applyFont="1" applyBorder="1" applyAlignment="1">
      <alignment horizontal="left" vertical="center" wrapText="1"/>
    </xf>
    <xf numFmtId="3" fontId="17" fillId="0" borderId="25" xfId="0" applyNumberFormat="1" applyFont="1" applyBorder="1" applyAlignment="1">
      <alignment horizontal="left" vertical="top" wrapText="1"/>
    </xf>
    <xf numFmtId="3" fontId="17" fillId="0" borderId="26" xfId="0" applyNumberFormat="1" applyFont="1" applyBorder="1" applyAlignment="1">
      <alignment horizontal="left" vertical="top" wrapText="1"/>
    </xf>
    <xf numFmtId="3" fontId="17" fillId="0" borderId="58" xfId="0" applyNumberFormat="1" applyFont="1" applyBorder="1" applyAlignment="1">
      <alignment horizontal="left" vertical="top" wrapText="1"/>
    </xf>
    <xf numFmtId="0" fontId="17" fillId="0" borderId="45" xfId="0" applyFont="1" applyBorder="1" applyAlignment="1">
      <alignment horizontal="left" vertical="center" wrapText="1"/>
    </xf>
    <xf numFmtId="0" fontId="17" fillId="0" borderId="31" xfId="0" applyFont="1" applyBorder="1" applyAlignment="1">
      <alignment horizontal="left" vertical="center" wrapText="1"/>
    </xf>
    <xf numFmtId="3" fontId="17" fillId="0" borderId="25" xfId="0" applyNumberFormat="1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3" fontId="16" fillId="0" borderId="27" xfId="0" applyNumberFormat="1" applyFont="1" applyBorder="1" applyAlignment="1">
      <alignment horizontal="right" vertical="center"/>
    </xf>
    <xf numFmtId="3" fontId="16" fillId="0" borderId="33" xfId="0" applyNumberFormat="1" applyFont="1" applyBorder="1" applyAlignment="1">
      <alignment horizontal="right" vertical="center"/>
    </xf>
    <xf numFmtId="3" fontId="17" fillId="0" borderId="25" xfId="0" applyNumberFormat="1" applyFont="1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58" xfId="0" applyFill="1" applyBorder="1" applyAlignment="1">
      <alignment horizontal="left" vertical="center" wrapText="1"/>
    </xf>
    <xf numFmtId="3" fontId="17" fillId="0" borderId="34" xfId="0" applyNumberFormat="1" applyFont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80" xfId="0" applyBorder="1" applyAlignment="1">
      <alignment horizontal="left" vertical="center" wrapText="1"/>
    </xf>
    <xf numFmtId="0" fontId="17" fillId="0" borderId="42" xfId="0" applyFont="1" applyBorder="1" applyAlignment="1">
      <alignment horizontal="left" vertical="center" wrapText="1"/>
    </xf>
    <xf numFmtId="3" fontId="17" fillId="0" borderId="78" xfId="0" applyNumberFormat="1" applyFont="1" applyBorder="1" applyAlignment="1">
      <alignment horizontal="left" vertical="center" wrapText="1"/>
    </xf>
    <xf numFmtId="0" fontId="0" fillId="0" borderId="79" xfId="0" applyBorder="1" applyAlignment="1">
      <alignment horizontal="left" vertical="center" wrapText="1"/>
    </xf>
    <xf numFmtId="0" fontId="0" fillId="0" borderId="66" xfId="0" applyBorder="1" applyAlignment="1">
      <alignment horizontal="left" vertical="center" wrapText="1"/>
    </xf>
    <xf numFmtId="3" fontId="16" fillId="0" borderId="15" xfId="0" applyNumberFormat="1" applyFont="1" applyBorder="1" applyAlignment="1">
      <alignment vertical="center"/>
    </xf>
    <xf numFmtId="0" fontId="0" fillId="0" borderId="33" xfId="0" applyBorder="1" applyAlignment="1">
      <alignment vertical="center"/>
    </xf>
    <xf numFmtId="3" fontId="16" fillId="0" borderId="0" xfId="0" applyNumberFormat="1" applyFont="1" applyBorder="1" applyAlignment="1">
      <alignment horizontal="center" vertical="center"/>
    </xf>
    <xf numFmtId="3" fontId="16" fillId="0" borderId="69" xfId="0" applyNumberFormat="1" applyFont="1" applyBorder="1" applyAlignment="1">
      <alignment horizontal="center" vertical="center"/>
    </xf>
    <xf numFmtId="3" fontId="16" fillId="0" borderId="37" xfId="0" applyNumberFormat="1" applyFont="1" applyBorder="1" applyAlignment="1">
      <alignment horizontal="center" vertical="center"/>
    </xf>
    <xf numFmtId="3" fontId="16" fillId="0" borderId="55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17" fillId="0" borderId="44" xfId="0" applyFont="1" applyBorder="1" applyAlignment="1">
      <alignment horizontal="left" vertical="center" wrapText="1"/>
    </xf>
    <xf numFmtId="3" fontId="17" fillId="0" borderId="26" xfId="0" applyNumberFormat="1" applyFont="1" applyBorder="1" applyAlignment="1">
      <alignment horizontal="left" vertical="center" wrapText="1"/>
    </xf>
    <xf numFmtId="3" fontId="17" fillId="0" borderId="58" xfId="0" applyNumberFormat="1" applyFont="1" applyBorder="1" applyAlignment="1">
      <alignment horizontal="left" vertical="center" wrapText="1"/>
    </xf>
    <xf numFmtId="3" fontId="17" fillId="0" borderId="28" xfId="0" applyNumberFormat="1" applyFont="1" applyBorder="1" applyAlignment="1">
      <alignment horizontal="left" vertical="center" wrapText="1"/>
    </xf>
    <xf numFmtId="3" fontId="17" fillId="0" borderId="37" xfId="0" applyNumberFormat="1" applyFont="1" applyBorder="1" applyAlignment="1">
      <alignment horizontal="left" vertical="center" wrapText="1"/>
    </xf>
    <xf numFmtId="3" fontId="17" fillId="0" borderId="55" xfId="0" applyNumberFormat="1" applyFont="1" applyBorder="1" applyAlignment="1">
      <alignment horizontal="left" vertical="center" wrapText="1"/>
    </xf>
    <xf numFmtId="3" fontId="0" fillId="0" borderId="27" xfId="0" applyNumberFormat="1" applyBorder="1" applyAlignment="1">
      <alignment vertical="center"/>
    </xf>
    <xf numFmtId="0" fontId="17" fillId="0" borderId="45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3" fontId="16" fillId="0" borderId="27" xfId="0" applyNumberFormat="1" applyFont="1" applyBorder="1" applyAlignment="1">
      <alignment vertical="center"/>
    </xf>
    <xf numFmtId="3" fontId="16" fillId="0" borderId="33" xfId="0" applyNumberFormat="1" applyFont="1" applyBorder="1" applyAlignment="1">
      <alignment vertical="center"/>
    </xf>
    <xf numFmtId="3" fontId="17" fillId="0" borderId="25" xfId="0" applyNumberFormat="1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3" fontId="17" fillId="0" borderId="28" xfId="0" applyNumberFormat="1" applyFont="1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0" fontId="0" fillId="0" borderId="55" xfId="0" applyFill="1" applyBorder="1" applyAlignment="1">
      <alignment horizontal="left" vertical="center" wrapText="1"/>
    </xf>
    <xf numFmtId="3" fontId="12" fillId="0" borderId="25" xfId="0" applyNumberFormat="1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58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55" xfId="0" applyFont="1" applyBorder="1" applyAlignment="1">
      <alignment vertical="center" wrapText="1"/>
    </xf>
    <xf numFmtId="3" fontId="16" fillId="0" borderId="27" xfId="0" applyNumberFormat="1" applyFont="1" applyFill="1" applyBorder="1" applyAlignment="1">
      <alignment horizontal="right" vertical="center" wrapText="1"/>
    </xf>
    <xf numFmtId="0" fontId="21" fillId="0" borderId="33" xfId="0" applyFont="1" applyFill="1" applyBorder="1" applyAlignment="1">
      <alignment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17" fillId="34" borderId="45" xfId="0" applyFont="1" applyFill="1" applyBorder="1" applyAlignment="1">
      <alignment horizontal="left" vertical="center" wrapText="1"/>
    </xf>
    <xf numFmtId="0" fontId="17" fillId="34" borderId="31" xfId="0" applyFont="1" applyFill="1" applyBorder="1" applyAlignment="1">
      <alignment horizontal="left" vertical="center" wrapText="1"/>
    </xf>
    <xf numFmtId="3" fontId="17" fillId="34" borderId="25" xfId="0" applyNumberFormat="1" applyFont="1" applyFill="1" applyBorder="1" applyAlignment="1">
      <alignment horizontal="left" vertical="center" wrapText="1"/>
    </xf>
    <xf numFmtId="0" fontId="0" fillId="34" borderId="26" xfId="0" applyFill="1" applyBorder="1" applyAlignment="1">
      <alignment horizontal="left" vertical="center" wrapText="1"/>
    </xf>
    <xf numFmtId="0" fontId="0" fillId="34" borderId="58" xfId="0" applyFill="1" applyBorder="1" applyAlignment="1">
      <alignment horizontal="left" vertical="center" wrapText="1"/>
    </xf>
    <xf numFmtId="0" fontId="0" fillId="34" borderId="28" xfId="0" applyFill="1" applyBorder="1" applyAlignment="1">
      <alignment horizontal="left" vertical="center" wrapText="1"/>
    </xf>
    <xf numFmtId="0" fontId="0" fillId="34" borderId="37" xfId="0" applyFill="1" applyBorder="1" applyAlignment="1">
      <alignment horizontal="left" vertical="center" wrapText="1"/>
    </xf>
    <xf numFmtId="0" fontId="0" fillId="34" borderId="55" xfId="0" applyFill="1" applyBorder="1" applyAlignment="1">
      <alignment horizontal="left" vertical="center" wrapText="1"/>
    </xf>
    <xf numFmtId="3" fontId="16" fillId="34" borderId="27" xfId="0" applyNumberFormat="1" applyFont="1" applyFill="1" applyBorder="1" applyAlignment="1">
      <alignment vertical="center"/>
    </xf>
    <xf numFmtId="0" fontId="0" fillId="34" borderId="33" xfId="0" applyFill="1" applyBorder="1" applyAlignment="1">
      <alignment vertical="center"/>
    </xf>
    <xf numFmtId="3" fontId="17" fillId="34" borderId="25" xfId="0" applyNumberFormat="1" applyFont="1" applyFill="1" applyBorder="1" applyAlignment="1">
      <alignment horizontal="left" vertical="center"/>
    </xf>
    <xf numFmtId="3" fontId="17" fillId="34" borderId="26" xfId="0" applyNumberFormat="1" applyFont="1" applyFill="1" applyBorder="1" applyAlignment="1">
      <alignment horizontal="left" vertical="center"/>
    </xf>
    <xf numFmtId="3" fontId="17" fillId="34" borderId="58" xfId="0" applyNumberFormat="1" applyFont="1" applyFill="1" applyBorder="1" applyAlignment="1">
      <alignment horizontal="left" vertical="center"/>
    </xf>
    <xf numFmtId="3" fontId="17" fillId="34" borderId="28" xfId="0" applyNumberFormat="1" applyFont="1" applyFill="1" applyBorder="1" applyAlignment="1">
      <alignment horizontal="left" vertical="center"/>
    </xf>
    <xf numFmtId="3" fontId="17" fillId="34" borderId="37" xfId="0" applyNumberFormat="1" applyFont="1" applyFill="1" applyBorder="1" applyAlignment="1">
      <alignment horizontal="left" vertical="center"/>
    </xf>
    <xf numFmtId="3" fontId="17" fillId="34" borderId="55" xfId="0" applyNumberFormat="1" applyFont="1" applyFill="1" applyBorder="1" applyAlignment="1">
      <alignment horizontal="left" vertical="center"/>
    </xf>
    <xf numFmtId="3" fontId="16" fillId="34" borderId="27" xfId="0" applyNumberFormat="1" applyFont="1" applyFill="1" applyBorder="1" applyAlignment="1">
      <alignment horizontal="right" vertical="center"/>
    </xf>
    <xf numFmtId="0" fontId="0" fillId="34" borderId="33" xfId="0" applyFill="1" applyBorder="1" applyAlignment="1">
      <alignment horizontal="right" vertical="center"/>
    </xf>
    <xf numFmtId="3" fontId="17" fillId="34" borderId="22" xfId="0" applyNumberFormat="1" applyFont="1" applyFill="1" applyBorder="1" applyAlignment="1">
      <alignment vertical="center" wrapText="1"/>
    </xf>
    <xf numFmtId="0" fontId="0" fillId="34" borderId="23" xfId="0" applyFill="1" applyBorder="1" applyAlignment="1">
      <alignment vertical="center" wrapText="1"/>
    </xf>
    <xf numFmtId="0" fontId="30" fillId="34" borderId="23" xfId="0" applyFont="1" applyFill="1" applyBorder="1" applyAlignment="1">
      <alignment horizontal="left" vertical="center" wrapText="1"/>
    </xf>
    <xf numFmtId="0" fontId="30" fillId="34" borderId="51" xfId="0" applyFont="1" applyFill="1" applyBorder="1" applyAlignment="1">
      <alignment horizontal="left" vertical="center" wrapText="1"/>
    </xf>
    <xf numFmtId="3" fontId="27" fillId="0" borderId="25" xfId="0" applyNumberFormat="1" applyFont="1" applyBorder="1" applyAlignment="1">
      <alignment horizontal="center" vertical="center"/>
    </xf>
    <xf numFmtId="3" fontId="27" fillId="0" borderId="26" xfId="0" applyNumberFormat="1" applyFont="1" applyBorder="1" applyAlignment="1">
      <alignment horizontal="center" vertical="center"/>
    </xf>
    <xf numFmtId="3" fontId="27" fillId="0" borderId="58" xfId="0" applyNumberFormat="1" applyFont="1" applyBorder="1" applyAlignment="1">
      <alignment horizontal="center" vertical="center"/>
    </xf>
    <xf numFmtId="3" fontId="27" fillId="0" borderId="28" xfId="0" applyNumberFormat="1" applyFont="1" applyBorder="1" applyAlignment="1">
      <alignment horizontal="center" vertical="center"/>
    </xf>
    <xf numFmtId="3" fontId="27" fillId="0" borderId="37" xfId="0" applyNumberFormat="1" applyFont="1" applyBorder="1" applyAlignment="1">
      <alignment horizontal="center" vertical="center"/>
    </xf>
    <xf numFmtId="3" fontId="27" fillId="0" borderId="55" xfId="0" applyNumberFormat="1" applyFont="1" applyBorder="1" applyAlignment="1">
      <alignment horizontal="center" vertical="center"/>
    </xf>
    <xf numFmtId="3" fontId="11" fillId="0" borderId="27" xfId="0" applyNumberFormat="1" applyFont="1" applyBorder="1" applyAlignment="1">
      <alignment horizontal="right" vertical="center"/>
    </xf>
    <xf numFmtId="3" fontId="11" fillId="0" borderId="33" xfId="0" applyNumberFormat="1" applyFont="1" applyBorder="1" applyAlignment="1">
      <alignment horizontal="right" vertical="center"/>
    </xf>
    <xf numFmtId="3" fontId="17" fillId="0" borderId="28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17" fillId="0" borderId="45" xfId="0" applyFont="1" applyFill="1" applyBorder="1" applyAlignment="1">
      <alignment horizontal="left" vertical="center" wrapText="1"/>
    </xf>
    <xf numFmtId="0" fontId="17" fillId="0" borderId="31" xfId="0" applyFont="1" applyFill="1" applyBorder="1" applyAlignment="1">
      <alignment horizontal="left" vertical="center" wrapText="1"/>
    </xf>
    <xf numFmtId="3" fontId="27" fillId="0" borderId="25" xfId="0" applyNumberFormat="1" applyFont="1" applyFill="1" applyBorder="1" applyAlignment="1">
      <alignment horizontal="center" vertical="center"/>
    </xf>
    <xf numFmtId="3" fontId="27" fillId="0" borderId="26" xfId="0" applyNumberFormat="1" applyFont="1" applyFill="1" applyBorder="1" applyAlignment="1">
      <alignment horizontal="center" vertical="center"/>
    </xf>
    <xf numFmtId="3" fontId="27" fillId="0" borderId="58" xfId="0" applyNumberFormat="1" applyFont="1" applyFill="1" applyBorder="1" applyAlignment="1">
      <alignment horizontal="center" vertical="center"/>
    </xf>
    <xf numFmtId="3" fontId="27" fillId="0" borderId="28" xfId="0" applyNumberFormat="1" applyFont="1" applyFill="1" applyBorder="1" applyAlignment="1">
      <alignment horizontal="center" vertical="center"/>
    </xf>
    <xf numFmtId="3" fontId="27" fillId="0" borderId="37" xfId="0" applyNumberFormat="1" applyFont="1" applyFill="1" applyBorder="1" applyAlignment="1">
      <alignment horizontal="center" vertical="center"/>
    </xf>
    <xf numFmtId="3" fontId="27" fillId="0" borderId="55" xfId="0" applyNumberFormat="1" applyFont="1" applyFill="1" applyBorder="1" applyAlignment="1">
      <alignment horizontal="center" vertical="center"/>
    </xf>
    <xf numFmtId="3" fontId="11" fillId="0" borderId="27" xfId="0" applyNumberFormat="1" applyFont="1" applyFill="1" applyBorder="1" applyAlignment="1">
      <alignment horizontal="right" vertical="center"/>
    </xf>
    <xf numFmtId="3" fontId="11" fillId="0" borderId="33" xfId="0" applyNumberFormat="1" applyFont="1" applyFill="1" applyBorder="1" applyAlignment="1">
      <alignment horizontal="right" vertical="center"/>
    </xf>
    <xf numFmtId="3" fontId="12" fillId="0" borderId="25" xfId="0" applyNumberFormat="1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5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55" xfId="0" applyFont="1" applyFill="1" applyBorder="1" applyAlignment="1">
      <alignment horizontal="left" vertical="center" wrapText="1"/>
    </xf>
    <xf numFmtId="3" fontId="11" fillId="0" borderId="27" xfId="0" applyNumberFormat="1" applyFont="1" applyFill="1" applyBorder="1" applyAlignment="1">
      <alignment horizontal="right" vertical="center" wrapText="1"/>
    </xf>
    <xf numFmtId="0" fontId="0" fillId="0" borderId="33" xfId="0" applyFont="1" applyFill="1" applyBorder="1" applyAlignment="1">
      <alignment horizontal="right" vertical="center" wrapText="1"/>
    </xf>
    <xf numFmtId="0" fontId="0" fillId="0" borderId="4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9" xfId="0" applyBorder="1" applyAlignment="1">
      <alignment horizontal="left" vertical="center" wrapText="1"/>
    </xf>
    <xf numFmtId="3" fontId="16" fillId="0" borderId="15" xfId="0" applyNumberFormat="1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3" fontId="16" fillId="0" borderId="15" xfId="0" applyNumberFormat="1" applyFont="1" applyBorder="1" applyAlignment="1">
      <alignment horizontal="right" vertical="center" wrapText="1"/>
    </xf>
    <xf numFmtId="0" fontId="0" fillId="0" borderId="33" xfId="0" applyBorder="1" applyAlignment="1">
      <alignment horizontal="right" vertical="center" wrapText="1"/>
    </xf>
    <xf numFmtId="0" fontId="17" fillId="34" borderId="44" xfId="0" applyFont="1" applyFill="1" applyBorder="1" applyAlignment="1">
      <alignment horizontal="left" vertical="center" wrapText="1"/>
    </xf>
    <xf numFmtId="3" fontId="17" fillId="34" borderId="26" xfId="0" applyNumberFormat="1" applyFont="1" applyFill="1" applyBorder="1" applyAlignment="1">
      <alignment horizontal="left" vertical="center" wrapText="1"/>
    </xf>
    <xf numFmtId="3" fontId="17" fillId="34" borderId="58" xfId="0" applyNumberFormat="1" applyFont="1" applyFill="1" applyBorder="1" applyAlignment="1">
      <alignment horizontal="left" vertical="center" wrapText="1"/>
    </xf>
    <xf numFmtId="3" fontId="17" fillId="34" borderId="43" xfId="0" applyNumberFormat="1" applyFont="1" applyFill="1" applyBorder="1" applyAlignment="1">
      <alignment horizontal="left" vertical="center" wrapText="1"/>
    </xf>
    <xf numFmtId="3" fontId="17" fillId="34" borderId="0" xfId="0" applyNumberFormat="1" applyFont="1" applyFill="1" applyBorder="1" applyAlignment="1">
      <alignment horizontal="left" vertical="center" wrapText="1"/>
    </xf>
    <xf numFmtId="3" fontId="17" fillId="34" borderId="69" xfId="0" applyNumberFormat="1" applyFont="1" applyFill="1" applyBorder="1" applyAlignment="1">
      <alignment horizontal="left" vertical="center" wrapText="1"/>
    </xf>
    <xf numFmtId="3" fontId="17" fillId="34" borderId="28" xfId="0" applyNumberFormat="1" applyFont="1" applyFill="1" applyBorder="1" applyAlignment="1">
      <alignment horizontal="left" vertical="center" wrapText="1"/>
    </xf>
    <xf numFmtId="3" fontId="17" fillId="34" borderId="37" xfId="0" applyNumberFormat="1" applyFont="1" applyFill="1" applyBorder="1" applyAlignment="1">
      <alignment horizontal="left" vertical="center" wrapText="1"/>
    </xf>
    <xf numFmtId="3" fontId="17" fillId="34" borderId="55" xfId="0" applyNumberFormat="1" applyFont="1" applyFill="1" applyBorder="1" applyAlignment="1">
      <alignment horizontal="left" vertical="center" wrapText="1"/>
    </xf>
    <xf numFmtId="3" fontId="16" fillId="34" borderId="27" xfId="0" applyNumberFormat="1" applyFont="1" applyFill="1" applyBorder="1" applyAlignment="1">
      <alignment horizontal="right" vertical="center" wrapText="1"/>
    </xf>
    <xf numFmtId="3" fontId="16" fillId="34" borderId="38" xfId="0" applyNumberFormat="1" applyFont="1" applyFill="1" applyBorder="1" applyAlignment="1">
      <alignment horizontal="right" vertical="center" wrapText="1"/>
    </xf>
    <xf numFmtId="3" fontId="16" fillId="34" borderId="33" xfId="0" applyNumberFormat="1" applyFont="1" applyFill="1" applyBorder="1" applyAlignment="1">
      <alignment horizontal="right" vertical="center" wrapText="1"/>
    </xf>
    <xf numFmtId="3" fontId="12" fillId="34" borderId="25" xfId="0" applyNumberFormat="1" applyFont="1" applyFill="1" applyBorder="1" applyAlignment="1">
      <alignment horizontal="left" vertical="center" wrapText="1"/>
    </xf>
    <xf numFmtId="0" fontId="0" fillId="34" borderId="26" xfId="0" applyFont="1" applyFill="1" applyBorder="1" applyAlignment="1">
      <alignment horizontal="left" vertical="center" wrapText="1"/>
    </xf>
    <xf numFmtId="0" fontId="0" fillId="34" borderId="58" xfId="0" applyFont="1" applyFill="1" applyBorder="1" applyAlignment="1">
      <alignment horizontal="left" vertical="center" wrapText="1"/>
    </xf>
    <xf numFmtId="3" fontId="12" fillId="34" borderId="43" xfId="0" applyNumberFormat="1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69" xfId="0" applyFont="1" applyFill="1" applyBorder="1" applyAlignment="1">
      <alignment horizontal="left" vertical="center" wrapText="1"/>
    </xf>
    <xf numFmtId="0" fontId="0" fillId="34" borderId="28" xfId="0" applyFont="1" applyFill="1" applyBorder="1" applyAlignment="1">
      <alignment horizontal="left" vertical="center" wrapText="1"/>
    </xf>
    <xf numFmtId="0" fontId="0" fillId="34" borderId="37" xfId="0" applyFont="1" applyFill="1" applyBorder="1" applyAlignment="1">
      <alignment horizontal="left" vertical="center" wrapText="1"/>
    </xf>
    <xf numFmtId="0" fontId="0" fillId="34" borderId="55" xfId="0" applyFont="1" applyFill="1" applyBorder="1" applyAlignment="1">
      <alignment horizontal="left" vertical="center" wrapText="1"/>
    </xf>
    <xf numFmtId="3" fontId="12" fillId="0" borderId="28" xfId="0" applyNumberFormat="1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 wrapText="1"/>
    </xf>
    <xf numFmtId="3" fontId="17" fillId="0" borderId="22" xfId="0" applyNumberFormat="1" applyFont="1" applyFill="1" applyBorder="1" applyAlignment="1">
      <alignment horizontal="left" vertical="center"/>
    </xf>
    <xf numFmtId="3" fontId="17" fillId="0" borderId="23" xfId="0" applyNumberFormat="1" applyFont="1" applyFill="1" applyBorder="1" applyAlignment="1">
      <alignment horizontal="left" vertical="center"/>
    </xf>
    <xf numFmtId="3" fontId="17" fillId="0" borderId="51" xfId="0" applyNumberFormat="1" applyFont="1" applyFill="1" applyBorder="1" applyAlignment="1">
      <alignment horizontal="left" vertical="center"/>
    </xf>
    <xf numFmtId="3" fontId="17" fillId="0" borderId="23" xfId="0" applyNumberFormat="1" applyFont="1" applyBorder="1" applyAlignment="1">
      <alignment horizontal="left" vertical="center" wrapText="1"/>
    </xf>
    <xf numFmtId="3" fontId="17" fillId="0" borderId="51" xfId="0" applyNumberFormat="1" applyFont="1" applyBorder="1" applyAlignment="1">
      <alignment horizontal="left" vertical="center" wrapText="1"/>
    </xf>
    <xf numFmtId="3" fontId="17" fillId="0" borderId="22" xfId="0" applyNumberFormat="1" applyFont="1" applyFill="1" applyBorder="1" applyAlignment="1">
      <alignment horizontal="left" vertical="center" wrapText="1"/>
    </xf>
    <xf numFmtId="3" fontId="17" fillId="0" borderId="23" xfId="0" applyNumberFormat="1" applyFont="1" applyFill="1" applyBorder="1" applyAlignment="1">
      <alignment horizontal="left" vertical="center" wrapText="1"/>
    </xf>
    <xf numFmtId="3" fontId="17" fillId="0" borderId="51" xfId="0" applyNumberFormat="1" applyFont="1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51" xfId="0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horizontal="left" vertical="center" wrapText="1"/>
    </xf>
    <xf numFmtId="3" fontId="12" fillId="0" borderId="23" xfId="0" applyNumberFormat="1" applyFont="1" applyBorder="1" applyAlignment="1">
      <alignment horizontal="left" vertical="center" wrapText="1"/>
    </xf>
    <xf numFmtId="3" fontId="12" fillId="0" borderId="51" xfId="0" applyNumberFormat="1" applyFont="1" applyBorder="1" applyAlignment="1">
      <alignment horizontal="left" vertical="center" wrapText="1"/>
    </xf>
    <xf numFmtId="3" fontId="12" fillId="0" borderId="37" xfId="0" applyNumberFormat="1" applyFont="1" applyBorder="1" applyAlignment="1">
      <alignment horizontal="left" vertical="center" wrapText="1"/>
    </xf>
    <xf numFmtId="3" fontId="12" fillId="0" borderId="55" xfId="0" applyNumberFormat="1" applyFont="1" applyBorder="1" applyAlignment="1">
      <alignment horizontal="left" vertical="center" wrapText="1"/>
    </xf>
    <xf numFmtId="3" fontId="12" fillId="33" borderId="22" xfId="0" applyNumberFormat="1" applyFont="1" applyFill="1" applyBorder="1" applyAlignment="1">
      <alignment horizontal="left" vertical="center" wrapText="1"/>
    </xf>
    <xf numFmtId="3" fontId="12" fillId="33" borderId="23" xfId="0" applyNumberFormat="1" applyFont="1" applyFill="1" applyBorder="1" applyAlignment="1">
      <alignment horizontal="left" vertical="center" wrapText="1"/>
    </xf>
    <xf numFmtId="3" fontId="12" fillId="33" borderId="51" xfId="0" applyNumberFormat="1" applyFont="1" applyFill="1" applyBorder="1" applyAlignment="1">
      <alignment horizontal="left" vertical="center" wrapText="1"/>
    </xf>
    <xf numFmtId="3" fontId="12" fillId="33" borderId="26" xfId="0" applyNumberFormat="1" applyFont="1" applyFill="1" applyBorder="1" applyAlignment="1">
      <alignment horizontal="left" vertical="center" wrapText="1"/>
    </xf>
    <xf numFmtId="3" fontId="12" fillId="33" borderId="58" xfId="0" applyNumberFormat="1" applyFont="1" applyFill="1" applyBorder="1" applyAlignment="1">
      <alignment horizontal="left" vertical="center" wrapText="1"/>
    </xf>
    <xf numFmtId="3" fontId="12" fillId="33" borderId="28" xfId="0" applyNumberFormat="1" applyFont="1" applyFill="1" applyBorder="1" applyAlignment="1">
      <alignment horizontal="left" vertical="center" wrapText="1"/>
    </xf>
    <xf numFmtId="3" fontId="12" fillId="33" borderId="37" xfId="0" applyNumberFormat="1" applyFont="1" applyFill="1" applyBorder="1" applyAlignment="1">
      <alignment horizontal="left" vertical="center" wrapText="1"/>
    </xf>
    <xf numFmtId="3" fontId="12" fillId="33" borderId="55" xfId="0" applyNumberFormat="1" applyFont="1" applyFill="1" applyBorder="1" applyAlignment="1">
      <alignment horizontal="left" vertical="center" wrapText="1"/>
    </xf>
    <xf numFmtId="3" fontId="17" fillId="0" borderId="34" xfId="0" applyNumberFormat="1" applyFont="1" applyBorder="1" applyAlignment="1">
      <alignment horizontal="center" vertical="center"/>
    </xf>
    <xf numFmtId="3" fontId="17" fillId="0" borderId="35" xfId="0" applyNumberFormat="1" applyFont="1" applyBorder="1" applyAlignment="1">
      <alignment horizontal="center" vertical="center"/>
    </xf>
    <xf numFmtId="3" fontId="17" fillId="0" borderId="80" xfId="0" applyNumberFormat="1" applyFont="1" applyBorder="1" applyAlignment="1">
      <alignment horizontal="center" vertical="center"/>
    </xf>
    <xf numFmtId="3" fontId="17" fillId="0" borderId="35" xfId="0" applyNumberFormat="1" applyFont="1" applyBorder="1" applyAlignment="1">
      <alignment horizontal="left" vertical="center" wrapText="1"/>
    </xf>
    <xf numFmtId="3" fontId="17" fillId="0" borderId="80" xfId="0" applyNumberFormat="1" applyFont="1" applyBorder="1" applyAlignment="1">
      <alignment horizontal="left" vertical="center" wrapText="1"/>
    </xf>
    <xf numFmtId="3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7" fillId="0" borderId="42" xfId="0" applyFont="1" applyFill="1" applyBorder="1" applyAlignment="1">
      <alignment horizontal="left" vertical="center" wrapText="1"/>
    </xf>
    <xf numFmtId="0" fontId="17" fillId="0" borderId="44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left" vertical="center" wrapText="1"/>
    </xf>
    <xf numFmtId="3" fontId="12" fillId="0" borderId="78" xfId="0" applyNumberFormat="1" applyFont="1" applyFill="1" applyBorder="1" applyAlignment="1">
      <alignment horizontal="left" vertical="center" wrapText="1"/>
    </xf>
    <xf numFmtId="3" fontId="12" fillId="0" borderId="79" xfId="0" applyNumberFormat="1" applyFont="1" applyFill="1" applyBorder="1" applyAlignment="1">
      <alignment horizontal="left" vertical="center" wrapText="1"/>
    </xf>
    <xf numFmtId="3" fontId="12" fillId="0" borderId="66" xfId="0" applyNumberFormat="1" applyFont="1" applyFill="1" applyBorder="1" applyAlignment="1">
      <alignment horizontal="left" vertical="center" wrapText="1"/>
    </xf>
    <xf numFmtId="3" fontId="12" fillId="0" borderId="43" xfId="0" applyNumberFormat="1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>
      <alignment horizontal="left" vertical="center" wrapText="1"/>
    </xf>
    <xf numFmtId="3" fontId="12" fillId="0" borderId="69" xfId="0" applyNumberFormat="1" applyFont="1" applyFill="1" applyBorder="1" applyAlignment="1">
      <alignment horizontal="left" vertical="center" wrapText="1"/>
    </xf>
    <xf numFmtId="3" fontId="12" fillId="0" borderId="17" xfId="0" applyNumberFormat="1" applyFont="1" applyFill="1" applyBorder="1" applyAlignment="1">
      <alignment horizontal="left" vertical="center" wrapText="1"/>
    </xf>
    <xf numFmtId="3" fontId="12" fillId="0" borderId="39" xfId="0" applyNumberFormat="1" applyFont="1" applyFill="1" applyBorder="1" applyAlignment="1">
      <alignment horizontal="left" vertical="center" wrapText="1"/>
    </xf>
    <xf numFmtId="3" fontId="12" fillId="0" borderId="77" xfId="0" applyNumberFormat="1" applyFont="1" applyFill="1" applyBorder="1" applyAlignment="1">
      <alignment horizontal="left" vertical="center" wrapText="1"/>
    </xf>
    <xf numFmtId="3" fontId="16" fillId="0" borderId="15" xfId="0" applyNumberFormat="1" applyFont="1" applyBorder="1" applyAlignment="1">
      <alignment horizontal="right" vertical="center"/>
    </xf>
    <xf numFmtId="3" fontId="16" fillId="0" borderId="38" xfId="0" applyNumberFormat="1" applyFont="1" applyBorder="1" applyAlignment="1">
      <alignment horizontal="right" vertical="center"/>
    </xf>
    <xf numFmtId="3" fontId="16" fillId="0" borderId="18" xfId="0" applyNumberFormat="1" applyFont="1" applyBorder="1" applyAlignment="1">
      <alignment horizontal="right" vertical="center"/>
    </xf>
    <xf numFmtId="3" fontId="17" fillId="0" borderId="78" xfId="0" applyNumberFormat="1" applyFont="1" applyBorder="1" applyAlignment="1">
      <alignment vertical="center" wrapText="1"/>
    </xf>
    <xf numFmtId="0" fontId="0" fillId="0" borderId="79" xfId="0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9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77" xfId="0" applyBorder="1" applyAlignment="1">
      <alignment vertical="center" wrapText="1"/>
    </xf>
    <xf numFmtId="3" fontId="12" fillId="0" borderId="78" xfId="0" applyNumberFormat="1" applyFont="1" applyBorder="1" applyAlignment="1">
      <alignment horizontal="left" vertical="center" wrapText="1"/>
    </xf>
    <xf numFmtId="3" fontId="12" fillId="0" borderId="22" xfId="0" applyNumberFormat="1" applyFont="1" applyBorder="1" applyAlignment="1">
      <alignment horizontal="left" vertical="center" wrapText="1"/>
    </xf>
    <xf numFmtId="0" fontId="16" fillId="0" borderId="75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39" xfId="0" applyFont="1" applyBorder="1" applyAlignment="1">
      <alignment horizontal="left" vertical="center" wrapText="1"/>
    </xf>
    <xf numFmtId="0" fontId="12" fillId="0" borderId="81" xfId="0" applyFont="1" applyBorder="1" applyAlignment="1">
      <alignment horizontal="left" vertical="center" wrapText="1"/>
    </xf>
    <xf numFmtId="0" fontId="16" fillId="0" borderId="47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39" xfId="0" applyFont="1" applyBorder="1" applyAlignment="1">
      <alignment horizontal="right"/>
    </xf>
    <xf numFmtId="0" fontId="8" fillId="0" borderId="78" xfId="0" applyFont="1" applyBorder="1" applyAlignment="1">
      <alignment horizontal="center" vertical="center" wrapText="1"/>
    </xf>
    <xf numFmtId="0" fontId="32" fillId="0" borderId="79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wrapText="1"/>
    </xf>
    <xf numFmtId="0" fontId="36" fillId="0" borderId="12" xfId="0" applyFont="1" applyBorder="1" applyAlignment="1">
      <alignment horizontal="center" wrapText="1"/>
    </xf>
    <xf numFmtId="0" fontId="36" fillId="0" borderId="13" xfId="0" applyFont="1" applyBorder="1" applyAlignment="1">
      <alignment horizontal="center" wrapText="1"/>
    </xf>
    <xf numFmtId="0" fontId="36" fillId="0" borderId="79" xfId="0" applyFont="1" applyBorder="1" applyAlignment="1">
      <alignment horizontal="center" vertical="center"/>
    </xf>
    <xf numFmtId="0" fontId="36" fillId="0" borderId="39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81" xfId="0" applyFont="1" applyBorder="1" applyAlignment="1">
      <alignment horizontal="center"/>
    </xf>
    <xf numFmtId="3" fontId="11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30" fillId="0" borderId="66" xfId="0" applyFont="1" applyBorder="1" applyAlignment="1">
      <alignment horizontal="center" vertical="center" wrapText="1"/>
    </xf>
    <xf numFmtId="0" fontId="30" fillId="0" borderId="69" xfId="0" applyFont="1" applyBorder="1" applyAlignment="1">
      <alignment horizontal="center" vertical="center" wrapText="1"/>
    </xf>
    <xf numFmtId="0" fontId="30" fillId="0" borderId="77" xfId="0" applyFont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 wrapText="1"/>
    </xf>
    <xf numFmtId="0" fontId="30" fillId="0" borderId="70" xfId="0" applyFont="1" applyBorder="1" applyAlignment="1">
      <alignment horizontal="center" vertical="center" wrapText="1"/>
    </xf>
    <xf numFmtId="0" fontId="30" fillId="0" borderId="76" xfId="0" applyFont="1" applyBorder="1" applyAlignment="1">
      <alignment horizontal="center" vertical="center" wrapText="1"/>
    </xf>
    <xf numFmtId="0" fontId="30" fillId="0" borderId="74" xfId="0" applyFont="1" applyBorder="1" applyAlignment="1">
      <alignment horizontal="center" wrapText="1"/>
    </xf>
    <xf numFmtId="0" fontId="30" fillId="0" borderId="12" xfId="0" applyFont="1" applyBorder="1" applyAlignment="1">
      <alignment horizontal="center" wrapText="1"/>
    </xf>
    <xf numFmtId="0" fontId="30" fillId="0" borderId="72" xfId="0" applyFont="1" applyBorder="1" applyAlignment="1">
      <alignment horizont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/>
    </xf>
    <xf numFmtId="0" fontId="32" fillId="0" borderId="78" xfId="0" applyFont="1" applyBorder="1" applyAlignment="1">
      <alignment horizontal="center" vertical="center" wrapText="1"/>
    </xf>
    <xf numFmtId="0" fontId="32" fillId="0" borderId="79" xfId="0" applyFont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0" fillId="0" borderId="65" xfId="0" applyFont="1" applyBorder="1" applyAlignment="1">
      <alignment horizontal="center" vertical="center" wrapText="1"/>
    </xf>
    <xf numFmtId="0" fontId="30" fillId="0" borderId="71" xfId="0" applyFont="1" applyBorder="1" applyAlignment="1">
      <alignment horizontal="center" vertical="center" wrapText="1"/>
    </xf>
    <xf numFmtId="0" fontId="30" fillId="0" borderId="7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9"/>
  <sheetViews>
    <sheetView showGridLines="0" workbookViewId="0" topLeftCell="A1">
      <pane xSplit="1" ySplit="8" topLeftCell="B7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81" sqref="A81"/>
    </sheetView>
  </sheetViews>
  <sheetFormatPr defaultColWidth="9.00390625" defaultRowHeight="12.75"/>
  <cols>
    <col min="1" max="1" width="59.75390625" style="7" customWidth="1"/>
    <col min="2" max="22" width="7.25390625" style="7" customWidth="1"/>
    <col min="23" max="16384" width="9.125" style="7" customWidth="1"/>
  </cols>
  <sheetData>
    <row r="1" spans="1:22" s="260" customFormat="1" ht="12.75" customHeight="1">
      <c r="A1" s="264"/>
      <c r="B1" s="262"/>
      <c r="C1" s="262"/>
      <c r="D1" s="262"/>
      <c r="E1" s="261"/>
      <c r="F1" s="262"/>
      <c r="G1" s="262"/>
      <c r="H1" s="261"/>
      <c r="I1" s="261"/>
      <c r="J1" s="340"/>
      <c r="K1" s="262"/>
      <c r="L1" s="261"/>
      <c r="M1" s="261" t="s">
        <v>15</v>
      </c>
      <c r="N1" s="261"/>
      <c r="O1" s="262"/>
      <c r="P1" s="261"/>
      <c r="Q1" s="261"/>
      <c r="R1" s="341"/>
      <c r="S1" s="331"/>
      <c r="T1" s="331" t="s">
        <v>198</v>
      </c>
      <c r="U1" s="331"/>
      <c r="V1" s="331"/>
    </row>
    <row r="2" spans="1:22" ht="12.75" customHeight="1">
      <c r="A2" s="128"/>
      <c r="B2" s="129" t="s">
        <v>15</v>
      </c>
      <c r="C2" s="129" t="s">
        <v>15</v>
      </c>
      <c r="D2" s="129"/>
      <c r="E2" s="129"/>
      <c r="F2" s="130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330"/>
      <c r="S2" s="343"/>
      <c r="T2" s="343" t="s">
        <v>196</v>
      </c>
      <c r="U2" s="202"/>
      <c r="V2" s="202"/>
    </row>
    <row r="3" spans="1:22" ht="16.5" customHeight="1">
      <c r="A3" s="381" t="s">
        <v>119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</row>
    <row r="4" spans="1:22" ht="15" customHeight="1" thickBot="1">
      <c r="A4" s="131" t="s">
        <v>38</v>
      </c>
      <c r="B4" s="132"/>
      <c r="C4" s="132"/>
      <c r="D4" s="133"/>
      <c r="E4" s="133"/>
      <c r="F4" s="133"/>
      <c r="G4" s="132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4" t="s">
        <v>9</v>
      </c>
    </row>
    <row r="5" spans="1:22" ht="12.75">
      <c r="A5" s="382" t="s">
        <v>3</v>
      </c>
      <c r="B5" s="3" t="s">
        <v>10</v>
      </c>
      <c r="C5" s="4"/>
      <c r="D5" s="4"/>
      <c r="E5" s="4"/>
      <c r="F5" s="4"/>
      <c r="G5" s="4"/>
      <c r="H5" s="4"/>
      <c r="I5" s="5"/>
      <c r="J5" s="3" t="s">
        <v>11</v>
      </c>
      <c r="K5" s="4"/>
      <c r="L5" s="6"/>
      <c r="M5" s="4"/>
      <c r="N5" s="5"/>
      <c r="O5" s="385" t="s">
        <v>12</v>
      </c>
      <c r="P5" s="386"/>
      <c r="Q5" s="386"/>
      <c r="R5" s="387"/>
      <c r="S5" s="385" t="s">
        <v>13</v>
      </c>
      <c r="T5" s="388"/>
      <c r="U5" s="388"/>
      <c r="V5" s="389"/>
    </row>
    <row r="6" spans="1:23" s="11" customFormat="1" ht="14.25" customHeight="1">
      <c r="A6" s="383"/>
      <c r="B6" s="390" t="s">
        <v>120</v>
      </c>
      <c r="C6" s="393" t="s">
        <v>121</v>
      </c>
      <c r="D6" s="396" t="s">
        <v>54</v>
      </c>
      <c r="E6" s="8" t="s">
        <v>14</v>
      </c>
      <c r="F6" s="8"/>
      <c r="G6" s="8"/>
      <c r="H6" s="9"/>
      <c r="I6" s="399" t="s">
        <v>122</v>
      </c>
      <c r="J6" s="390" t="s">
        <v>120</v>
      </c>
      <c r="K6" s="393" t="s">
        <v>123</v>
      </c>
      <c r="L6" s="396" t="s">
        <v>56</v>
      </c>
      <c r="M6" s="402" t="s">
        <v>57</v>
      </c>
      <c r="N6" s="399" t="s">
        <v>124</v>
      </c>
      <c r="O6" s="390" t="s">
        <v>125</v>
      </c>
      <c r="P6" s="405" t="s">
        <v>126</v>
      </c>
      <c r="Q6" s="402" t="s">
        <v>57</v>
      </c>
      <c r="R6" s="399" t="s">
        <v>122</v>
      </c>
      <c r="S6" s="390" t="s">
        <v>125</v>
      </c>
      <c r="T6" s="405" t="s">
        <v>126</v>
      </c>
      <c r="U6" s="402" t="s">
        <v>57</v>
      </c>
      <c r="V6" s="399" t="s">
        <v>122</v>
      </c>
      <c r="W6" s="10" t="s">
        <v>15</v>
      </c>
    </row>
    <row r="7" spans="1:22" ht="12.75" customHeight="1">
      <c r="A7" s="383"/>
      <c r="B7" s="391"/>
      <c r="C7" s="394" t="s">
        <v>26</v>
      </c>
      <c r="D7" s="397"/>
      <c r="E7" s="408" t="s">
        <v>63</v>
      </c>
      <c r="F7" s="408" t="s">
        <v>44</v>
      </c>
      <c r="G7" s="408" t="s">
        <v>45</v>
      </c>
      <c r="H7" s="402" t="s">
        <v>55</v>
      </c>
      <c r="I7" s="400"/>
      <c r="J7" s="391"/>
      <c r="K7" s="394" t="s">
        <v>26</v>
      </c>
      <c r="L7" s="397"/>
      <c r="M7" s="403"/>
      <c r="N7" s="400"/>
      <c r="O7" s="391"/>
      <c r="P7" s="406"/>
      <c r="Q7" s="403"/>
      <c r="R7" s="400"/>
      <c r="S7" s="391"/>
      <c r="T7" s="406"/>
      <c r="U7" s="403"/>
      <c r="V7" s="400"/>
    </row>
    <row r="8" spans="1:22" ht="53.25" customHeight="1" thickBot="1">
      <c r="A8" s="384"/>
      <c r="B8" s="392"/>
      <c r="C8" s="395" t="s">
        <v>43</v>
      </c>
      <c r="D8" s="398"/>
      <c r="E8" s="409"/>
      <c r="F8" s="409"/>
      <c r="G8" s="409"/>
      <c r="H8" s="404"/>
      <c r="I8" s="401"/>
      <c r="J8" s="392"/>
      <c r="K8" s="395" t="s">
        <v>43</v>
      </c>
      <c r="L8" s="398"/>
      <c r="M8" s="404"/>
      <c r="N8" s="401"/>
      <c r="O8" s="392"/>
      <c r="P8" s="407"/>
      <c r="Q8" s="404"/>
      <c r="R8" s="401"/>
      <c r="S8" s="392"/>
      <c r="T8" s="407"/>
      <c r="U8" s="404"/>
      <c r="V8" s="401"/>
    </row>
    <row r="9" spans="1:22" s="34" customFormat="1" ht="13.5" thickBot="1">
      <c r="A9" s="135" t="s">
        <v>117</v>
      </c>
      <c r="B9" s="136">
        <f>SUM(B10+B25+B40+B58+B75+B77+B79+B85+B87+B89)</f>
        <v>54242</v>
      </c>
      <c r="C9" s="136">
        <f aca="true" t="shared" si="0" ref="C9:V9">SUM(C10+C25+C40+C58+C75+C77+C79+C85+C87+C89)</f>
        <v>46447</v>
      </c>
      <c r="D9" s="136">
        <f t="shared" si="0"/>
        <v>77502</v>
      </c>
      <c r="E9" s="136">
        <f t="shared" si="0"/>
        <v>31689</v>
      </c>
      <c r="F9" s="136">
        <f t="shared" si="0"/>
        <v>7401</v>
      </c>
      <c r="G9" s="136">
        <f t="shared" si="0"/>
        <v>14277</v>
      </c>
      <c r="H9" s="136">
        <f t="shared" si="0"/>
        <v>85646</v>
      </c>
      <c r="I9" s="136">
        <f t="shared" si="0"/>
        <v>46098</v>
      </c>
      <c r="J9" s="136">
        <f t="shared" si="0"/>
        <v>40047</v>
      </c>
      <c r="K9" s="136">
        <f t="shared" si="0"/>
        <v>32813</v>
      </c>
      <c r="L9" s="136">
        <f t="shared" si="0"/>
        <v>11018</v>
      </c>
      <c r="M9" s="136">
        <f t="shared" si="0"/>
        <v>20058</v>
      </c>
      <c r="N9" s="136">
        <f t="shared" si="0"/>
        <v>31007</v>
      </c>
      <c r="O9" s="136">
        <f t="shared" si="0"/>
        <v>21757</v>
      </c>
      <c r="P9" s="136">
        <f t="shared" si="0"/>
        <v>20726</v>
      </c>
      <c r="Q9" s="136">
        <f t="shared" si="0"/>
        <v>13931</v>
      </c>
      <c r="R9" s="136">
        <f t="shared" si="0"/>
        <v>7826</v>
      </c>
      <c r="S9" s="136">
        <f t="shared" si="0"/>
        <v>13350</v>
      </c>
      <c r="T9" s="136">
        <f t="shared" si="0"/>
        <v>13448</v>
      </c>
      <c r="U9" s="136">
        <f t="shared" si="0"/>
        <v>5828</v>
      </c>
      <c r="V9" s="136">
        <f t="shared" si="0"/>
        <v>7522</v>
      </c>
    </row>
    <row r="10" spans="1:22" s="70" customFormat="1" ht="13.5" thickBot="1">
      <c r="A10" s="137" t="s">
        <v>199</v>
      </c>
      <c r="B10" s="138">
        <f aca="true" t="shared" si="1" ref="B10:V10">SUM(B11:B24)</f>
        <v>2341</v>
      </c>
      <c r="C10" s="136">
        <f t="shared" si="1"/>
        <v>2341</v>
      </c>
      <c r="D10" s="136">
        <f t="shared" si="1"/>
        <v>1495</v>
      </c>
      <c r="E10" s="136">
        <f t="shared" si="1"/>
        <v>141</v>
      </c>
      <c r="F10" s="136">
        <f t="shared" si="1"/>
        <v>0</v>
      </c>
      <c r="G10" s="136">
        <f t="shared" si="1"/>
        <v>0</v>
      </c>
      <c r="H10" s="136">
        <f t="shared" si="1"/>
        <v>863</v>
      </c>
      <c r="I10" s="22">
        <f t="shared" si="1"/>
        <v>2973</v>
      </c>
      <c r="J10" s="138">
        <f t="shared" si="1"/>
        <v>1680</v>
      </c>
      <c r="K10" s="136">
        <f t="shared" si="1"/>
        <v>1664</v>
      </c>
      <c r="L10" s="136">
        <f t="shared" si="1"/>
        <v>412</v>
      </c>
      <c r="M10" s="136">
        <f t="shared" si="1"/>
        <v>1106</v>
      </c>
      <c r="N10" s="22">
        <f t="shared" si="1"/>
        <v>986</v>
      </c>
      <c r="O10" s="138">
        <f t="shared" si="1"/>
        <v>1407</v>
      </c>
      <c r="P10" s="136">
        <f t="shared" si="1"/>
        <v>1398</v>
      </c>
      <c r="Q10" s="136">
        <f t="shared" si="1"/>
        <v>911</v>
      </c>
      <c r="R10" s="22">
        <f t="shared" si="1"/>
        <v>496</v>
      </c>
      <c r="S10" s="138">
        <f t="shared" si="1"/>
        <v>194</v>
      </c>
      <c r="T10" s="136">
        <f t="shared" si="1"/>
        <v>194</v>
      </c>
      <c r="U10" s="136">
        <f t="shared" si="1"/>
        <v>79</v>
      </c>
      <c r="V10" s="22">
        <f t="shared" si="1"/>
        <v>115</v>
      </c>
    </row>
    <row r="11" spans="1:22" s="33" customFormat="1" ht="19.5" customHeight="1">
      <c r="A11" s="121" t="s">
        <v>78</v>
      </c>
      <c r="B11" s="139">
        <v>64</v>
      </c>
      <c r="C11" s="140">
        <v>64</v>
      </c>
      <c r="D11" s="140">
        <v>6</v>
      </c>
      <c r="E11" s="141">
        <v>0</v>
      </c>
      <c r="F11" s="141">
        <v>0</v>
      </c>
      <c r="G11" s="141">
        <v>0</v>
      </c>
      <c r="H11" s="142">
        <v>24</v>
      </c>
      <c r="I11" s="31">
        <f>B11+D11-H11</f>
        <v>46</v>
      </c>
      <c r="J11" s="139">
        <f>71+18</f>
        <v>89</v>
      </c>
      <c r="K11" s="140">
        <v>89</v>
      </c>
      <c r="L11" s="140">
        <v>0</v>
      </c>
      <c r="M11" s="141">
        <v>18</v>
      </c>
      <c r="N11" s="142">
        <f>J11+L11-M11</f>
        <v>71</v>
      </c>
      <c r="O11" s="139">
        <v>40</v>
      </c>
      <c r="P11" s="140">
        <v>42</v>
      </c>
      <c r="Q11" s="141">
        <v>40</v>
      </c>
      <c r="R11" s="31">
        <f>O11-Q11</f>
        <v>0</v>
      </c>
      <c r="S11" s="139">
        <f>23</f>
        <v>23</v>
      </c>
      <c r="T11" s="140">
        <v>23</v>
      </c>
      <c r="U11" s="141">
        <v>0</v>
      </c>
      <c r="V11" s="31">
        <f>S11-U11</f>
        <v>23</v>
      </c>
    </row>
    <row r="12" spans="1:23" s="33" customFormat="1" ht="19.5" customHeight="1">
      <c r="A12" s="121" t="s">
        <v>87</v>
      </c>
      <c r="B12" s="139">
        <v>5</v>
      </c>
      <c r="C12" s="140">
        <v>5</v>
      </c>
      <c r="D12" s="140">
        <v>382</v>
      </c>
      <c r="E12" s="141">
        <v>0</v>
      </c>
      <c r="F12" s="141">
        <v>0</v>
      </c>
      <c r="G12" s="141">
        <v>0</v>
      </c>
      <c r="H12" s="142">
        <v>251</v>
      </c>
      <c r="I12" s="31">
        <f aca="true" t="shared" si="2" ref="I12:I24">B12+D12-H12</f>
        <v>136</v>
      </c>
      <c r="J12" s="139">
        <v>209</v>
      </c>
      <c r="K12" s="140">
        <v>209</v>
      </c>
      <c r="L12" s="140">
        <v>1</v>
      </c>
      <c r="M12" s="141">
        <v>67</v>
      </c>
      <c r="N12" s="142">
        <f aca="true" t="shared" si="3" ref="N12:N24">J12+L12-M12</f>
        <v>143</v>
      </c>
      <c r="O12" s="139">
        <f>23+85</f>
        <v>108</v>
      </c>
      <c r="P12" s="140">
        <v>108</v>
      </c>
      <c r="Q12" s="141">
        <v>108</v>
      </c>
      <c r="R12" s="31">
        <f aca="true" t="shared" si="4" ref="R12:R24">O12-Q12</f>
        <v>0</v>
      </c>
      <c r="S12" s="139">
        <v>0</v>
      </c>
      <c r="T12" s="140">
        <v>0</v>
      </c>
      <c r="U12" s="141">
        <v>0</v>
      </c>
      <c r="V12" s="31">
        <f aca="true" t="shared" si="5" ref="V12:V24">S12-U12</f>
        <v>0</v>
      </c>
      <c r="W12" s="143"/>
    </row>
    <row r="13" spans="1:23" ht="19.5" customHeight="1">
      <c r="A13" s="144" t="s">
        <v>37</v>
      </c>
      <c r="B13" s="139">
        <v>371</v>
      </c>
      <c r="C13" s="140">
        <v>371</v>
      </c>
      <c r="D13" s="140">
        <v>34</v>
      </c>
      <c r="E13" s="141">
        <v>0</v>
      </c>
      <c r="F13" s="141">
        <v>0</v>
      </c>
      <c r="G13" s="141">
        <v>0</v>
      </c>
      <c r="H13" s="142">
        <v>0</v>
      </c>
      <c r="I13" s="31">
        <f t="shared" si="2"/>
        <v>405</v>
      </c>
      <c r="J13" s="139">
        <v>4</v>
      </c>
      <c r="K13" s="140">
        <v>4</v>
      </c>
      <c r="L13" s="140">
        <v>6</v>
      </c>
      <c r="M13" s="141">
        <v>0</v>
      </c>
      <c r="N13" s="142">
        <f t="shared" si="3"/>
        <v>10</v>
      </c>
      <c r="O13" s="139">
        <f>50+51</f>
        <v>101</v>
      </c>
      <c r="P13" s="140">
        <v>101</v>
      </c>
      <c r="Q13" s="141">
        <v>85</v>
      </c>
      <c r="R13" s="31">
        <f t="shared" si="4"/>
        <v>16</v>
      </c>
      <c r="S13" s="139">
        <v>0</v>
      </c>
      <c r="T13" s="140">
        <v>0</v>
      </c>
      <c r="U13" s="141">
        <v>0</v>
      </c>
      <c r="V13" s="31">
        <f t="shared" si="5"/>
        <v>0</v>
      </c>
      <c r="W13" s="33"/>
    </row>
    <row r="14" spans="1:23" s="33" customFormat="1" ht="19.5" customHeight="1">
      <c r="A14" s="121" t="s">
        <v>79</v>
      </c>
      <c r="B14" s="139">
        <v>52</v>
      </c>
      <c r="C14" s="140">
        <v>52</v>
      </c>
      <c r="D14" s="140">
        <v>82</v>
      </c>
      <c r="E14" s="141">
        <v>0</v>
      </c>
      <c r="F14" s="141">
        <v>0</v>
      </c>
      <c r="G14" s="141">
        <v>0</v>
      </c>
      <c r="H14" s="142">
        <v>70</v>
      </c>
      <c r="I14" s="31">
        <f t="shared" si="2"/>
        <v>64</v>
      </c>
      <c r="J14" s="139">
        <v>361</v>
      </c>
      <c r="K14" s="140">
        <v>361</v>
      </c>
      <c r="L14" s="140">
        <v>245</v>
      </c>
      <c r="M14" s="141">
        <v>497</v>
      </c>
      <c r="N14" s="142">
        <f t="shared" si="3"/>
        <v>109</v>
      </c>
      <c r="O14" s="139">
        <v>245</v>
      </c>
      <c r="P14" s="140">
        <v>245</v>
      </c>
      <c r="Q14" s="141">
        <v>90</v>
      </c>
      <c r="R14" s="31">
        <f t="shared" si="4"/>
        <v>155</v>
      </c>
      <c r="S14" s="139">
        <v>0</v>
      </c>
      <c r="T14" s="140">
        <v>0</v>
      </c>
      <c r="U14" s="141">
        <v>0</v>
      </c>
      <c r="V14" s="31">
        <f t="shared" si="5"/>
        <v>0</v>
      </c>
      <c r="W14" s="143"/>
    </row>
    <row r="15" spans="1:22" s="33" customFormat="1" ht="19.5" customHeight="1">
      <c r="A15" s="121" t="s">
        <v>42</v>
      </c>
      <c r="B15" s="139">
        <v>0</v>
      </c>
      <c r="C15" s="140">
        <v>0</v>
      </c>
      <c r="D15" s="140">
        <v>0</v>
      </c>
      <c r="E15" s="141">
        <v>0</v>
      </c>
      <c r="F15" s="141">
        <v>0</v>
      </c>
      <c r="G15" s="141">
        <v>0</v>
      </c>
      <c r="H15" s="142">
        <v>0</v>
      </c>
      <c r="I15" s="31">
        <f t="shared" si="2"/>
        <v>0</v>
      </c>
      <c r="J15" s="139">
        <v>44</v>
      </c>
      <c r="K15" s="140">
        <v>44</v>
      </c>
      <c r="L15" s="140">
        <v>0</v>
      </c>
      <c r="M15" s="141">
        <f>35+8</f>
        <v>43</v>
      </c>
      <c r="N15" s="142">
        <f t="shared" si="3"/>
        <v>1</v>
      </c>
      <c r="O15" s="139">
        <f>43+20</f>
        <v>63</v>
      </c>
      <c r="P15" s="140">
        <v>63</v>
      </c>
      <c r="Q15" s="141">
        <v>20</v>
      </c>
      <c r="R15" s="31">
        <f t="shared" si="4"/>
        <v>43</v>
      </c>
      <c r="S15" s="139">
        <v>0</v>
      </c>
      <c r="T15" s="140">
        <v>0</v>
      </c>
      <c r="U15" s="141">
        <v>0</v>
      </c>
      <c r="V15" s="31">
        <f t="shared" si="5"/>
        <v>0</v>
      </c>
    </row>
    <row r="16" spans="1:22" s="33" customFormat="1" ht="19.5" customHeight="1">
      <c r="A16" s="121" t="s">
        <v>80</v>
      </c>
      <c r="B16" s="139">
        <v>84</v>
      </c>
      <c r="C16" s="140">
        <v>84</v>
      </c>
      <c r="D16" s="140">
        <v>21</v>
      </c>
      <c r="E16" s="141">
        <v>0</v>
      </c>
      <c r="F16" s="141">
        <v>0</v>
      </c>
      <c r="G16" s="141">
        <v>0</v>
      </c>
      <c r="H16" s="142">
        <v>0</v>
      </c>
      <c r="I16" s="31">
        <f t="shared" si="2"/>
        <v>105</v>
      </c>
      <c r="J16" s="139">
        <v>53</v>
      </c>
      <c r="K16" s="140">
        <v>53</v>
      </c>
      <c r="L16" s="140">
        <v>1</v>
      </c>
      <c r="M16" s="141">
        <v>50</v>
      </c>
      <c r="N16" s="142">
        <f t="shared" si="3"/>
        <v>4</v>
      </c>
      <c r="O16" s="139">
        <f>74+60</f>
        <v>134</v>
      </c>
      <c r="P16" s="140">
        <v>134</v>
      </c>
      <c r="Q16" s="141">
        <v>76</v>
      </c>
      <c r="R16" s="31">
        <f t="shared" si="4"/>
        <v>58</v>
      </c>
      <c r="S16" s="139">
        <v>0</v>
      </c>
      <c r="T16" s="140">
        <v>0</v>
      </c>
      <c r="U16" s="141">
        <v>0</v>
      </c>
      <c r="V16" s="31">
        <f t="shared" si="5"/>
        <v>0</v>
      </c>
    </row>
    <row r="17" spans="1:23" s="33" customFormat="1" ht="19.5" customHeight="1">
      <c r="A17" s="121" t="s">
        <v>127</v>
      </c>
      <c r="B17" s="139">
        <v>109</v>
      </c>
      <c r="C17" s="140">
        <v>109</v>
      </c>
      <c r="D17" s="140">
        <v>18</v>
      </c>
      <c r="E17" s="141">
        <v>0</v>
      </c>
      <c r="F17" s="141">
        <v>0</v>
      </c>
      <c r="G17" s="141">
        <v>0</v>
      </c>
      <c r="H17" s="142">
        <v>0</v>
      </c>
      <c r="I17" s="31">
        <f t="shared" si="2"/>
        <v>127</v>
      </c>
      <c r="J17" s="139">
        <v>247</v>
      </c>
      <c r="K17" s="140">
        <v>247</v>
      </c>
      <c r="L17" s="140">
        <v>8</v>
      </c>
      <c r="M17" s="141">
        <v>215</v>
      </c>
      <c r="N17" s="142">
        <f t="shared" si="3"/>
        <v>40</v>
      </c>
      <c r="O17" s="139">
        <f>56+72</f>
        <v>128</v>
      </c>
      <c r="P17" s="140">
        <v>128</v>
      </c>
      <c r="Q17" s="141">
        <v>60</v>
      </c>
      <c r="R17" s="31">
        <f t="shared" si="4"/>
        <v>68</v>
      </c>
      <c r="S17" s="139">
        <v>0</v>
      </c>
      <c r="T17" s="140">
        <v>0</v>
      </c>
      <c r="U17" s="141">
        <v>0</v>
      </c>
      <c r="V17" s="31">
        <f t="shared" si="5"/>
        <v>0</v>
      </c>
      <c r="W17" s="145"/>
    </row>
    <row r="18" spans="1:23" s="33" customFormat="1" ht="19.5" customHeight="1">
      <c r="A18" s="121" t="s">
        <v>85</v>
      </c>
      <c r="B18" s="139">
        <v>240</v>
      </c>
      <c r="C18" s="140">
        <v>240</v>
      </c>
      <c r="D18" s="140">
        <v>111</v>
      </c>
      <c r="E18" s="141">
        <v>71</v>
      </c>
      <c r="F18" s="141">
        <v>0</v>
      </c>
      <c r="G18" s="141">
        <v>0</v>
      </c>
      <c r="H18" s="142">
        <f>71+12</f>
        <v>83</v>
      </c>
      <c r="I18" s="31">
        <f t="shared" si="2"/>
        <v>268</v>
      </c>
      <c r="J18" s="139">
        <f>42+29</f>
        <v>71</v>
      </c>
      <c r="K18" s="140">
        <v>71</v>
      </c>
      <c r="L18" s="140">
        <v>10</v>
      </c>
      <c r="M18" s="141">
        <v>29</v>
      </c>
      <c r="N18" s="142">
        <f t="shared" si="3"/>
        <v>52</v>
      </c>
      <c r="O18" s="139">
        <v>151</v>
      </c>
      <c r="P18" s="140">
        <v>151</v>
      </c>
      <c r="Q18" s="141">
        <v>151</v>
      </c>
      <c r="R18" s="31">
        <f t="shared" si="4"/>
        <v>0</v>
      </c>
      <c r="S18" s="139">
        <f>25+3</f>
        <v>28</v>
      </c>
      <c r="T18" s="140">
        <v>28</v>
      </c>
      <c r="U18" s="141">
        <v>0</v>
      </c>
      <c r="V18" s="31">
        <f t="shared" si="5"/>
        <v>28</v>
      </c>
      <c r="W18" s="143"/>
    </row>
    <row r="19" spans="1:22" s="33" customFormat="1" ht="19.5" customHeight="1">
      <c r="A19" s="121" t="s">
        <v>86</v>
      </c>
      <c r="B19" s="139">
        <v>146</v>
      </c>
      <c r="C19" s="140">
        <v>146</v>
      </c>
      <c r="D19" s="140">
        <v>49</v>
      </c>
      <c r="E19" s="141">
        <v>70</v>
      </c>
      <c r="F19" s="141">
        <v>0</v>
      </c>
      <c r="G19" s="141">
        <v>0</v>
      </c>
      <c r="H19" s="142">
        <v>70</v>
      </c>
      <c r="I19" s="31">
        <f t="shared" si="2"/>
        <v>125</v>
      </c>
      <c r="J19" s="139">
        <v>67</v>
      </c>
      <c r="K19" s="140">
        <v>67</v>
      </c>
      <c r="L19" s="140">
        <v>58</v>
      </c>
      <c r="M19" s="141">
        <f>65+23</f>
        <v>88</v>
      </c>
      <c r="N19" s="142">
        <f t="shared" si="3"/>
        <v>37</v>
      </c>
      <c r="O19" s="139">
        <f>70+55</f>
        <v>125</v>
      </c>
      <c r="P19" s="140">
        <v>125</v>
      </c>
      <c r="Q19" s="141">
        <v>70</v>
      </c>
      <c r="R19" s="31">
        <f t="shared" si="4"/>
        <v>55</v>
      </c>
      <c r="S19" s="139">
        <v>22</v>
      </c>
      <c r="T19" s="140">
        <v>22</v>
      </c>
      <c r="U19" s="141">
        <v>22</v>
      </c>
      <c r="V19" s="31">
        <f t="shared" si="5"/>
        <v>0</v>
      </c>
    </row>
    <row r="20" spans="1:22" s="33" customFormat="1" ht="19.5" customHeight="1">
      <c r="A20" s="121" t="s">
        <v>116</v>
      </c>
      <c r="B20" s="139">
        <v>116</v>
      </c>
      <c r="C20" s="141">
        <v>116</v>
      </c>
      <c r="D20" s="141">
        <v>15</v>
      </c>
      <c r="E20" s="141">
        <v>0</v>
      </c>
      <c r="F20" s="141">
        <v>0</v>
      </c>
      <c r="G20" s="141">
        <v>0</v>
      </c>
      <c r="H20" s="141">
        <v>0</v>
      </c>
      <c r="I20" s="31">
        <f t="shared" si="2"/>
        <v>131</v>
      </c>
      <c r="J20" s="140">
        <f>348+8</f>
        <v>356</v>
      </c>
      <c r="K20" s="140">
        <v>356</v>
      </c>
      <c r="L20" s="140">
        <v>43</v>
      </c>
      <c r="M20" s="141">
        <v>55</v>
      </c>
      <c r="N20" s="142">
        <f t="shared" si="3"/>
        <v>344</v>
      </c>
      <c r="O20" s="139">
        <f>14+34</f>
        <v>48</v>
      </c>
      <c r="P20" s="140">
        <v>48</v>
      </c>
      <c r="Q20" s="141">
        <v>48</v>
      </c>
      <c r="R20" s="31">
        <f t="shared" si="4"/>
        <v>0</v>
      </c>
      <c r="S20" s="139">
        <f>52+9</f>
        <v>61</v>
      </c>
      <c r="T20" s="141">
        <v>61</v>
      </c>
      <c r="U20" s="141">
        <v>50</v>
      </c>
      <c r="V20" s="31">
        <f t="shared" si="5"/>
        <v>11</v>
      </c>
    </row>
    <row r="21" spans="1:22" s="33" customFormat="1" ht="19.5" customHeight="1">
      <c r="A21" s="121" t="s">
        <v>81</v>
      </c>
      <c r="B21" s="139">
        <v>1054</v>
      </c>
      <c r="C21" s="141">
        <v>1054</v>
      </c>
      <c r="D21" s="141">
        <v>370</v>
      </c>
      <c r="E21" s="141">
        <v>0</v>
      </c>
      <c r="F21" s="141">
        <v>0</v>
      </c>
      <c r="G21" s="141">
        <v>0</v>
      </c>
      <c r="H21" s="141">
        <v>1</v>
      </c>
      <c r="I21" s="142">
        <f t="shared" si="2"/>
        <v>1423</v>
      </c>
      <c r="J21" s="139">
        <v>21</v>
      </c>
      <c r="K21" s="141">
        <v>21</v>
      </c>
      <c r="L21" s="141">
        <v>10</v>
      </c>
      <c r="M21" s="141">
        <v>0</v>
      </c>
      <c r="N21" s="142">
        <f t="shared" si="3"/>
        <v>31</v>
      </c>
      <c r="O21" s="139">
        <f>8+23</f>
        <v>31</v>
      </c>
      <c r="P21" s="141">
        <v>31</v>
      </c>
      <c r="Q21" s="141">
        <v>25</v>
      </c>
      <c r="R21" s="31">
        <f t="shared" si="4"/>
        <v>6</v>
      </c>
      <c r="S21" s="139">
        <v>38</v>
      </c>
      <c r="T21" s="141">
        <v>38</v>
      </c>
      <c r="U21" s="141">
        <v>5</v>
      </c>
      <c r="V21" s="31">
        <f t="shared" si="5"/>
        <v>33</v>
      </c>
    </row>
    <row r="22" spans="1:22" s="33" customFormat="1" ht="19.5" customHeight="1">
      <c r="A22" s="121" t="s">
        <v>82</v>
      </c>
      <c r="B22" s="146">
        <v>0</v>
      </c>
      <c r="C22" s="147">
        <v>0</v>
      </c>
      <c r="D22" s="147">
        <v>0</v>
      </c>
      <c r="E22" s="148">
        <v>0</v>
      </c>
      <c r="F22" s="148">
        <v>0</v>
      </c>
      <c r="G22" s="148">
        <v>0</v>
      </c>
      <c r="H22" s="149">
        <v>0</v>
      </c>
      <c r="I22" s="59">
        <f t="shared" si="2"/>
        <v>0</v>
      </c>
      <c r="J22" s="146">
        <v>0</v>
      </c>
      <c r="K22" s="147">
        <v>0</v>
      </c>
      <c r="L22" s="147">
        <v>1</v>
      </c>
      <c r="M22" s="148">
        <v>0</v>
      </c>
      <c r="N22" s="149">
        <f t="shared" si="3"/>
        <v>1</v>
      </c>
      <c r="O22" s="146">
        <f>5+24</f>
        <v>29</v>
      </c>
      <c r="P22" s="147">
        <v>29</v>
      </c>
      <c r="Q22" s="148">
        <v>29</v>
      </c>
      <c r="R22" s="31">
        <f t="shared" si="4"/>
        <v>0</v>
      </c>
      <c r="S22" s="146">
        <v>0</v>
      </c>
      <c r="T22" s="147">
        <v>0</v>
      </c>
      <c r="U22" s="148">
        <v>0</v>
      </c>
      <c r="V22" s="59">
        <f t="shared" si="5"/>
        <v>0</v>
      </c>
    </row>
    <row r="23" spans="1:54" s="293" customFormat="1" ht="19.5" customHeight="1">
      <c r="A23" s="286" t="s">
        <v>83</v>
      </c>
      <c r="B23" s="287">
        <v>11</v>
      </c>
      <c r="C23" s="288">
        <v>11</v>
      </c>
      <c r="D23" s="288">
        <v>3</v>
      </c>
      <c r="E23" s="289">
        <v>0</v>
      </c>
      <c r="F23" s="289">
        <v>0</v>
      </c>
      <c r="G23" s="289">
        <v>0</v>
      </c>
      <c r="H23" s="290">
        <v>0</v>
      </c>
      <c r="I23" s="291">
        <f t="shared" si="2"/>
        <v>14</v>
      </c>
      <c r="J23" s="287">
        <v>26</v>
      </c>
      <c r="K23" s="288">
        <v>10</v>
      </c>
      <c r="L23" s="288">
        <v>7</v>
      </c>
      <c r="M23" s="289">
        <v>24</v>
      </c>
      <c r="N23" s="290">
        <f t="shared" si="3"/>
        <v>9</v>
      </c>
      <c r="O23" s="287">
        <v>32</v>
      </c>
      <c r="P23" s="288">
        <v>29</v>
      </c>
      <c r="Q23" s="289">
        <v>20</v>
      </c>
      <c r="R23" s="291">
        <f t="shared" si="4"/>
        <v>12</v>
      </c>
      <c r="S23" s="287">
        <v>7</v>
      </c>
      <c r="T23" s="288">
        <v>7</v>
      </c>
      <c r="U23" s="289">
        <v>2</v>
      </c>
      <c r="V23" s="291">
        <f t="shared" si="5"/>
        <v>5</v>
      </c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92"/>
      <c r="AP23" s="292"/>
      <c r="AQ23" s="292"/>
      <c r="AR23" s="292"/>
      <c r="AS23" s="292"/>
      <c r="AT23" s="292"/>
      <c r="AU23" s="292"/>
      <c r="AV23" s="292"/>
      <c r="AW23" s="292"/>
      <c r="AX23" s="292"/>
      <c r="AY23" s="292"/>
      <c r="AZ23" s="292"/>
      <c r="BA23" s="292"/>
      <c r="BB23" s="292"/>
    </row>
    <row r="24" spans="1:22" s="150" customFormat="1" ht="19.5" customHeight="1" thickBot="1">
      <c r="A24" s="151" t="s">
        <v>84</v>
      </c>
      <c r="B24" s="146">
        <v>89</v>
      </c>
      <c r="C24" s="147">
        <v>89</v>
      </c>
      <c r="D24" s="148">
        <v>404</v>
      </c>
      <c r="E24" s="148">
        <v>0</v>
      </c>
      <c r="F24" s="148">
        <v>0</v>
      </c>
      <c r="G24" s="148">
        <v>0</v>
      </c>
      <c r="H24" s="148">
        <v>364</v>
      </c>
      <c r="I24" s="59">
        <f t="shared" si="2"/>
        <v>129</v>
      </c>
      <c r="J24" s="146">
        <f>33+99</f>
        <v>132</v>
      </c>
      <c r="K24" s="147">
        <v>132</v>
      </c>
      <c r="L24" s="148">
        <v>22</v>
      </c>
      <c r="M24" s="148">
        <v>20</v>
      </c>
      <c r="N24" s="59">
        <f t="shared" si="3"/>
        <v>134</v>
      </c>
      <c r="O24" s="146">
        <f>91+81</f>
        <v>172</v>
      </c>
      <c r="P24" s="147">
        <f>83+81</f>
        <v>164</v>
      </c>
      <c r="Q24" s="148">
        <v>89</v>
      </c>
      <c r="R24" s="31">
        <f t="shared" si="4"/>
        <v>83</v>
      </c>
      <c r="S24" s="146">
        <v>15</v>
      </c>
      <c r="T24" s="147">
        <v>15</v>
      </c>
      <c r="U24" s="148">
        <v>0</v>
      </c>
      <c r="V24" s="59">
        <f t="shared" si="5"/>
        <v>15</v>
      </c>
    </row>
    <row r="25" spans="1:54" ht="19.5" customHeight="1" thickBot="1">
      <c r="A25" s="135" t="s">
        <v>200</v>
      </c>
      <c r="B25" s="138">
        <f>SUM(B26:B39)</f>
        <v>11931</v>
      </c>
      <c r="C25" s="136">
        <f aca="true" t="shared" si="6" ref="C25:V25">SUM(C26:C39)</f>
        <v>11878</v>
      </c>
      <c r="D25" s="136">
        <f t="shared" si="6"/>
        <v>12048</v>
      </c>
      <c r="E25" s="136">
        <f t="shared" si="6"/>
        <v>1657</v>
      </c>
      <c r="F25" s="136">
        <f t="shared" si="6"/>
        <v>535</v>
      </c>
      <c r="G25" s="136">
        <f t="shared" si="6"/>
        <v>2742</v>
      </c>
      <c r="H25" s="136">
        <f t="shared" si="6"/>
        <v>12514</v>
      </c>
      <c r="I25" s="22">
        <f t="shared" si="6"/>
        <v>11465</v>
      </c>
      <c r="J25" s="138">
        <f t="shared" si="6"/>
        <v>4427</v>
      </c>
      <c r="K25" s="136">
        <f t="shared" si="6"/>
        <v>4427</v>
      </c>
      <c r="L25" s="136">
        <f t="shared" si="6"/>
        <v>792</v>
      </c>
      <c r="M25" s="136">
        <f t="shared" si="6"/>
        <v>2000</v>
      </c>
      <c r="N25" s="22">
        <f t="shared" si="6"/>
        <v>3219</v>
      </c>
      <c r="O25" s="138">
        <f t="shared" si="6"/>
        <v>4144</v>
      </c>
      <c r="P25" s="136">
        <f t="shared" si="6"/>
        <v>4134</v>
      </c>
      <c r="Q25" s="136">
        <f t="shared" si="6"/>
        <v>2769</v>
      </c>
      <c r="R25" s="22">
        <f t="shared" si="6"/>
        <v>1375</v>
      </c>
      <c r="S25" s="138">
        <f t="shared" si="6"/>
        <v>1057</v>
      </c>
      <c r="T25" s="136">
        <f t="shared" si="6"/>
        <v>1057</v>
      </c>
      <c r="U25" s="136">
        <f t="shared" si="6"/>
        <v>295</v>
      </c>
      <c r="V25" s="22">
        <f t="shared" si="6"/>
        <v>762</v>
      </c>
      <c r="W25" s="152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</row>
    <row r="26" spans="1:54" s="224" customFormat="1" ht="19.5" customHeight="1">
      <c r="A26" s="216" t="s">
        <v>49</v>
      </c>
      <c r="B26" s="217">
        <v>50</v>
      </c>
      <c r="C26" s="218">
        <v>50</v>
      </c>
      <c r="D26" s="218">
        <v>542</v>
      </c>
      <c r="E26" s="219">
        <v>160</v>
      </c>
      <c r="F26" s="219">
        <v>0</v>
      </c>
      <c r="G26" s="219">
        <v>80</v>
      </c>
      <c r="H26" s="220">
        <f>330+E26+F26+G26</f>
        <v>570</v>
      </c>
      <c r="I26" s="221">
        <f aca="true" t="shared" si="7" ref="I26:I39">B26+D26-H26</f>
        <v>22</v>
      </c>
      <c r="J26" s="217">
        <v>35</v>
      </c>
      <c r="K26" s="218">
        <v>35</v>
      </c>
      <c r="L26" s="218">
        <f>19+10</f>
        <v>29</v>
      </c>
      <c r="M26" s="219">
        <f>45</f>
        <v>45</v>
      </c>
      <c r="N26" s="220">
        <f aca="true" t="shared" si="8" ref="N26:N39">J26+L26-M26</f>
        <v>19</v>
      </c>
      <c r="O26" s="217">
        <f>140+49</f>
        <v>189</v>
      </c>
      <c r="P26" s="218">
        <f>140+49</f>
        <v>189</v>
      </c>
      <c r="Q26" s="219">
        <v>156</v>
      </c>
      <c r="R26" s="221">
        <f aca="true" t="shared" si="9" ref="R26:R39">O26-Q26</f>
        <v>33</v>
      </c>
      <c r="S26" s="217">
        <v>0</v>
      </c>
      <c r="T26" s="218">
        <v>0</v>
      </c>
      <c r="U26" s="219">
        <v>0</v>
      </c>
      <c r="V26" s="221">
        <f aca="true" t="shared" si="10" ref="V26:V39">S26-U26</f>
        <v>0</v>
      </c>
      <c r="W26" s="222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</row>
    <row r="27" spans="1:54" s="224" customFormat="1" ht="19.5" customHeight="1">
      <c r="A27" s="225" t="s">
        <v>4</v>
      </c>
      <c r="B27" s="226">
        <v>436</v>
      </c>
      <c r="C27" s="227">
        <v>436</v>
      </c>
      <c r="D27" s="227">
        <v>1440</v>
      </c>
      <c r="E27" s="228">
        <v>177</v>
      </c>
      <c r="F27" s="228">
        <v>0</v>
      </c>
      <c r="G27" s="228">
        <v>380</v>
      </c>
      <c r="H27" s="229">
        <f>1064+E27+F27+G27</f>
        <v>1621</v>
      </c>
      <c r="I27" s="230">
        <f t="shared" si="7"/>
        <v>255</v>
      </c>
      <c r="J27" s="226">
        <v>79</v>
      </c>
      <c r="K27" s="227">
        <v>79</v>
      </c>
      <c r="L27" s="227">
        <v>51</v>
      </c>
      <c r="M27" s="228">
        <v>0</v>
      </c>
      <c r="N27" s="229">
        <f t="shared" si="8"/>
        <v>130</v>
      </c>
      <c r="O27" s="226">
        <f>105+35</f>
        <v>140</v>
      </c>
      <c r="P27" s="227">
        <f>105+38</f>
        <v>143</v>
      </c>
      <c r="Q27" s="228">
        <v>107</v>
      </c>
      <c r="R27" s="230">
        <f t="shared" si="9"/>
        <v>33</v>
      </c>
      <c r="S27" s="226">
        <f>45+7</f>
        <v>52</v>
      </c>
      <c r="T27" s="227">
        <f>45+7</f>
        <v>52</v>
      </c>
      <c r="U27" s="228">
        <v>0</v>
      </c>
      <c r="V27" s="230">
        <f t="shared" si="10"/>
        <v>52</v>
      </c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223"/>
      <c r="AQ27" s="223"/>
      <c r="AR27" s="223"/>
      <c r="AS27" s="223"/>
      <c r="AT27" s="223"/>
      <c r="AU27" s="223"/>
      <c r="AV27" s="223"/>
      <c r="AW27" s="223"/>
      <c r="AX27" s="223"/>
      <c r="AY27" s="223"/>
      <c r="AZ27" s="223"/>
      <c r="BA27" s="223"/>
      <c r="BB27" s="223"/>
    </row>
    <row r="28" spans="1:54" s="224" customFormat="1" ht="19.5" customHeight="1">
      <c r="A28" s="225" t="s">
        <v>115</v>
      </c>
      <c r="B28" s="226">
        <v>1243</v>
      </c>
      <c r="C28" s="227">
        <v>1243</v>
      </c>
      <c r="D28" s="227">
        <v>1815</v>
      </c>
      <c r="E28" s="228">
        <v>190</v>
      </c>
      <c r="F28" s="228">
        <v>150</v>
      </c>
      <c r="G28" s="228">
        <v>600</v>
      </c>
      <c r="H28" s="229">
        <f>901+E28+F28+G28</f>
        <v>1841</v>
      </c>
      <c r="I28" s="230">
        <f t="shared" si="7"/>
        <v>1217</v>
      </c>
      <c r="J28" s="226">
        <v>175</v>
      </c>
      <c r="K28" s="227">
        <v>175</v>
      </c>
      <c r="L28" s="227">
        <v>72</v>
      </c>
      <c r="M28" s="228">
        <v>5</v>
      </c>
      <c r="N28" s="229">
        <f t="shared" si="8"/>
        <v>242</v>
      </c>
      <c r="O28" s="226">
        <f>200+293</f>
        <v>493</v>
      </c>
      <c r="P28" s="227">
        <v>474</v>
      </c>
      <c r="Q28" s="228">
        <v>433</v>
      </c>
      <c r="R28" s="230">
        <f t="shared" si="9"/>
        <v>60</v>
      </c>
      <c r="S28" s="226">
        <v>60</v>
      </c>
      <c r="T28" s="227">
        <v>60</v>
      </c>
      <c r="U28" s="228">
        <v>0</v>
      </c>
      <c r="V28" s="230">
        <f t="shared" si="10"/>
        <v>60</v>
      </c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</row>
    <row r="29" spans="1:54" s="224" customFormat="1" ht="19.5" customHeight="1">
      <c r="A29" s="225" t="s">
        <v>5</v>
      </c>
      <c r="B29" s="231">
        <f>970</f>
        <v>970</v>
      </c>
      <c r="C29" s="232">
        <v>917</v>
      </c>
      <c r="D29" s="232">
        <v>745</v>
      </c>
      <c r="E29" s="233">
        <v>250</v>
      </c>
      <c r="F29" s="233">
        <v>150</v>
      </c>
      <c r="G29" s="233">
        <v>350</v>
      </c>
      <c r="H29" s="234">
        <f>460+E29+F29+G29</f>
        <v>1210</v>
      </c>
      <c r="I29" s="235">
        <f t="shared" si="7"/>
        <v>505</v>
      </c>
      <c r="J29" s="226">
        <v>113</v>
      </c>
      <c r="K29" s="303">
        <v>113</v>
      </c>
      <c r="L29" s="227">
        <v>65</v>
      </c>
      <c r="M29" s="228">
        <v>50</v>
      </c>
      <c r="N29" s="229">
        <f t="shared" si="8"/>
        <v>128</v>
      </c>
      <c r="O29" s="226">
        <f>254+36</f>
        <v>290</v>
      </c>
      <c r="P29" s="227">
        <v>300</v>
      </c>
      <c r="Q29" s="228">
        <v>279</v>
      </c>
      <c r="R29" s="230">
        <f t="shared" si="9"/>
        <v>11</v>
      </c>
      <c r="S29" s="226">
        <v>6</v>
      </c>
      <c r="T29" s="227">
        <v>6</v>
      </c>
      <c r="U29" s="228">
        <v>0</v>
      </c>
      <c r="V29" s="230">
        <f t="shared" si="10"/>
        <v>6</v>
      </c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</row>
    <row r="30" spans="1:54" s="224" customFormat="1" ht="19.5" customHeight="1">
      <c r="A30" s="225" t="s">
        <v>72</v>
      </c>
      <c r="B30" s="226">
        <v>7375</v>
      </c>
      <c r="C30" s="227">
        <v>7375</v>
      </c>
      <c r="D30" s="227">
        <v>2012</v>
      </c>
      <c r="E30" s="228">
        <v>500</v>
      </c>
      <c r="F30" s="228">
        <v>0</v>
      </c>
      <c r="G30" s="228">
        <v>0</v>
      </c>
      <c r="H30" s="229">
        <f>852+E30+F30+G30</f>
        <v>1352</v>
      </c>
      <c r="I30" s="230">
        <f t="shared" si="7"/>
        <v>8035</v>
      </c>
      <c r="J30" s="226">
        <v>1533</v>
      </c>
      <c r="K30" s="303">
        <v>1533</v>
      </c>
      <c r="L30" s="227">
        <v>369</v>
      </c>
      <c r="M30" s="228">
        <v>300</v>
      </c>
      <c r="N30" s="229">
        <f t="shared" si="8"/>
        <v>1602</v>
      </c>
      <c r="O30" s="226">
        <f>150+388</f>
        <v>538</v>
      </c>
      <c r="P30" s="227">
        <v>538</v>
      </c>
      <c r="Q30" s="228">
        <v>190</v>
      </c>
      <c r="R30" s="230">
        <f t="shared" si="9"/>
        <v>348</v>
      </c>
      <c r="S30" s="226">
        <f>122+398</f>
        <v>520</v>
      </c>
      <c r="T30" s="227">
        <f>122+398</f>
        <v>520</v>
      </c>
      <c r="U30" s="228">
        <v>0</v>
      </c>
      <c r="V30" s="230">
        <f t="shared" si="10"/>
        <v>520</v>
      </c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223"/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223"/>
      <c r="BB30" s="223"/>
    </row>
    <row r="31" spans="1:54" s="224" customFormat="1" ht="19.5" customHeight="1">
      <c r="A31" s="225" t="s">
        <v>74</v>
      </c>
      <c r="B31" s="226">
        <v>186</v>
      </c>
      <c r="C31" s="227">
        <v>186</v>
      </c>
      <c r="D31" s="227">
        <v>698</v>
      </c>
      <c r="E31" s="228">
        <v>300</v>
      </c>
      <c r="F31" s="228">
        <v>0</v>
      </c>
      <c r="G31" s="228">
        <v>160</v>
      </c>
      <c r="H31" s="229">
        <f>345+E31+F31+G31</f>
        <v>805</v>
      </c>
      <c r="I31" s="230">
        <f t="shared" si="7"/>
        <v>79</v>
      </c>
      <c r="J31" s="226">
        <f>169+386</f>
        <v>555</v>
      </c>
      <c r="K31" s="227">
        <f>169+386</f>
        <v>555</v>
      </c>
      <c r="L31" s="227">
        <v>53</v>
      </c>
      <c r="M31" s="228">
        <f>140+50</f>
        <v>190</v>
      </c>
      <c r="N31" s="229">
        <f t="shared" si="8"/>
        <v>418</v>
      </c>
      <c r="O31" s="226">
        <f>90+166</f>
        <v>256</v>
      </c>
      <c r="P31" s="227">
        <v>256</v>
      </c>
      <c r="Q31" s="228">
        <v>248</v>
      </c>
      <c r="R31" s="230">
        <f t="shared" si="9"/>
        <v>8</v>
      </c>
      <c r="S31" s="226">
        <f>15+55</f>
        <v>70</v>
      </c>
      <c r="T31" s="227">
        <f>15+55</f>
        <v>70</v>
      </c>
      <c r="U31" s="228">
        <v>0</v>
      </c>
      <c r="V31" s="230">
        <f t="shared" si="10"/>
        <v>70</v>
      </c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  <c r="AM31" s="223"/>
      <c r="AN31" s="223"/>
      <c r="AO31" s="223"/>
      <c r="AP31" s="223"/>
      <c r="AQ31" s="223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  <c r="BB31" s="223"/>
    </row>
    <row r="32" spans="1:54" s="224" customFormat="1" ht="19.5" customHeight="1">
      <c r="A32" s="239" t="s">
        <v>6</v>
      </c>
      <c r="B32" s="236">
        <v>194</v>
      </c>
      <c r="C32" s="237">
        <v>194</v>
      </c>
      <c r="D32" s="303">
        <v>610</v>
      </c>
      <c r="E32" s="228">
        <v>80</v>
      </c>
      <c r="F32" s="228">
        <v>0</v>
      </c>
      <c r="G32" s="228">
        <v>0</v>
      </c>
      <c r="H32" s="229">
        <f>475+E32+F32+G32</f>
        <v>555</v>
      </c>
      <c r="I32" s="230">
        <f t="shared" si="7"/>
        <v>249</v>
      </c>
      <c r="J32" s="226">
        <f>77+253</f>
        <v>330</v>
      </c>
      <c r="K32" s="227">
        <f>77+253</f>
        <v>330</v>
      </c>
      <c r="L32" s="227">
        <v>6</v>
      </c>
      <c r="M32" s="228">
        <f>83+253</f>
        <v>336</v>
      </c>
      <c r="N32" s="229">
        <f t="shared" si="8"/>
        <v>0</v>
      </c>
      <c r="O32" s="226">
        <f>47+162</f>
        <v>209</v>
      </c>
      <c r="P32" s="227">
        <f>47+158</f>
        <v>205</v>
      </c>
      <c r="Q32" s="228">
        <v>100</v>
      </c>
      <c r="R32" s="230">
        <f t="shared" si="9"/>
        <v>109</v>
      </c>
      <c r="S32" s="226">
        <v>2</v>
      </c>
      <c r="T32" s="227">
        <v>2</v>
      </c>
      <c r="U32" s="228">
        <v>2</v>
      </c>
      <c r="V32" s="230">
        <f t="shared" si="10"/>
        <v>0</v>
      </c>
      <c r="W32" s="238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3"/>
    </row>
    <row r="33" spans="1:54" s="224" customFormat="1" ht="19.5" customHeight="1">
      <c r="A33" s="239" t="s">
        <v>7</v>
      </c>
      <c r="B33" s="226">
        <v>235</v>
      </c>
      <c r="C33" s="227">
        <v>235</v>
      </c>
      <c r="D33" s="228">
        <v>268</v>
      </c>
      <c r="E33" s="228">
        <v>0</v>
      </c>
      <c r="F33" s="228">
        <v>0</v>
      </c>
      <c r="G33" s="228">
        <v>250</v>
      </c>
      <c r="H33" s="228">
        <f>176+E33+F33+G33</f>
        <v>426</v>
      </c>
      <c r="I33" s="230">
        <f t="shared" si="7"/>
        <v>77</v>
      </c>
      <c r="J33" s="226">
        <v>143</v>
      </c>
      <c r="K33" s="227">
        <v>143</v>
      </c>
      <c r="L33" s="228">
        <v>3</v>
      </c>
      <c r="M33" s="228">
        <v>20</v>
      </c>
      <c r="N33" s="230">
        <f t="shared" si="8"/>
        <v>126</v>
      </c>
      <c r="O33" s="226">
        <f>133+71</f>
        <v>204</v>
      </c>
      <c r="P33" s="227">
        <f>133+71</f>
        <v>204</v>
      </c>
      <c r="Q33" s="228">
        <v>167</v>
      </c>
      <c r="R33" s="230">
        <f t="shared" si="9"/>
        <v>37</v>
      </c>
      <c r="S33" s="226">
        <v>4</v>
      </c>
      <c r="T33" s="227">
        <v>4</v>
      </c>
      <c r="U33" s="228">
        <v>0</v>
      </c>
      <c r="V33" s="230">
        <f t="shared" si="10"/>
        <v>4</v>
      </c>
      <c r="W33" s="238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3"/>
      <c r="AY33" s="223"/>
      <c r="AZ33" s="223"/>
      <c r="BA33" s="223"/>
      <c r="BB33" s="223"/>
    </row>
    <row r="34" spans="1:54" s="224" customFormat="1" ht="19.5" customHeight="1">
      <c r="A34" s="240" t="s">
        <v>75</v>
      </c>
      <c r="B34" s="241">
        <v>217</v>
      </c>
      <c r="C34" s="228">
        <v>217</v>
      </c>
      <c r="D34" s="242">
        <v>1005</v>
      </c>
      <c r="E34" s="243">
        <v>0</v>
      </c>
      <c r="F34" s="243">
        <v>130</v>
      </c>
      <c r="G34" s="243">
        <v>409</v>
      </c>
      <c r="H34" s="243">
        <f>683+E34+F34+G34</f>
        <v>1222</v>
      </c>
      <c r="I34" s="244">
        <f t="shared" si="7"/>
        <v>0</v>
      </c>
      <c r="J34" s="242">
        <f>54+31</f>
        <v>85</v>
      </c>
      <c r="K34" s="242">
        <f>54+31</f>
        <v>85</v>
      </c>
      <c r="L34" s="242">
        <v>17</v>
      </c>
      <c r="M34" s="243">
        <f>71+31</f>
        <v>102</v>
      </c>
      <c r="N34" s="245">
        <f t="shared" si="8"/>
        <v>0</v>
      </c>
      <c r="O34" s="217">
        <f>120+79</f>
        <v>199</v>
      </c>
      <c r="P34" s="242">
        <v>199</v>
      </c>
      <c r="Q34" s="243">
        <v>130</v>
      </c>
      <c r="R34" s="244">
        <f t="shared" si="9"/>
        <v>69</v>
      </c>
      <c r="S34" s="217">
        <v>30</v>
      </c>
      <c r="T34" s="242">
        <v>30</v>
      </c>
      <c r="U34" s="243">
        <v>30</v>
      </c>
      <c r="V34" s="244">
        <f t="shared" si="10"/>
        <v>0</v>
      </c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  <c r="AS34" s="223"/>
      <c r="AT34" s="223"/>
      <c r="AU34" s="223"/>
      <c r="AV34" s="223"/>
      <c r="AW34" s="223"/>
      <c r="AX34" s="223"/>
      <c r="AY34" s="223"/>
      <c r="AZ34" s="223"/>
      <c r="BA34" s="223"/>
      <c r="BB34" s="223"/>
    </row>
    <row r="35" spans="1:54" s="224" customFormat="1" ht="19.5" customHeight="1">
      <c r="A35" s="246" t="s">
        <v>8</v>
      </c>
      <c r="B35" s="247">
        <v>359</v>
      </c>
      <c r="C35" s="242">
        <v>359</v>
      </c>
      <c r="D35" s="248">
        <v>553</v>
      </c>
      <c r="E35" s="249">
        <v>0</v>
      </c>
      <c r="F35" s="249">
        <v>0</v>
      </c>
      <c r="G35" s="249">
        <v>300</v>
      </c>
      <c r="H35" s="250">
        <f>356+E35+F35+G35</f>
        <v>656</v>
      </c>
      <c r="I35" s="251">
        <f t="shared" si="7"/>
        <v>256</v>
      </c>
      <c r="J35" s="247">
        <v>5</v>
      </c>
      <c r="K35" s="248">
        <v>5</v>
      </c>
      <c r="L35" s="248">
        <v>28</v>
      </c>
      <c r="M35" s="249">
        <v>0</v>
      </c>
      <c r="N35" s="250">
        <f t="shared" si="8"/>
        <v>33</v>
      </c>
      <c r="O35" s="247">
        <f>170+423</f>
        <v>593</v>
      </c>
      <c r="P35" s="248">
        <v>593</v>
      </c>
      <c r="Q35" s="249">
        <v>280</v>
      </c>
      <c r="R35" s="251">
        <f t="shared" si="9"/>
        <v>313</v>
      </c>
      <c r="S35" s="247">
        <v>2</v>
      </c>
      <c r="T35" s="248">
        <v>2</v>
      </c>
      <c r="U35" s="249">
        <v>0</v>
      </c>
      <c r="V35" s="251">
        <f t="shared" si="10"/>
        <v>2</v>
      </c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3"/>
      <c r="AP35" s="223"/>
      <c r="AQ35" s="223"/>
      <c r="AR35" s="223"/>
      <c r="AS35" s="223"/>
      <c r="AT35" s="223"/>
      <c r="AU35" s="223"/>
      <c r="AV35" s="223"/>
      <c r="AW35" s="223"/>
      <c r="AX35" s="223"/>
      <c r="AY35" s="223"/>
      <c r="AZ35" s="223"/>
      <c r="BA35" s="223"/>
      <c r="BB35" s="223"/>
    </row>
    <row r="36" spans="1:22" s="224" customFormat="1" ht="19.5" customHeight="1">
      <c r="A36" s="252" t="s">
        <v>58</v>
      </c>
      <c r="B36" s="247">
        <v>142</v>
      </c>
      <c r="C36" s="248">
        <v>142</v>
      </c>
      <c r="D36" s="249">
        <v>919</v>
      </c>
      <c r="E36" s="249">
        <v>0</v>
      </c>
      <c r="F36" s="249">
        <v>105</v>
      </c>
      <c r="G36" s="249">
        <v>103</v>
      </c>
      <c r="H36" s="249">
        <f>816+E36+F36+G36</f>
        <v>1024</v>
      </c>
      <c r="I36" s="251">
        <f t="shared" si="7"/>
        <v>37</v>
      </c>
      <c r="J36" s="247">
        <f>26+380</f>
        <v>406</v>
      </c>
      <c r="K36" s="248">
        <v>406</v>
      </c>
      <c r="L36" s="249">
        <v>24</v>
      </c>
      <c r="M36" s="249">
        <f>50+380</f>
        <v>430</v>
      </c>
      <c r="N36" s="251">
        <f t="shared" si="8"/>
        <v>0</v>
      </c>
      <c r="O36" s="247">
        <f>100+224</f>
        <v>324</v>
      </c>
      <c r="P36" s="248">
        <v>324</v>
      </c>
      <c r="Q36" s="249">
        <v>100</v>
      </c>
      <c r="R36" s="251">
        <f t="shared" si="9"/>
        <v>224</v>
      </c>
      <c r="S36" s="247">
        <f>23+10</f>
        <v>33</v>
      </c>
      <c r="T36" s="248">
        <f>23+10</f>
        <v>33</v>
      </c>
      <c r="U36" s="249">
        <v>33</v>
      </c>
      <c r="V36" s="251">
        <f t="shared" si="10"/>
        <v>0</v>
      </c>
    </row>
    <row r="37" spans="1:22" s="224" customFormat="1" ht="19.5" customHeight="1">
      <c r="A37" s="253" t="s">
        <v>76</v>
      </c>
      <c r="B37" s="226">
        <v>293</v>
      </c>
      <c r="C37" s="227">
        <v>293</v>
      </c>
      <c r="D37" s="227">
        <v>542</v>
      </c>
      <c r="E37" s="228">
        <v>0</v>
      </c>
      <c r="F37" s="228">
        <v>0</v>
      </c>
      <c r="G37" s="228">
        <v>0</v>
      </c>
      <c r="H37" s="229">
        <f>387+E37+F37+G37</f>
        <v>387</v>
      </c>
      <c r="I37" s="230">
        <f t="shared" si="7"/>
        <v>448</v>
      </c>
      <c r="J37" s="226">
        <f>145+209</f>
        <v>354</v>
      </c>
      <c r="K37" s="227">
        <f>145+209</f>
        <v>354</v>
      </c>
      <c r="L37" s="227">
        <v>28</v>
      </c>
      <c r="M37" s="228">
        <f>35+100</f>
        <v>135</v>
      </c>
      <c r="N37" s="229">
        <f t="shared" si="8"/>
        <v>247</v>
      </c>
      <c r="O37" s="226">
        <f>120+85</f>
        <v>205</v>
      </c>
      <c r="P37" s="227">
        <v>205</v>
      </c>
      <c r="Q37" s="228">
        <v>177</v>
      </c>
      <c r="R37" s="230">
        <f t="shared" si="9"/>
        <v>28</v>
      </c>
      <c r="S37" s="226">
        <f>103+27</f>
        <v>130</v>
      </c>
      <c r="T37" s="227">
        <f>103+27</f>
        <v>130</v>
      </c>
      <c r="U37" s="228">
        <v>100</v>
      </c>
      <c r="V37" s="230">
        <f t="shared" si="10"/>
        <v>30</v>
      </c>
    </row>
    <row r="38" spans="1:22" s="224" customFormat="1" ht="19.5" customHeight="1">
      <c r="A38" s="225" t="s">
        <v>27</v>
      </c>
      <c r="B38" s="247">
        <v>173</v>
      </c>
      <c r="C38" s="248">
        <v>173</v>
      </c>
      <c r="D38" s="248">
        <v>210</v>
      </c>
      <c r="E38" s="249">
        <v>0</v>
      </c>
      <c r="F38" s="249">
        <v>0</v>
      </c>
      <c r="G38" s="249">
        <v>110</v>
      </c>
      <c r="H38" s="250">
        <f>127+E38+F38+G38</f>
        <v>237</v>
      </c>
      <c r="I38" s="251">
        <f t="shared" si="7"/>
        <v>146</v>
      </c>
      <c r="J38" s="247">
        <f>132+5</f>
        <v>137</v>
      </c>
      <c r="K38" s="248">
        <f>132+5</f>
        <v>137</v>
      </c>
      <c r="L38" s="248">
        <v>2</v>
      </c>
      <c r="M38" s="249">
        <v>87</v>
      </c>
      <c r="N38" s="250">
        <f t="shared" si="8"/>
        <v>52</v>
      </c>
      <c r="O38" s="247">
        <f>95+188</f>
        <v>283</v>
      </c>
      <c r="P38" s="248">
        <f>95+188</f>
        <v>283</v>
      </c>
      <c r="Q38" s="249">
        <v>202</v>
      </c>
      <c r="R38" s="251">
        <f t="shared" si="9"/>
        <v>81</v>
      </c>
      <c r="S38" s="247">
        <v>3</v>
      </c>
      <c r="T38" s="248">
        <v>3</v>
      </c>
      <c r="U38" s="249">
        <v>0</v>
      </c>
      <c r="V38" s="251">
        <f t="shared" si="10"/>
        <v>3</v>
      </c>
    </row>
    <row r="39" spans="1:22" s="224" customFormat="1" ht="19.5" customHeight="1" thickBot="1">
      <c r="A39" s="246" t="s">
        <v>28</v>
      </c>
      <c r="B39" s="247">
        <v>58</v>
      </c>
      <c r="C39" s="248">
        <v>58</v>
      </c>
      <c r="D39" s="248">
        <v>689</v>
      </c>
      <c r="E39" s="249">
        <v>0</v>
      </c>
      <c r="F39" s="249">
        <v>0</v>
      </c>
      <c r="G39" s="249">
        <v>0</v>
      </c>
      <c r="H39" s="250">
        <f>608+E39+F39+G39</f>
        <v>608</v>
      </c>
      <c r="I39" s="251">
        <f t="shared" si="7"/>
        <v>139</v>
      </c>
      <c r="J39" s="247">
        <f>33+444</f>
        <v>477</v>
      </c>
      <c r="K39" s="248">
        <f>33+444</f>
        <v>477</v>
      </c>
      <c r="L39" s="248">
        <v>45</v>
      </c>
      <c r="M39" s="249">
        <v>300</v>
      </c>
      <c r="N39" s="250">
        <f t="shared" si="8"/>
        <v>222</v>
      </c>
      <c r="O39" s="247">
        <f>150+71</f>
        <v>221</v>
      </c>
      <c r="P39" s="248">
        <v>221</v>
      </c>
      <c r="Q39" s="249">
        <v>200</v>
      </c>
      <c r="R39" s="251">
        <f t="shared" si="9"/>
        <v>21</v>
      </c>
      <c r="S39" s="247">
        <f>135+10</f>
        <v>145</v>
      </c>
      <c r="T39" s="248">
        <f>135+10</f>
        <v>145</v>
      </c>
      <c r="U39" s="249">
        <v>130</v>
      </c>
      <c r="V39" s="251">
        <f t="shared" si="10"/>
        <v>15</v>
      </c>
    </row>
    <row r="40" spans="1:23" s="70" customFormat="1" ht="19.5" customHeight="1" thickBot="1">
      <c r="A40" s="137" t="s">
        <v>16</v>
      </c>
      <c r="B40" s="138">
        <f aca="true" t="shared" si="11" ref="B40:V40">SUM(B41+B42+B43+B44+B45+B46+B47+B48+B49+B50+B51+B52+B53+B54+B55+B56+B57)</f>
        <v>11146</v>
      </c>
      <c r="C40" s="136">
        <f t="shared" si="11"/>
        <v>11542</v>
      </c>
      <c r="D40" s="136">
        <f t="shared" si="11"/>
        <v>25414</v>
      </c>
      <c r="E40" s="136">
        <f t="shared" si="11"/>
        <v>7717</v>
      </c>
      <c r="F40" s="136">
        <f t="shared" si="11"/>
        <v>4326</v>
      </c>
      <c r="G40" s="136">
        <f t="shared" si="11"/>
        <v>3555</v>
      </c>
      <c r="H40" s="159">
        <f t="shared" si="11"/>
        <v>26413</v>
      </c>
      <c r="I40" s="22">
        <f t="shared" si="11"/>
        <v>10147</v>
      </c>
      <c r="J40" s="138">
        <f t="shared" si="11"/>
        <v>9352</v>
      </c>
      <c r="K40" s="136">
        <f t="shared" si="11"/>
        <v>9298</v>
      </c>
      <c r="L40" s="136">
        <f t="shared" si="11"/>
        <v>3600</v>
      </c>
      <c r="M40" s="136">
        <f t="shared" si="11"/>
        <v>8596</v>
      </c>
      <c r="N40" s="22">
        <f t="shared" si="11"/>
        <v>4356</v>
      </c>
      <c r="O40" s="138">
        <f t="shared" si="11"/>
        <v>6358</v>
      </c>
      <c r="P40" s="138">
        <f t="shared" si="11"/>
        <v>5930</v>
      </c>
      <c r="Q40" s="136">
        <f t="shared" si="11"/>
        <v>3762</v>
      </c>
      <c r="R40" s="22">
        <f t="shared" si="11"/>
        <v>2596</v>
      </c>
      <c r="S40" s="138">
        <f t="shared" si="11"/>
        <v>4315</v>
      </c>
      <c r="T40" s="136">
        <f t="shared" si="11"/>
        <v>4412</v>
      </c>
      <c r="U40" s="136">
        <f t="shared" si="11"/>
        <v>2245</v>
      </c>
      <c r="V40" s="22">
        <f t="shared" si="11"/>
        <v>2070</v>
      </c>
      <c r="W40" s="160"/>
    </row>
    <row r="41" spans="1:22" s="33" customFormat="1" ht="19.5" customHeight="1">
      <c r="A41" s="71" t="s">
        <v>88</v>
      </c>
      <c r="B41" s="332">
        <v>49</v>
      </c>
      <c r="C41" s="333">
        <v>49</v>
      </c>
      <c r="D41" s="333">
        <v>740</v>
      </c>
      <c r="E41" s="334">
        <v>0</v>
      </c>
      <c r="F41" s="334">
        <v>500</v>
      </c>
      <c r="G41" s="334">
        <v>0</v>
      </c>
      <c r="H41" s="335">
        <f>240+E41+F41+G41</f>
        <v>740</v>
      </c>
      <c r="I41" s="45">
        <f aca="true" t="shared" si="12" ref="I41:I57">B41+D41-H41</f>
        <v>49</v>
      </c>
      <c r="J41" s="332">
        <v>363</v>
      </c>
      <c r="K41" s="334">
        <v>363</v>
      </c>
      <c r="L41" s="334">
        <f>389+2</f>
        <v>391</v>
      </c>
      <c r="M41" s="334">
        <f>389+102</f>
        <v>491</v>
      </c>
      <c r="N41" s="45">
        <f aca="true" t="shared" si="13" ref="N41:N57">J41+L41-M41</f>
        <v>263</v>
      </c>
      <c r="O41" s="332">
        <f>24+95</f>
        <v>119</v>
      </c>
      <c r="P41" s="336">
        <v>119</v>
      </c>
      <c r="Q41" s="337">
        <v>119</v>
      </c>
      <c r="R41" s="45">
        <f aca="true" t="shared" si="14" ref="R41:R57">O41-Q41</f>
        <v>0</v>
      </c>
      <c r="S41" s="332">
        <v>7</v>
      </c>
      <c r="T41" s="333">
        <v>7</v>
      </c>
      <c r="U41" s="334">
        <v>0</v>
      </c>
      <c r="V41" s="45">
        <f aca="true" t="shared" si="15" ref="V41:V57">S41-U41</f>
        <v>7</v>
      </c>
    </row>
    <row r="42" spans="1:22" s="33" customFormat="1" ht="19.5" customHeight="1">
      <c r="A42" s="49" t="s">
        <v>89</v>
      </c>
      <c r="B42" s="338">
        <v>449</v>
      </c>
      <c r="C42" s="172">
        <v>449</v>
      </c>
      <c r="D42" s="172">
        <v>1370</v>
      </c>
      <c r="E42" s="173">
        <v>950</v>
      </c>
      <c r="F42" s="173">
        <v>0</v>
      </c>
      <c r="G42" s="173">
        <v>140</v>
      </c>
      <c r="H42" s="174">
        <f>527+E42+F42+G42</f>
        <v>1617</v>
      </c>
      <c r="I42" s="27">
        <f>B42+D42-H42</f>
        <v>202</v>
      </c>
      <c r="J42" s="139">
        <v>1140</v>
      </c>
      <c r="K42" s="140">
        <v>1140</v>
      </c>
      <c r="L42" s="140">
        <v>167</v>
      </c>
      <c r="M42" s="141">
        <f>200+945</f>
        <v>1145</v>
      </c>
      <c r="N42" s="142">
        <f t="shared" si="13"/>
        <v>162</v>
      </c>
      <c r="O42" s="139">
        <f>73+100</f>
        <v>173</v>
      </c>
      <c r="P42" s="140">
        <v>173</v>
      </c>
      <c r="Q42" s="141">
        <v>125</v>
      </c>
      <c r="R42" s="31">
        <f t="shared" si="14"/>
        <v>48</v>
      </c>
      <c r="S42" s="139">
        <v>79</v>
      </c>
      <c r="T42" s="140">
        <v>79</v>
      </c>
      <c r="U42" s="141">
        <v>0</v>
      </c>
      <c r="V42" s="31">
        <f t="shared" si="15"/>
        <v>79</v>
      </c>
    </row>
    <row r="43" spans="1:22" s="33" customFormat="1" ht="19.5" customHeight="1">
      <c r="A43" s="24" t="s">
        <v>90</v>
      </c>
      <c r="B43" s="163">
        <v>208</v>
      </c>
      <c r="C43" s="164">
        <v>208</v>
      </c>
      <c r="D43" s="282">
        <v>352</v>
      </c>
      <c r="E43" s="165">
        <v>0</v>
      </c>
      <c r="F43" s="165">
        <v>0</v>
      </c>
      <c r="G43" s="165">
        <v>0</v>
      </c>
      <c r="H43" s="166">
        <f>258+E43+F43+G43</f>
        <v>258</v>
      </c>
      <c r="I43" s="39">
        <f t="shared" si="12"/>
        <v>302</v>
      </c>
      <c r="J43" s="155">
        <v>165</v>
      </c>
      <c r="K43" s="156">
        <v>165</v>
      </c>
      <c r="L43" s="156">
        <v>265</v>
      </c>
      <c r="M43" s="157">
        <f>150+74</f>
        <v>224</v>
      </c>
      <c r="N43" s="158">
        <f t="shared" si="13"/>
        <v>206</v>
      </c>
      <c r="O43" s="155">
        <f>142+136</f>
        <v>278</v>
      </c>
      <c r="P43" s="156">
        <v>278</v>
      </c>
      <c r="Q43" s="157">
        <v>165</v>
      </c>
      <c r="R43" s="60">
        <f t="shared" si="14"/>
        <v>113</v>
      </c>
      <c r="S43" s="155">
        <f>129+80</f>
        <v>209</v>
      </c>
      <c r="T43" s="156">
        <v>209</v>
      </c>
      <c r="U43" s="157">
        <v>0</v>
      </c>
      <c r="V43" s="60">
        <f t="shared" si="15"/>
        <v>209</v>
      </c>
    </row>
    <row r="44" spans="1:22" s="33" customFormat="1" ht="19.5" customHeight="1">
      <c r="A44" s="49" t="s">
        <v>91</v>
      </c>
      <c r="B44" s="163">
        <v>531</v>
      </c>
      <c r="C44" s="164">
        <v>531</v>
      </c>
      <c r="D44" s="164">
        <v>446</v>
      </c>
      <c r="E44" s="165">
        <v>200</v>
      </c>
      <c r="F44" s="165">
        <v>0</v>
      </c>
      <c r="G44" s="165">
        <v>0</v>
      </c>
      <c r="H44" s="166">
        <f>317+E44+F44+G44</f>
        <v>517</v>
      </c>
      <c r="I44" s="39">
        <f t="shared" si="12"/>
        <v>460</v>
      </c>
      <c r="J44" s="155">
        <v>699</v>
      </c>
      <c r="K44" s="156">
        <v>699</v>
      </c>
      <c r="L44" s="156">
        <v>60</v>
      </c>
      <c r="M44" s="157">
        <f>400+225</f>
        <v>625</v>
      </c>
      <c r="N44" s="158">
        <f t="shared" si="13"/>
        <v>134</v>
      </c>
      <c r="O44" s="155">
        <v>96</v>
      </c>
      <c r="P44" s="156">
        <v>96</v>
      </c>
      <c r="Q44" s="157">
        <v>90</v>
      </c>
      <c r="R44" s="60">
        <f t="shared" si="14"/>
        <v>6</v>
      </c>
      <c r="S44" s="155">
        <v>104</v>
      </c>
      <c r="T44" s="156">
        <v>104</v>
      </c>
      <c r="U44" s="157">
        <v>100</v>
      </c>
      <c r="V44" s="60">
        <f t="shared" si="15"/>
        <v>4</v>
      </c>
    </row>
    <row r="45" spans="1:22" s="33" customFormat="1" ht="19.5" customHeight="1">
      <c r="A45" s="125" t="s">
        <v>92</v>
      </c>
      <c r="B45" s="163">
        <v>77</v>
      </c>
      <c r="C45" s="164">
        <v>77</v>
      </c>
      <c r="D45" s="164">
        <v>2012</v>
      </c>
      <c r="E45" s="165">
        <v>615</v>
      </c>
      <c r="F45" s="165">
        <v>0</v>
      </c>
      <c r="G45" s="165">
        <v>380</v>
      </c>
      <c r="H45" s="166">
        <f>273+E45+F45+G45</f>
        <v>1268</v>
      </c>
      <c r="I45" s="39">
        <f>B45+D45-H45</f>
        <v>821</v>
      </c>
      <c r="J45" s="155">
        <f>158+74</f>
        <v>232</v>
      </c>
      <c r="K45" s="156">
        <v>232</v>
      </c>
      <c r="L45" s="156">
        <v>30</v>
      </c>
      <c r="M45" s="157">
        <v>174</v>
      </c>
      <c r="N45" s="158">
        <f t="shared" si="13"/>
        <v>88</v>
      </c>
      <c r="O45" s="155">
        <f>82+174</f>
        <v>256</v>
      </c>
      <c r="P45" s="156">
        <v>256</v>
      </c>
      <c r="Q45" s="157">
        <v>194</v>
      </c>
      <c r="R45" s="60">
        <f t="shared" si="14"/>
        <v>62</v>
      </c>
      <c r="S45" s="155">
        <f>286+100</f>
        <v>386</v>
      </c>
      <c r="T45" s="156">
        <f>383+100</f>
        <v>483</v>
      </c>
      <c r="U45" s="157">
        <v>386</v>
      </c>
      <c r="V45" s="60">
        <f t="shared" si="15"/>
        <v>0</v>
      </c>
    </row>
    <row r="46" spans="1:22" s="281" customFormat="1" ht="19.5" customHeight="1">
      <c r="A46" s="294" t="s">
        <v>93</v>
      </c>
      <c r="B46" s="287">
        <v>417</v>
      </c>
      <c r="C46" s="288">
        <v>417</v>
      </c>
      <c r="D46" s="288">
        <v>1838</v>
      </c>
      <c r="E46" s="289">
        <v>320</v>
      </c>
      <c r="F46" s="289">
        <v>780</v>
      </c>
      <c r="G46" s="289">
        <v>0</v>
      </c>
      <c r="H46" s="290">
        <f>782+E46+F46+G46</f>
        <v>1882</v>
      </c>
      <c r="I46" s="291">
        <f t="shared" si="12"/>
        <v>373</v>
      </c>
      <c r="J46" s="295">
        <v>186</v>
      </c>
      <c r="K46" s="296">
        <v>186</v>
      </c>
      <c r="L46" s="296">
        <v>31</v>
      </c>
      <c r="M46" s="297">
        <v>50</v>
      </c>
      <c r="N46" s="298">
        <f t="shared" si="13"/>
        <v>167</v>
      </c>
      <c r="O46" s="295">
        <f>380+160</f>
        <v>540</v>
      </c>
      <c r="P46" s="296">
        <v>540</v>
      </c>
      <c r="Q46" s="297">
        <v>350</v>
      </c>
      <c r="R46" s="299">
        <f t="shared" si="14"/>
        <v>190</v>
      </c>
      <c r="S46" s="295">
        <v>1</v>
      </c>
      <c r="T46" s="296">
        <v>1</v>
      </c>
      <c r="U46" s="297">
        <v>0</v>
      </c>
      <c r="V46" s="299">
        <f t="shared" si="15"/>
        <v>1</v>
      </c>
    </row>
    <row r="47" spans="1:22" s="33" customFormat="1" ht="19.5" customHeight="1">
      <c r="A47" s="42" t="s">
        <v>94</v>
      </c>
      <c r="B47" s="146">
        <v>472</v>
      </c>
      <c r="C47" s="147">
        <v>472</v>
      </c>
      <c r="D47" s="147">
        <v>426</v>
      </c>
      <c r="E47" s="148">
        <v>0</v>
      </c>
      <c r="F47" s="148">
        <v>0</v>
      </c>
      <c r="G47" s="148">
        <v>160</v>
      </c>
      <c r="H47" s="149">
        <f>212+E47+F47+G47</f>
        <v>372</v>
      </c>
      <c r="I47" s="59">
        <f t="shared" si="12"/>
        <v>526</v>
      </c>
      <c r="J47" s="146">
        <v>264</v>
      </c>
      <c r="K47" s="147">
        <v>264</v>
      </c>
      <c r="L47" s="147">
        <v>16</v>
      </c>
      <c r="M47" s="148">
        <v>145</v>
      </c>
      <c r="N47" s="149">
        <f t="shared" si="13"/>
        <v>135</v>
      </c>
      <c r="O47" s="146">
        <f>21+72</f>
        <v>93</v>
      </c>
      <c r="P47" s="147">
        <f>72+12</f>
        <v>84</v>
      </c>
      <c r="Q47" s="148">
        <v>93</v>
      </c>
      <c r="R47" s="59">
        <f t="shared" si="14"/>
        <v>0</v>
      </c>
      <c r="S47" s="146">
        <v>80</v>
      </c>
      <c r="T47" s="147">
        <v>80</v>
      </c>
      <c r="U47" s="148">
        <v>0</v>
      </c>
      <c r="V47" s="59">
        <f t="shared" si="15"/>
        <v>80</v>
      </c>
    </row>
    <row r="48" spans="1:22" s="33" customFormat="1" ht="19.5" customHeight="1">
      <c r="A48" s="24" t="s">
        <v>40</v>
      </c>
      <c r="B48" s="139">
        <v>161</v>
      </c>
      <c r="C48" s="140">
        <v>161</v>
      </c>
      <c r="D48" s="140">
        <v>693</v>
      </c>
      <c r="E48" s="141">
        <v>230</v>
      </c>
      <c r="F48" s="141">
        <v>0</v>
      </c>
      <c r="G48" s="141">
        <v>150</v>
      </c>
      <c r="H48" s="142">
        <f>429+E48+F48+G48</f>
        <v>809</v>
      </c>
      <c r="I48" s="31">
        <f>B48+D48-H48</f>
        <v>45</v>
      </c>
      <c r="J48" s="139">
        <v>103</v>
      </c>
      <c r="K48" s="140">
        <v>103</v>
      </c>
      <c r="L48" s="140">
        <v>38</v>
      </c>
      <c r="M48" s="141">
        <v>83</v>
      </c>
      <c r="N48" s="142">
        <f t="shared" si="13"/>
        <v>58</v>
      </c>
      <c r="O48" s="139">
        <f>92+90</f>
        <v>182</v>
      </c>
      <c r="P48" s="140">
        <f>90+100</f>
        <v>190</v>
      </c>
      <c r="Q48" s="141">
        <v>170</v>
      </c>
      <c r="R48" s="31">
        <f t="shared" si="14"/>
        <v>12</v>
      </c>
      <c r="S48" s="139">
        <v>60</v>
      </c>
      <c r="T48" s="140">
        <v>60</v>
      </c>
      <c r="U48" s="141">
        <v>60</v>
      </c>
      <c r="V48" s="31">
        <f t="shared" si="15"/>
        <v>0</v>
      </c>
    </row>
    <row r="49" spans="1:23" s="33" customFormat="1" ht="19.5" customHeight="1">
      <c r="A49" s="171" t="s">
        <v>59</v>
      </c>
      <c r="B49" s="139">
        <v>2669</v>
      </c>
      <c r="C49" s="172">
        <v>2669</v>
      </c>
      <c r="D49" s="172">
        <v>3211</v>
      </c>
      <c r="E49" s="173">
        <f>2380-1500</f>
        <v>880</v>
      </c>
      <c r="F49" s="173">
        <v>0</v>
      </c>
      <c r="G49" s="173">
        <v>350</v>
      </c>
      <c r="H49" s="174">
        <f>1538+E49+F49+G49</f>
        <v>2768</v>
      </c>
      <c r="I49" s="27">
        <f>B49+D49-H49</f>
        <v>3112</v>
      </c>
      <c r="J49" s="139">
        <v>1182</v>
      </c>
      <c r="K49" s="140">
        <v>1182</v>
      </c>
      <c r="L49" s="140">
        <f>703+45</f>
        <v>748</v>
      </c>
      <c r="M49" s="141">
        <f>400+160</f>
        <v>560</v>
      </c>
      <c r="N49" s="142">
        <f t="shared" si="13"/>
        <v>1370</v>
      </c>
      <c r="O49" s="139">
        <f>742+372</f>
        <v>1114</v>
      </c>
      <c r="P49" s="140">
        <v>957</v>
      </c>
      <c r="Q49" s="141">
        <v>400</v>
      </c>
      <c r="R49" s="31">
        <f t="shared" si="14"/>
        <v>714</v>
      </c>
      <c r="S49" s="139">
        <f>647+176</f>
        <v>823</v>
      </c>
      <c r="T49" s="140">
        <v>823</v>
      </c>
      <c r="U49" s="141">
        <v>300</v>
      </c>
      <c r="V49" s="31">
        <f t="shared" si="15"/>
        <v>523</v>
      </c>
      <c r="W49" s="143"/>
    </row>
    <row r="50" spans="1:22" s="33" customFormat="1" ht="19.5" customHeight="1">
      <c r="A50" s="123" t="s">
        <v>100</v>
      </c>
      <c r="B50" s="139">
        <v>569</v>
      </c>
      <c r="C50" s="172">
        <v>569</v>
      </c>
      <c r="D50" s="172">
        <v>477</v>
      </c>
      <c r="E50" s="173">
        <v>0</v>
      </c>
      <c r="F50" s="173">
        <v>0</v>
      </c>
      <c r="G50" s="173">
        <v>700</v>
      </c>
      <c r="H50" s="174">
        <f>316+E50+F50+G50</f>
        <v>1016</v>
      </c>
      <c r="I50" s="27">
        <f t="shared" si="12"/>
        <v>30</v>
      </c>
      <c r="J50" s="139">
        <f>461+35</f>
        <v>496</v>
      </c>
      <c r="K50" s="140">
        <v>496</v>
      </c>
      <c r="L50" s="140">
        <f>166+66</f>
        <v>232</v>
      </c>
      <c r="M50" s="141">
        <f>600+101</f>
        <v>701</v>
      </c>
      <c r="N50" s="142">
        <f t="shared" si="13"/>
        <v>27</v>
      </c>
      <c r="O50" s="139">
        <f>37+104</f>
        <v>141</v>
      </c>
      <c r="P50" s="140">
        <v>117</v>
      </c>
      <c r="Q50" s="141">
        <v>126</v>
      </c>
      <c r="R50" s="31">
        <f t="shared" si="14"/>
        <v>15</v>
      </c>
      <c r="S50" s="139">
        <v>70</v>
      </c>
      <c r="T50" s="140">
        <v>70</v>
      </c>
      <c r="U50" s="141">
        <v>60</v>
      </c>
      <c r="V50" s="31">
        <f t="shared" si="15"/>
        <v>10</v>
      </c>
    </row>
    <row r="51" spans="1:22" s="33" customFormat="1" ht="19.5" customHeight="1">
      <c r="A51" s="49" t="s">
        <v>50</v>
      </c>
      <c r="B51" s="139">
        <v>576</v>
      </c>
      <c r="C51" s="172">
        <v>576</v>
      </c>
      <c r="D51" s="172">
        <v>3676</v>
      </c>
      <c r="E51" s="173">
        <v>1400</v>
      </c>
      <c r="F51" s="173">
        <v>1896</v>
      </c>
      <c r="G51" s="173">
        <v>0</v>
      </c>
      <c r="H51" s="174">
        <f>856+E51+F51+G51</f>
        <v>4152</v>
      </c>
      <c r="I51" s="27">
        <f t="shared" si="12"/>
        <v>100</v>
      </c>
      <c r="J51" s="139">
        <v>969</v>
      </c>
      <c r="K51" s="140">
        <v>969</v>
      </c>
      <c r="L51" s="140">
        <v>275</v>
      </c>
      <c r="M51" s="141">
        <f>400+693</f>
        <v>1093</v>
      </c>
      <c r="N51" s="142">
        <f t="shared" si="13"/>
        <v>151</v>
      </c>
      <c r="O51" s="139">
        <v>476</v>
      </c>
      <c r="P51" s="140">
        <v>476</v>
      </c>
      <c r="Q51" s="141">
        <v>395</v>
      </c>
      <c r="R51" s="31">
        <f t="shared" si="14"/>
        <v>81</v>
      </c>
      <c r="S51" s="139">
        <v>194</v>
      </c>
      <c r="T51" s="140">
        <v>194</v>
      </c>
      <c r="U51" s="141">
        <v>180</v>
      </c>
      <c r="V51" s="31">
        <f t="shared" si="15"/>
        <v>14</v>
      </c>
    </row>
    <row r="52" spans="1:22" s="281" customFormat="1" ht="19.5" customHeight="1">
      <c r="A52" s="347" t="s">
        <v>95</v>
      </c>
      <c r="B52" s="295">
        <v>1851</v>
      </c>
      <c r="C52" s="288">
        <v>2247</v>
      </c>
      <c r="D52" s="288">
        <v>4733</v>
      </c>
      <c r="E52" s="289">
        <v>725</v>
      </c>
      <c r="F52" s="289">
        <v>1150</v>
      </c>
      <c r="G52" s="289">
        <v>1525</v>
      </c>
      <c r="H52" s="290">
        <f>2547-43+E52+F52+G52</f>
        <v>5904</v>
      </c>
      <c r="I52" s="291">
        <f t="shared" si="12"/>
        <v>680</v>
      </c>
      <c r="J52" s="295">
        <v>1861</v>
      </c>
      <c r="K52" s="296">
        <v>1807</v>
      </c>
      <c r="L52" s="296">
        <v>189</v>
      </c>
      <c r="M52" s="297">
        <f>600+952</f>
        <v>1552</v>
      </c>
      <c r="N52" s="298">
        <f t="shared" si="13"/>
        <v>498</v>
      </c>
      <c r="O52" s="295">
        <f>66+300</f>
        <v>366</v>
      </c>
      <c r="P52" s="296">
        <f>30+300</f>
        <v>330</v>
      </c>
      <c r="Q52" s="297">
        <v>350</v>
      </c>
      <c r="R52" s="299">
        <f t="shared" si="14"/>
        <v>16</v>
      </c>
      <c r="S52" s="295">
        <f>637+189</f>
        <v>826</v>
      </c>
      <c r="T52" s="296">
        <v>826</v>
      </c>
      <c r="U52" s="297">
        <v>500</v>
      </c>
      <c r="V52" s="299">
        <f t="shared" si="15"/>
        <v>326</v>
      </c>
    </row>
    <row r="53" spans="1:23" s="33" customFormat="1" ht="19.5" customHeight="1">
      <c r="A53" s="123" t="s">
        <v>96</v>
      </c>
      <c r="B53" s="139">
        <v>135</v>
      </c>
      <c r="C53" s="172">
        <v>135</v>
      </c>
      <c r="D53" s="172">
        <v>1623</v>
      </c>
      <c r="E53" s="173">
        <v>897</v>
      </c>
      <c r="F53" s="173">
        <v>0</v>
      </c>
      <c r="G53" s="173">
        <v>0</v>
      </c>
      <c r="H53" s="174">
        <f>684+E53+F53+G53</f>
        <v>1581</v>
      </c>
      <c r="I53" s="27">
        <f>B53+D53-H53</f>
        <v>177</v>
      </c>
      <c r="J53" s="139">
        <v>234</v>
      </c>
      <c r="K53" s="140">
        <v>234</v>
      </c>
      <c r="L53" s="140">
        <v>428</v>
      </c>
      <c r="M53" s="141">
        <v>600</v>
      </c>
      <c r="N53" s="142">
        <f t="shared" si="13"/>
        <v>62</v>
      </c>
      <c r="O53" s="139">
        <f>974+210</f>
        <v>1184</v>
      </c>
      <c r="P53" s="140">
        <f>939+210</f>
        <v>1149</v>
      </c>
      <c r="Q53" s="141">
        <v>217</v>
      </c>
      <c r="R53" s="31">
        <f t="shared" si="14"/>
        <v>967</v>
      </c>
      <c r="S53" s="139">
        <v>512</v>
      </c>
      <c r="T53" s="140">
        <v>512</v>
      </c>
      <c r="U53" s="141">
        <v>0</v>
      </c>
      <c r="V53" s="31">
        <f t="shared" si="15"/>
        <v>512</v>
      </c>
      <c r="W53" s="145"/>
    </row>
    <row r="54" spans="1:23" s="33" customFormat="1" ht="19.5" customHeight="1">
      <c r="A54" s="49" t="s">
        <v>97</v>
      </c>
      <c r="B54" s="139">
        <v>1527</v>
      </c>
      <c r="C54" s="172">
        <v>1527</v>
      </c>
      <c r="D54" s="172">
        <v>787</v>
      </c>
      <c r="E54" s="173">
        <v>550</v>
      </c>
      <c r="F54" s="173">
        <v>0</v>
      </c>
      <c r="G54" s="173">
        <v>0</v>
      </c>
      <c r="H54" s="175">
        <f>452+E54+F54+G54</f>
        <v>1002</v>
      </c>
      <c r="I54" s="27">
        <f t="shared" si="12"/>
        <v>1312</v>
      </c>
      <c r="J54" s="139">
        <f>520+93</f>
        <v>613</v>
      </c>
      <c r="K54" s="140">
        <v>613</v>
      </c>
      <c r="L54" s="140">
        <v>256</v>
      </c>
      <c r="M54" s="141">
        <v>593</v>
      </c>
      <c r="N54" s="142">
        <f t="shared" si="13"/>
        <v>276</v>
      </c>
      <c r="O54" s="139">
        <v>344</v>
      </c>
      <c r="P54" s="140">
        <v>344</v>
      </c>
      <c r="Q54" s="141">
        <v>245</v>
      </c>
      <c r="R54" s="31">
        <f t="shared" si="14"/>
        <v>99</v>
      </c>
      <c r="S54" s="139">
        <f>306+150</f>
        <v>456</v>
      </c>
      <c r="T54" s="140">
        <v>456</v>
      </c>
      <c r="U54" s="141">
        <v>456</v>
      </c>
      <c r="V54" s="31">
        <f t="shared" si="15"/>
        <v>0</v>
      </c>
      <c r="W54" s="145"/>
    </row>
    <row r="55" spans="1:22" s="33" customFormat="1" ht="19.5" customHeight="1">
      <c r="A55" s="24" t="s">
        <v>101</v>
      </c>
      <c r="B55" s="139">
        <v>162</v>
      </c>
      <c r="C55" s="172">
        <v>162</v>
      </c>
      <c r="D55" s="172">
        <v>1728</v>
      </c>
      <c r="E55" s="173">
        <v>600</v>
      </c>
      <c r="F55" s="173">
        <v>0</v>
      </c>
      <c r="G55" s="173">
        <v>150</v>
      </c>
      <c r="H55" s="174">
        <f>479+E55+F55+G55</f>
        <v>1229</v>
      </c>
      <c r="I55" s="27">
        <f t="shared" si="12"/>
        <v>661</v>
      </c>
      <c r="J55" s="139">
        <f>161+87</f>
        <v>248</v>
      </c>
      <c r="K55" s="140">
        <v>248</v>
      </c>
      <c r="L55" s="140">
        <v>320</v>
      </c>
      <c r="M55" s="141">
        <f>300+87</f>
        <v>387</v>
      </c>
      <c r="N55" s="142">
        <f t="shared" si="13"/>
        <v>181</v>
      </c>
      <c r="O55" s="139">
        <f>143+280</f>
        <v>423</v>
      </c>
      <c r="P55" s="140">
        <f>31+280</f>
        <v>311</v>
      </c>
      <c r="Q55" s="141">
        <v>423</v>
      </c>
      <c r="R55" s="31">
        <f t="shared" si="14"/>
        <v>0</v>
      </c>
      <c r="S55" s="139">
        <f>178+100</f>
        <v>278</v>
      </c>
      <c r="T55" s="140">
        <v>278</v>
      </c>
      <c r="U55" s="141">
        <v>178</v>
      </c>
      <c r="V55" s="31">
        <f t="shared" si="15"/>
        <v>100</v>
      </c>
    </row>
    <row r="56" spans="1:22" s="33" customFormat="1" ht="19.5" customHeight="1">
      <c r="A56" s="24" t="s">
        <v>98</v>
      </c>
      <c r="B56" s="139">
        <v>953</v>
      </c>
      <c r="C56" s="172">
        <v>953</v>
      </c>
      <c r="D56" s="172">
        <v>1145</v>
      </c>
      <c r="E56" s="173">
        <v>350</v>
      </c>
      <c r="F56" s="173">
        <v>0</v>
      </c>
      <c r="G56" s="173">
        <v>0</v>
      </c>
      <c r="H56" s="174">
        <f>795+E56+F56+G56</f>
        <v>1145</v>
      </c>
      <c r="I56" s="27">
        <f t="shared" si="12"/>
        <v>953</v>
      </c>
      <c r="J56" s="139">
        <v>36</v>
      </c>
      <c r="K56" s="140">
        <v>36</v>
      </c>
      <c r="L56" s="140">
        <v>131</v>
      </c>
      <c r="M56" s="141">
        <v>100</v>
      </c>
      <c r="N56" s="142">
        <f t="shared" si="13"/>
        <v>67</v>
      </c>
      <c r="O56" s="139">
        <f>244+185</f>
        <v>429</v>
      </c>
      <c r="P56" s="140">
        <f>181+185</f>
        <v>366</v>
      </c>
      <c r="Q56" s="141">
        <v>200</v>
      </c>
      <c r="R56" s="31">
        <f t="shared" si="14"/>
        <v>229</v>
      </c>
      <c r="S56" s="139">
        <f>30+20</f>
        <v>50</v>
      </c>
      <c r="T56" s="140">
        <v>50</v>
      </c>
      <c r="U56" s="141">
        <v>25</v>
      </c>
      <c r="V56" s="31">
        <f t="shared" si="15"/>
        <v>25</v>
      </c>
    </row>
    <row r="57" spans="1:22" s="33" customFormat="1" ht="19.5" customHeight="1" thickBot="1">
      <c r="A57" s="24" t="s">
        <v>99</v>
      </c>
      <c r="B57" s="139">
        <v>340</v>
      </c>
      <c r="C57" s="172">
        <v>340</v>
      </c>
      <c r="D57" s="172">
        <v>157</v>
      </c>
      <c r="E57" s="173">
        <v>0</v>
      </c>
      <c r="F57" s="173">
        <v>0</v>
      </c>
      <c r="G57" s="173">
        <v>0</v>
      </c>
      <c r="H57" s="174">
        <f>153+E57+F57+G57</f>
        <v>153</v>
      </c>
      <c r="I57" s="27">
        <f t="shared" si="12"/>
        <v>344</v>
      </c>
      <c r="J57" s="139">
        <f>488+73</f>
        <v>561</v>
      </c>
      <c r="K57" s="140">
        <v>561</v>
      </c>
      <c r="L57" s="140">
        <v>23</v>
      </c>
      <c r="M57" s="141">
        <v>73</v>
      </c>
      <c r="N57" s="142">
        <f t="shared" si="13"/>
        <v>511</v>
      </c>
      <c r="O57" s="139">
        <f>44+100</f>
        <v>144</v>
      </c>
      <c r="P57" s="140">
        <v>144</v>
      </c>
      <c r="Q57" s="141">
        <v>100</v>
      </c>
      <c r="R57" s="31">
        <f t="shared" si="14"/>
        <v>44</v>
      </c>
      <c r="S57" s="139">
        <f>171+9</f>
        <v>180</v>
      </c>
      <c r="T57" s="140">
        <v>180</v>
      </c>
      <c r="U57" s="141">
        <v>0</v>
      </c>
      <c r="V57" s="31">
        <f t="shared" si="15"/>
        <v>180</v>
      </c>
    </row>
    <row r="58" spans="1:28" s="178" customFormat="1" ht="19.5" customHeight="1" thickBot="1">
      <c r="A58" s="137" t="s">
        <v>17</v>
      </c>
      <c r="B58" s="138">
        <f>SUM(B59:B74)</f>
        <v>15384</v>
      </c>
      <c r="C58" s="138">
        <f>SUM(C59:C74)</f>
        <v>15425</v>
      </c>
      <c r="D58" s="136">
        <f aca="true" t="shared" si="16" ref="D58:V58">SUM(D59:D74)</f>
        <v>29460</v>
      </c>
      <c r="E58" s="136">
        <f t="shared" si="16"/>
        <v>12039</v>
      </c>
      <c r="F58" s="136">
        <f t="shared" si="16"/>
        <v>1540</v>
      </c>
      <c r="G58" s="136">
        <f t="shared" si="16"/>
        <v>5730</v>
      </c>
      <c r="H58" s="136">
        <f t="shared" si="16"/>
        <v>31038</v>
      </c>
      <c r="I58" s="22">
        <f t="shared" si="16"/>
        <v>13806</v>
      </c>
      <c r="J58" s="138">
        <f t="shared" si="16"/>
        <v>11721</v>
      </c>
      <c r="K58" s="136">
        <f t="shared" si="16"/>
        <v>11726</v>
      </c>
      <c r="L58" s="136">
        <f t="shared" si="16"/>
        <v>2795</v>
      </c>
      <c r="M58" s="136">
        <f t="shared" si="16"/>
        <v>4706</v>
      </c>
      <c r="N58" s="22">
        <f t="shared" si="16"/>
        <v>9810</v>
      </c>
      <c r="O58" s="138">
        <f t="shared" si="16"/>
        <v>7622</v>
      </c>
      <c r="P58" s="136">
        <f t="shared" si="16"/>
        <v>7288</v>
      </c>
      <c r="Q58" s="136">
        <f t="shared" si="16"/>
        <v>4988</v>
      </c>
      <c r="R58" s="22">
        <f t="shared" si="16"/>
        <v>2634</v>
      </c>
      <c r="S58" s="138">
        <f t="shared" si="16"/>
        <v>6502</v>
      </c>
      <c r="T58" s="136">
        <f t="shared" si="16"/>
        <v>6502</v>
      </c>
      <c r="U58" s="136">
        <f t="shared" si="16"/>
        <v>2523</v>
      </c>
      <c r="V58" s="22">
        <f t="shared" si="16"/>
        <v>3979</v>
      </c>
      <c r="W58" s="176"/>
      <c r="X58" s="177"/>
      <c r="Y58" s="177"/>
      <c r="Z58" s="177"/>
      <c r="AA58" s="177"/>
      <c r="AB58" s="177"/>
    </row>
    <row r="59" spans="1:25" s="179" customFormat="1" ht="19.5" customHeight="1">
      <c r="A59" s="151" t="s">
        <v>51</v>
      </c>
      <c r="B59" s="146">
        <v>191</v>
      </c>
      <c r="C59" s="147">
        <v>191</v>
      </c>
      <c r="D59" s="147">
        <v>695</v>
      </c>
      <c r="E59" s="148">
        <v>600</v>
      </c>
      <c r="F59" s="148">
        <v>0</v>
      </c>
      <c r="G59" s="148">
        <v>0</v>
      </c>
      <c r="H59" s="149">
        <f>234+E59+F59+G59</f>
        <v>834</v>
      </c>
      <c r="I59" s="59">
        <f>B59+D59-H59</f>
        <v>52</v>
      </c>
      <c r="J59" s="146">
        <f>71+102</f>
        <v>173</v>
      </c>
      <c r="K59" s="147">
        <f>71+102</f>
        <v>173</v>
      </c>
      <c r="L59" s="147">
        <v>24</v>
      </c>
      <c r="M59" s="148">
        <v>0</v>
      </c>
      <c r="N59" s="149">
        <f aca="true" t="shared" si="17" ref="N59:N74">J59+L59-M59</f>
        <v>197</v>
      </c>
      <c r="O59" s="146">
        <f>120+216</f>
        <v>336</v>
      </c>
      <c r="P59" s="147">
        <v>225</v>
      </c>
      <c r="Q59" s="148">
        <v>247</v>
      </c>
      <c r="R59" s="59">
        <f aca="true" t="shared" si="18" ref="R59:R74">O59-Q59</f>
        <v>89</v>
      </c>
      <c r="S59" s="146">
        <f>92+6</f>
        <v>98</v>
      </c>
      <c r="T59" s="148">
        <f>92+6</f>
        <v>98</v>
      </c>
      <c r="U59" s="148">
        <v>0</v>
      </c>
      <c r="V59" s="59">
        <f aca="true" t="shared" si="19" ref="V59:V74">S59-U59</f>
        <v>98</v>
      </c>
      <c r="Y59" s="179" t="s">
        <v>15</v>
      </c>
    </row>
    <row r="60" spans="1:22" s="33" customFormat="1" ht="19.5" customHeight="1">
      <c r="A60" s="121" t="s">
        <v>60</v>
      </c>
      <c r="B60" s="139">
        <v>99</v>
      </c>
      <c r="C60" s="140">
        <v>99</v>
      </c>
      <c r="D60" s="140">
        <v>1887</v>
      </c>
      <c r="E60" s="141">
        <v>0</v>
      </c>
      <c r="F60" s="141">
        <v>0</v>
      </c>
      <c r="G60" s="141">
        <v>900</v>
      </c>
      <c r="H60" s="142">
        <f>977+G60+E60+F60</f>
        <v>1877</v>
      </c>
      <c r="I60" s="31">
        <f aca="true" t="shared" si="20" ref="I60:I74">B60+D60-H60</f>
        <v>109</v>
      </c>
      <c r="J60" s="139">
        <v>761</v>
      </c>
      <c r="K60" s="140">
        <v>761</v>
      </c>
      <c r="L60" s="140">
        <v>174</v>
      </c>
      <c r="M60" s="141">
        <v>600</v>
      </c>
      <c r="N60" s="142">
        <f t="shared" si="17"/>
        <v>335</v>
      </c>
      <c r="O60" s="139">
        <f>114+224</f>
        <v>338</v>
      </c>
      <c r="P60" s="140">
        <f>105+224</f>
        <v>329</v>
      </c>
      <c r="Q60" s="141">
        <v>271</v>
      </c>
      <c r="R60" s="31">
        <f t="shared" si="18"/>
        <v>67</v>
      </c>
      <c r="S60" s="139">
        <f>697+174</f>
        <v>871</v>
      </c>
      <c r="T60" s="141">
        <f>174+697</f>
        <v>871</v>
      </c>
      <c r="U60" s="141">
        <v>500</v>
      </c>
      <c r="V60" s="31">
        <f t="shared" si="19"/>
        <v>371</v>
      </c>
    </row>
    <row r="61" spans="1:22" s="33" customFormat="1" ht="19.5" customHeight="1">
      <c r="A61" s="24" t="s">
        <v>104</v>
      </c>
      <c r="B61" s="139">
        <v>645</v>
      </c>
      <c r="C61" s="140">
        <v>648</v>
      </c>
      <c r="D61" s="140">
        <v>2314</v>
      </c>
      <c r="E61" s="141">
        <v>700</v>
      </c>
      <c r="F61" s="141">
        <v>300</v>
      </c>
      <c r="G61" s="141">
        <v>200</v>
      </c>
      <c r="H61" s="142">
        <f>1060+E61+F61+G61</f>
        <v>2260</v>
      </c>
      <c r="I61" s="31">
        <f t="shared" si="20"/>
        <v>699</v>
      </c>
      <c r="J61" s="139">
        <f>363+329</f>
        <v>692</v>
      </c>
      <c r="K61" s="140">
        <f>363+329</f>
        <v>692</v>
      </c>
      <c r="L61" s="140">
        <v>152</v>
      </c>
      <c r="M61" s="141">
        <v>20</v>
      </c>
      <c r="N61" s="142">
        <f t="shared" si="17"/>
        <v>824</v>
      </c>
      <c r="O61" s="139">
        <f>252+174</f>
        <v>426</v>
      </c>
      <c r="P61" s="140">
        <f>252+48</f>
        <v>300</v>
      </c>
      <c r="Q61" s="141">
        <v>230</v>
      </c>
      <c r="R61" s="31">
        <f t="shared" si="18"/>
        <v>196</v>
      </c>
      <c r="S61" s="139">
        <f>100+199</f>
        <v>299</v>
      </c>
      <c r="T61" s="140">
        <f>100+199</f>
        <v>299</v>
      </c>
      <c r="U61" s="141">
        <v>0</v>
      </c>
      <c r="V61" s="31">
        <f t="shared" si="19"/>
        <v>299</v>
      </c>
    </row>
    <row r="62" spans="1:22" s="33" customFormat="1" ht="19.5" customHeight="1">
      <c r="A62" s="121" t="s">
        <v>30</v>
      </c>
      <c r="B62" s="139">
        <v>1147</v>
      </c>
      <c r="C62" s="182">
        <v>1147</v>
      </c>
      <c r="D62" s="182">
        <v>1503</v>
      </c>
      <c r="E62" s="141">
        <v>330</v>
      </c>
      <c r="F62" s="141">
        <v>0</v>
      </c>
      <c r="G62" s="141">
        <v>0</v>
      </c>
      <c r="H62" s="142">
        <f>767+E62+F62+G62</f>
        <v>1097</v>
      </c>
      <c r="I62" s="31">
        <f t="shared" si="20"/>
        <v>1553</v>
      </c>
      <c r="J62" s="139">
        <v>1356</v>
      </c>
      <c r="K62" s="140">
        <v>1356</v>
      </c>
      <c r="L62" s="140">
        <v>416</v>
      </c>
      <c r="M62" s="141">
        <v>0</v>
      </c>
      <c r="N62" s="142">
        <f t="shared" si="17"/>
        <v>1772</v>
      </c>
      <c r="O62" s="139">
        <f>275+392</f>
        <v>667</v>
      </c>
      <c r="P62" s="140">
        <v>667</v>
      </c>
      <c r="Q62" s="141">
        <v>388</v>
      </c>
      <c r="R62" s="31">
        <f t="shared" si="18"/>
        <v>279</v>
      </c>
      <c r="S62" s="139">
        <f>250+1050</f>
        <v>1300</v>
      </c>
      <c r="T62" s="141">
        <f>250+1050</f>
        <v>1300</v>
      </c>
      <c r="U62" s="141">
        <v>300</v>
      </c>
      <c r="V62" s="31">
        <f t="shared" si="19"/>
        <v>1000</v>
      </c>
    </row>
    <row r="63" spans="1:22" s="33" customFormat="1" ht="19.5" customHeight="1">
      <c r="A63" s="180" t="s">
        <v>64</v>
      </c>
      <c r="B63" s="181">
        <v>305</v>
      </c>
      <c r="C63" s="182">
        <v>305</v>
      </c>
      <c r="D63" s="182">
        <v>717</v>
      </c>
      <c r="E63" s="183">
        <v>0</v>
      </c>
      <c r="F63" s="183">
        <v>200</v>
      </c>
      <c r="G63" s="183">
        <v>0</v>
      </c>
      <c r="H63" s="184">
        <f>394+E63+F63+G63</f>
        <v>594</v>
      </c>
      <c r="I63" s="74">
        <f t="shared" si="20"/>
        <v>428</v>
      </c>
      <c r="J63" s="139">
        <f>54+115</f>
        <v>169</v>
      </c>
      <c r="K63" s="182">
        <f>54+115</f>
        <v>169</v>
      </c>
      <c r="L63" s="140">
        <v>8</v>
      </c>
      <c r="M63" s="141">
        <v>0</v>
      </c>
      <c r="N63" s="142">
        <f t="shared" si="17"/>
        <v>177</v>
      </c>
      <c r="O63" s="139">
        <v>499</v>
      </c>
      <c r="P63" s="182">
        <v>499</v>
      </c>
      <c r="Q63" s="141">
        <v>160</v>
      </c>
      <c r="R63" s="31">
        <f t="shared" si="18"/>
        <v>339</v>
      </c>
      <c r="S63" s="139">
        <v>61</v>
      </c>
      <c r="T63" s="183">
        <v>61</v>
      </c>
      <c r="U63" s="141">
        <v>0</v>
      </c>
      <c r="V63" s="31">
        <f t="shared" si="19"/>
        <v>61</v>
      </c>
    </row>
    <row r="64" spans="1:22" s="33" customFormat="1" ht="19.5" customHeight="1">
      <c r="A64" s="121" t="s">
        <v>65</v>
      </c>
      <c r="B64" s="139">
        <v>2418</v>
      </c>
      <c r="C64" s="182">
        <v>2418</v>
      </c>
      <c r="D64" s="182">
        <v>2316</v>
      </c>
      <c r="E64" s="141">
        <v>520</v>
      </c>
      <c r="F64" s="141">
        <v>0</v>
      </c>
      <c r="G64" s="141">
        <v>0</v>
      </c>
      <c r="H64" s="142">
        <f>1843+E64+F64+G64</f>
        <v>2363</v>
      </c>
      <c r="I64" s="31">
        <f t="shared" si="20"/>
        <v>2371</v>
      </c>
      <c r="J64" s="139">
        <f>743+551</f>
        <v>1294</v>
      </c>
      <c r="K64" s="140">
        <v>1294</v>
      </c>
      <c r="L64" s="140">
        <v>391</v>
      </c>
      <c r="M64" s="183">
        <v>500</v>
      </c>
      <c r="N64" s="142">
        <f t="shared" si="17"/>
        <v>1185</v>
      </c>
      <c r="O64" s="139">
        <f>385+664</f>
        <v>1049</v>
      </c>
      <c r="P64" s="140">
        <v>1070</v>
      </c>
      <c r="Q64" s="141">
        <v>800</v>
      </c>
      <c r="R64" s="31">
        <f t="shared" si="18"/>
        <v>249</v>
      </c>
      <c r="S64" s="139">
        <f>20+674</f>
        <v>694</v>
      </c>
      <c r="T64" s="141">
        <f>20+674</f>
        <v>694</v>
      </c>
      <c r="U64" s="141">
        <v>0</v>
      </c>
      <c r="V64" s="31">
        <f t="shared" si="19"/>
        <v>694</v>
      </c>
    </row>
    <row r="65" spans="1:22" s="76" customFormat="1" ht="19.5" customHeight="1">
      <c r="A65" s="180" t="s">
        <v>31</v>
      </c>
      <c r="B65" s="181">
        <v>1193</v>
      </c>
      <c r="C65" s="182">
        <v>1193</v>
      </c>
      <c r="D65" s="182">
        <v>3746</v>
      </c>
      <c r="E65" s="183">
        <v>2600</v>
      </c>
      <c r="F65" s="183">
        <v>160</v>
      </c>
      <c r="G65" s="183">
        <f>100+120+1200</f>
        <v>1420</v>
      </c>
      <c r="H65" s="184">
        <f>455+E65+G65+F65</f>
        <v>4635</v>
      </c>
      <c r="I65" s="74">
        <f t="shared" si="20"/>
        <v>304</v>
      </c>
      <c r="J65" s="181">
        <f>214+84</f>
        <v>298</v>
      </c>
      <c r="K65" s="182">
        <f>214+84</f>
        <v>298</v>
      </c>
      <c r="L65" s="182">
        <v>89</v>
      </c>
      <c r="M65" s="183">
        <f>13+209</f>
        <v>222</v>
      </c>
      <c r="N65" s="184">
        <f t="shared" si="17"/>
        <v>165</v>
      </c>
      <c r="O65" s="181">
        <f>200+590</f>
        <v>790</v>
      </c>
      <c r="P65" s="182">
        <f>200+590</f>
        <v>790</v>
      </c>
      <c r="Q65" s="183">
        <v>330</v>
      </c>
      <c r="R65" s="74">
        <f t="shared" si="18"/>
        <v>460</v>
      </c>
      <c r="S65" s="181">
        <f>100+340</f>
        <v>440</v>
      </c>
      <c r="T65" s="183">
        <f>100+340</f>
        <v>440</v>
      </c>
      <c r="U65" s="183">
        <v>140</v>
      </c>
      <c r="V65" s="74">
        <f t="shared" si="19"/>
        <v>300</v>
      </c>
    </row>
    <row r="66" spans="1:22" s="33" customFormat="1" ht="19.5" customHeight="1">
      <c r="A66" s="121" t="s">
        <v>32</v>
      </c>
      <c r="B66" s="139">
        <v>37</v>
      </c>
      <c r="C66" s="182">
        <v>37</v>
      </c>
      <c r="D66" s="182">
        <v>1486</v>
      </c>
      <c r="E66" s="141">
        <v>120</v>
      </c>
      <c r="F66" s="141">
        <v>630</v>
      </c>
      <c r="G66" s="141">
        <v>0</v>
      </c>
      <c r="H66" s="142">
        <f>772+E66+F66+G66</f>
        <v>1522</v>
      </c>
      <c r="I66" s="31">
        <f t="shared" si="20"/>
        <v>1</v>
      </c>
      <c r="J66" s="139">
        <v>327</v>
      </c>
      <c r="K66" s="140">
        <v>327</v>
      </c>
      <c r="L66" s="140">
        <f>14+15</f>
        <v>29</v>
      </c>
      <c r="M66" s="141">
        <v>339</v>
      </c>
      <c r="N66" s="142">
        <f t="shared" si="17"/>
        <v>17</v>
      </c>
      <c r="O66" s="139">
        <f>272+18</f>
        <v>290</v>
      </c>
      <c r="P66" s="140">
        <f>32+272</f>
        <v>304</v>
      </c>
      <c r="Q66" s="141">
        <v>288</v>
      </c>
      <c r="R66" s="31">
        <f t="shared" si="18"/>
        <v>2</v>
      </c>
      <c r="S66" s="139">
        <v>161</v>
      </c>
      <c r="T66" s="141">
        <v>161</v>
      </c>
      <c r="U66" s="141">
        <v>50</v>
      </c>
      <c r="V66" s="31">
        <f t="shared" si="19"/>
        <v>111</v>
      </c>
    </row>
    <row r="67" spans="1:22" s="76" customFormat="1" ht="19.5" customHeight="1">
      <c r="A67" s="180" t="s">
        <v>160</v>
      </c>
      <c r="B67" s="181">
        <v>1819</v>
      </c>
      <c r="C67" s="182">
        <v>1819</v>
      </c>
      <c r="D67" s="182">
        <v>5549</v>
      </c>
      <c r="E67" s="302">
        <f>3430-100</f>
        <v>3330</v>
      </c>
      <c r="F67" s="302">
        <v>100</v>
      </c>
      <c r="G67" s="183">
        <v>2110</v>
      </c>
      <c r="H67" s="184">
        <f>1012+E67+F67+G67</f>
        <v>6552</v>
      </c>
      <c r="I67" s="74">
        <f t="shared" si="20"/>
        <v>816</v>
      </c>
      <c r="J67" s="181">
        <f>756+29</f>
        <v>785</v>
      </c>
      <c r="K67" s="182">
        <f>756+29</f>
        <v>785</v>
      </c>
      <c r="L67" s="182">
        <v>202</v>
      </c>
      <c r="M67" s="183">
        <v>200</v>
      </c>
      <c r="N67" s="184">
        <f t="shared" si="17"/>
        <v>787</v>
      </c>
      <c r="O67" s="181">
        <f>250+529</f>
        <v>779</v>
      </c>
      <c r="P67" s="182">
        <f>250+527</f>
        <v>777</v>
      </c>
      <c r="Q67" s="183">
        <v>320</v>
      </c>
      <c r="R67" s="74">
        <f t="shared" si="18"/>
        <v>459</v>
      </c>
      <c r="S67" s="181">
        <v>413</v>
      </c>
      <c r="T67" s="183">
        <v>413</v>
      </c>
      <c r="U67" s="183">
        <v>100</v>
      </c>
      <c r="V67" s="74">
        <f t="shared" si="19"/>
        <v>313</v>
      </c>
    </row>
    <row r="68" spans="1:22" s="33" customFormat="1" ht="19.5" customHeight="1">
      <c r="A68" s="121" t="s">
        <v>66</v>
      </c>
      <c r="B68" s="139">
        <v>1267</v>
      </c>
      <c r="C68" s="182">
        <v>1267</v>
      </c>
      <c r="D68" s="182">
        <v>1070</v>
      </c>
      <c r="E68" s="141">
        <v>550</v>
      </c>
      <c r="F68" s="141">
        <v>0</v>
      </c>
      <c r="G68" s="141">
        <v>300</v>
      </c>
      <c r="H68" s="142">
        <f>522+E68+F68+G68</f>
        <v>1372</v>
      </c>
      <c r="I68" s="31">
        <f t="shared" si="20"/>
        <v>965</v>
      </c>
      <c r="J68" s="139">
        <v>2664</v>
      </c>
      <c r="K68" s="140">
        <v>2664</v>
      </c>
      <c r="L68" s="140">
        <v>270</v>
      </c>
      <c r="M68" s="141">
        <v>800</v>
      </c>
      <c r="N68" s="142">
        <f t="shared" si="17"/>
        <v>2134</v>
      </c>
      <c r="O68" s="139">
        <v>328</v>
      </c>
      <c r="P68" s="140">
        <v>323</v>
      </c>
      <c r="Q68" s="141">
        <v>245</v>
      </c>
      <c r="R68" s="31">
        <f t="shared" si="18"/>
        <v>83</v>
      </c>
      <c r="S68" s="139">
        <f>1083+101</f>
        <v>1184</v>
      </c>
      <c r="T68" s="141">
        <f>1083+101</f>
        <v>1184</v>
      </c>
      <c r="U68" s="183">
        <v>1000</v>
      </c>
      <c r="V68" s="31">
        <f t="shared" si="19"/>
        <v>184</v>
      </c>
    </row>
    <row r="69" spans="1:22" s="76" customFormat="1" ht="19.5" customHeight="1">
      <c r="A69" s="257" t="s">
        <v>33</v>
      </c>
      <c r="B69" s="185">
        <v>751</v>
      </c>
      <c r="C69" s="161">
        <v>751</v>
      </c>
      <c r="D69" s="161">
        <v>1070</v>
      </c>
      <c r="E69" s="162">
        <v>443</v>
      </c>
      <c r="F69" s="162">
        <v>0</v>
      </c>
      <c r="G69" s="162">
        <v>0</v>
      </c>
      <c r="H69" s="186">
        <f>586+E69+F69+G69</f>
        <v>1029</v>
      </c>
      <c r="I69" s="187">
        <f t="shared" si="20"/>
        <v>792</v>
      </c>
      <c r="J69" s="185">
        <f>113+14</f>
        <v>127</v>
      </c>
      <c r="K69" s="161">
        <f>113+14</f>
        <v>127</v>
      </c>
      <c r="L69" s="161">
        <v>103</v>
      </c>
      <c r="M69" s="162">
        <v>120</v>
      </c>
      <c r="N69" s="186">
        <f t="shared" si="17"/>
        <v>110</v>
      </c>
      <c r="O69" s="185">
        <f>142+260</f>
        <v>402</v>
      </c>
      <c r="P69" s="161">
        <v>402</v>
      </c>
      <c r="Q69" s="162">
        <v>400</v>
      </c>
      <c r="R69" s="187">
        <f t="shared" si="18"/>
        <v>2</v>
      </c>
      <c r="S69" s="185">
        <v>13</v>
      </c>
      <c r="T69" s="162">
        <v>13</v>
      </c>
      <c r="U69" s="162">
        <v>0</v>
      </c>
      <c r="V69" s="187">
        <f t="shared" si="19"/>
        <v>13</v>
      </c>
    </row>
    <row r="70" spans="1:23" s="33" customFormat="1" ht="19.5" customHeight="1">
      <c r="A70" s="154" t="s">
        <v>67</v>
      </c>
      <c r="B70" s="155">
        <v>1288</v>
      </c>
      <c r="C70" s="161">
        <v>1288</v>
      </c>
      <c r="D70" s="161">
        <v>1784</v>
      </c>
      <c r="E70" s="157">
        <v>1661</v>
      </c>
      <c r="F70" s="157">
        <v>0</v>
      </c>
      <c r="G70" s="157">
        <v>0</v>
      </c>
      <c r="H70" s="158">
        <f>904+E70+F70+G70</f>
        <v>2565</v>
      </c>
      <c r="I70" s="60">
        <f t="shared" si="20"/>
        <v>507</v>
      </c>
      <c r="J70" s="155">
        <f>680+795</f>
        <v>1475</v>
      </c>
      <c r="K70" s="156">
        <f>680+795+5</f>
        <v>1480</v>
      </c>
      <c r="L70" s="156">
        <v>94</v>
      </c>
      <c r="M70" s="157">
        <v>795</v>
      </c>
      <c r="N70" s="158">
        <f t="shared" si="17"/>
        <v>774</v>
      </c>
      <c r="O70" s="155">
        <f>245+82</f>
        <v>327</v>
      </c>
      <c r="P70" s="156">
        <v>327</v>
      </c>
      <c r="Q70" s="157">
        <v>327</v>
      </c>
      <c r="R70" s="60">
        <f t="shared" si="18"/>
        <v>0</v>
      </c>
      <c r="S70" s="155">
        <f>23+202</f>
        <v>225</v>
      </c>
      <c r="T70" s="157">
        <f>23+202</f>
        <v>225</v>
      </c>
      <c r="U70" s="157">
        <v>33</v>
      </c>
      <c r="V70" s="60">
        <f t="shared" si="19"/>
        <v>192</v>
      </c>
      <c r="W70" s="145"/>
    </row>
    <row r="71" spans="1:22" s="33" customFormat="1" ht="19.5" customHeight="1">
      <c r="A71" s="154" t="s">
        <v>34</v>
      </c>
      <c r="B71" s="155">
        <v>425</v>
      </c>
      <c r="C71" s="161">
        <v>425</v>
      </c>
      <c r="D71" s="161">
        <v>1149</v>
      </c>
      <c r="E71" s="157">
        <v>540</v>
      </c>
      <c r="F71" s="157">
        <v>0</v>
      </c>
      <c r="G71" s="157">
        <v>200</v>
      </c>
      <c r="H71" s="158">
        <f>625+E71+F71+G71</f>
        <v>1365</v>
      </c>
      <c r="I71" s="60">
        <f t="shared" si="20"/>
        <v>209</v>
      </c>
      <c r="J71" s="155">
        <f>65+9</f>
        <v>74</v>
      </c>
      <c r="K71" s="156">
        <f>65+9</f>
        <v>74</v>
      </c>
      <c r="L71" s="156">
        <v>299</v>
      </c>
      <c r="M71" s="157">
        <f>200+9</f>
        <v>209</v>
      </c>
      <c r="N71" s="158">
        <f t="shared" si="17"/>
        <v>164</v>
      </c>
      <c r="O71" s="155">
        <f>199+37</f>
        <v>236</v>
      </c>
      <c r="P71" s="156">
        <v>236</v>
      </c>
      <c r="Q71" s="157">
        <v>236</v>
      </c>
      <c r="R71" s="60">
        <f t="shared" si="18"/>
        <v>0</v>
      </c>
      <c r="S71" s="155">
        <v>5</v>
      </c>
      <c r="T71" s="157">
        <v>5</v>
      </c>
      <c r="U71" s="157">
        <v>0</v>
      </c>
      <c r="V71" s="60">
        <f t="shared" si="19"/>
        <v>5</v>
      </c>
    </row>
    <row r="72" spans="1:22" s="33" customFormat="1" ht="19.5" customHeight="1">
      <c r="A72" s="154" t="s">
        <v>35</v>
      </c>
      <c r="B72" s="155">
        <v>2062</v>
      </c>
      <c r="C72" s="161">
        <v>2062</v>
      </c>
      <c r="D72" s="161">
        <v>1474</v>
      </c>
      <c r="E72" s="157">
        <v>120</v>
      </c>
      <c r="F72" s="157">
        <v>150</v>
      </c>
      <c r="G72" s="157">
        <v>300</v>
      </c>
      <c r="H72" s="158">
        <f>710+E72+F72+G72</f>
        <v>1280</v>
      </c>
      <c r="I72" s="60">
        <f t="shared" si="20"/>
        <v>2256</v>
      </c>
      <c r="J72" s="155">
        <v>71</v>
      </c>
      <c r="K72" s="156">
        <v>71</v>
      </c>
      <c r="L72" s="156">
        <v>240</v>
      </c>
      <c r="M72" s="157">
        <v>100</v>
      </c>
      <c r="N72" s="158">
        <f t="shared" si="17"/>
        <v>211</v>
      </c>
      <c r="O72" s="155">
        <f>173+180</f>
        <v>353</v>
      </c>
      <c r="P72" s="156">
        <v>310</v>
      </c>
      <c r="Q72" s="157">
        <v>300</v>
      </c>
      <c r="R72" s="60">
        <f t="shared" si="18"/>
        <v>53</v>
      </c>
      <c r="S72" s="155">
        <v>256</v>
      </c>
      <c r="T72" s="157">
        <v>256</v>
      </c>
      <c r="U72" s="157">
        <v>0</v>
      </c>
      <c r="V72" s="60">
        <f t="shared" si="19"/>
        <v>256</v>
      </c>
    </row>
    <row r="73" spans="1:22" s="33" customFormat="1" ht="19.5" customHeight="1">
      <c r="A73" s="153" t="s">
        <v>68</v>
      </c>
      <c r="B73" s="139">
        <v>1358</v>
      </c>
      <c r="C73" s="182">
        <v>1396</v>
      </c>
      <c r="D73" s="182">
        <v>2020</v>
      </c>
      <c r="E73" s="183">
        <v>225</v>
      </c>
      <c r="F73" s="141">
        <v>0</v>
      </c>
      <c r="G73" s="141">
        <v>300</v>
      </c>
      <c r="H73" s="142">
        <f>469+E73+F73+G73</f>
        <v>994</v>
      </c>
      <c r="I73" s="31">
        <f t="shared" si="20"/>
        <v>2384</v>
      </c>
      <c r="J73" s="139">
        <v>828</v>
      </c>
      <c r="K73" s="140">
        <v>828</v>
      </c>
      <c r="L73" s="140">
        <v>95</v>
      </c>
      <c r="M73" s="141">
        <f>725+76</f>
        <v>801</v>
      </c>
      <c r="N73" s="142">
        <f t="shared" si="17"/>
        <v>122</v>
      </c>
      <c r="O73" s="139">
        <f>175+361</f>
        <v>536</v>
      </c>
      <c r="P73" s="140">
        <v>534</v>
      </c>
      <c r="Q73" s="141">
        <v>240</v>
      </c>
      <c r="R73" s="31">
        <f t="shared" si="18"/>
        <v>296</v>
      </c>
      <c r="S73" s="139">
        <f>399+80</f>
        <v>479</v>
      </c>
      <c r="T73" s="141">
        <f>399+80</f>
        <v>479</v>
      </c>
      <c r="U73" s="141">
        <v>400</v>
      </c>
      <c r="V73" s="31">
        <f t="shared" si="19"/>
        <v>79</v>
      </c>
    </row>
    <row r="74" spans="1:22" s="33" customFormat="1" ht="19.5" customHeight="1" thickBot="1">
      <c r="A74" s="339" t="s">
        <v>69</v>
      </c>
      <c r="B74" s="155">
        <f>379</f>
        <v>379</v>
      </c>
      <c r="C74" s="161">
        <v>379</v>
      </c>
      <c r="D74" s="161">
        <v>680</v>
      </c>
      <c r="E74" s="157">
        <v>300</v>
      </c>
      <c r="F74" s="157">
        <v>0</v>
      </c>
      <c r="G74" s="157">
        <v>0</v>
      </c>
      <c r="H74" s="158">
        <f>399+E74+F74+G74</f>
        <v>699</v>
      </c>
      <c r="I74" s="60">
        <f t="shared" si="20"/>
        <v>360</v>
      </c>
      <c r="J74" s="155">
        <v>627</v>
      </c>
      <c r="K74" s="156">
        <v>627</v>
      </c>
      <c r="L74" s="156">
        <v>209</v>
      </c>
      <c r="M74" s="157">
        <v>0</v>
      </c>
      <c r="N74" s="158">
        <f t="shared" si="17"/>
        <v>836</v>
      </c>
      <c r="O74" s="155">
        <f>110+156</f>
        <v>266</v>
      </c>
      <c r="P74" s="156">
        <v>195</v>
      </c>
      <c r="Q74" s="157">
        <v>206</v>
      </c>
      <c r="R74" s="60">
        <f t="shared" si="18"/>
        <v>60</v>
      </c>
      <c r="S74" s="155">
        <v>3</v>
      </c>
      <c r="T74" s="157">
        <v>3</v>
      </c>
      <c r="U74" s="157">
        <v>0</v>
      </c>
      <c r="V74" s="60">
        <f t="shared" si="19"/>
        <v>3</v>
      </c>
    </row>
    <row r="75" spans="1:256" s="188" customFormat="1" ht="19.5" customHeight="1" thickBot="1">
      <c r="A75" s="137" t="s">
        <v>36</v>
      </c>
      <c r="B75" s="138">
        <f>SUM(B76)</f>
        <v>347</v>
      </c>
      <c r="C75" s="136">
        <f aca="true" t="shared" si="21" ref="C75:V75">SUM(C76)</f>
        <v>347</v>
      </c>
      <c r="D75" s="136">
        <f t="shared" si="21"/>
        <v>416</v>
      </c>
      <c r="E75" s="136">
        <f t="shared" si="21"/>
        <v>500</v>
      </c>
      <c r="F75" s="136">
        <f t="shared" si="21"/>
        <v>0</v>
      </c>
      <c r="G75" s="136">
        <f t="shared" si="21"/>
        <v>0</v>
      </c>
      <c r="H75" s="136">
        <f t="shared" si="21"/>
        <v>677</v>
      </c>
      <c r="I75" s="22">
        <f t="shared" si="21"/>
        <v>86</v>
      </c>
      <c r="J75" s="138">
        <f t="shared" si="21"/>
        <v>77</v>
      </c>
      <c r="K75" s="136">
        <f t="shared" si="21"/>
        <v>77</v>
      </c>
      <c r="L75" s="136">
        <f t="shared" si="21"/>
        <v>5</v>
      </c>
      <c r="M75" s="136">
        <f t="shared" si="21"/>
        <v>2</v>
      </c>
      <c r="N75" s="22">
        <f t="shared" si="21"/>
        <v>80</v>
      </c>
      <c r="O75" s="138">
        <f t="shared" si="21"/>
        <v>179</v>
      </c>
      <c r="P75" s="136">
        <f t="shared" si="21"/>
        <v>179</v>
      </c>
      <c r="Q75" s="136">
        <f t="shared" si="21"/>
        <v>175</v>
      </c>
      <c r="R75" s="22">
        <f t="shared" si="21"/>
        <v>4</v>
      </c>
      <c r="S75" s="138">
        <f t="shared" si="21"/>
        <v>20</v>
      </c>
      <c r="T75" s="136">
        <f t="shared" si="21"/>
        <v>20</v>
      </c>
      <c r="U75" s="136">
        <f t="shared" si="21"/>
        <v>0</v>
      </c>
      <c r="V75" s="22">
        <f t="shared" si="21"/>
        <v>20</v>
      </c>
      <c r="W75" s="16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70"/>
      <c r="CM75" s="70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70"/>
      <c r="DB75" s="70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70"/>
      <c r="DQ75" s="70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70"/>
      <c r="EF75" s="70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70"/>
      <c r="EU75" s="70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70"/>
      <c r="FJ75" s="70"/>
      <c r="FK75" s="70"/>
      <c r="FL75" s="70"/>
      <c r="FM75" s="70"/>
      <c r="FN75" s="70"/>
      <c r="FO75" s="70"/>
      <c r="FP75" s="70"/>
      <c r="FQ75" s="70"/>
      <c r="FR75" s="70"/>
      <c r="FS75" s="70"/>
      <c r="FT75" s="70"/>
      <c r="FU75" s="70"/>
      <c r="FV75" s="70"/>
      <c r="FW75" s="70"/>
      <c r="FX75" s="70"/>
      <c r="FY75" s="70"/>
      <c r="FZ75" s="70"/>
      <c r="GA75" s="70"/>
      <c r="GB75" s="70"/>
      <c r="GC75" s="70"/>
      <c r="GD75" s="70"/>
      <c r="GE75" s="70"/>
      <c r="GF75" s="70"/>
      <c r="GG75" s="70"/>
      <c r="GH75" s="70"/>
      <c r="GI75" s="70"/>
      <c r="GJ75" s="70"/>
      <c r="GK75" s="70"/>
      <c r="GL75" s="70"/>
      <c r="GM75" s="70"/>
      <c r="GN75" s="70"/>
      <c r="GO75" s="70"/>
      <c r="GP75" s="70"/>
      <c r="GQ75" s="70"/>
      <c r="GR75" s="70"/>
      <c r="GS75" s="70"/>
      <c r="GT75" s="70"/>
      <c r="GU75" s="70"/>
      <c r="GV75" s="70"/>
      <c r="GW75" s="70"/>
      <c r="GX75" s="70"/>
      <c r="GY75" s="70"/>
      <c r="GZ75" s="70"/>
      <c r="HA75" s="70"/>
      <c r="HB75" s="70"/>
      <c r="HC75" s="70"/>
      <c r="HD75" s="70"/>
      <c r="HE75" s="70"/>
      <c r="HF75" s="70"/>
      <c r="HG75" s="70"/>
      <c r="HH75" s="70"/>
      <c r="HI75" s="70"/>
      <c r="HJ75" s="70"/>
      <c r="HK75" s="70"/>
      <c r="HL75" s="70"/>
      <c r="HM75" s="70"/>
      <c r="HN75" s="70"/>
      <c r="HO75" s="70"/>
      <c r="HP75" s="70"/>
      <c r="HQ75" s="70"/>
      <c r="HR75" s="70"/>
      <c r="HS75" s="70"/>
      <c r="HT75" s="70"/>
      <c r="HU75" s="70"/>
      <c r="HV75" s="70"/>
      <c r="HW75" s="70"/>
      <c r="HX75" s="70"/>
      <c r="HY75" s="70"/>
      <c r="HZ75" s="70"/>
      <c r="IA75" s="70"/>
      <c r="IB75" s="70"/>
      <c r="IC75" s="70"/>
      <c r="ID75" s="70"/>
      <c r="IE75" s="70"/>
      <c r="IF75" s="70"/>
      <c r="IG75" s="70"/>
      <c r="IH75" s="70"/>
      <c r="II75" s="70"/>
      <c r="IJ75" s="70"/>
      <c r="IK75" s="70"/>
      <c r="IL75" s="70"/>
      <c r="IM75" s="70"/>
      <c r="IN75" s="70"/>
      <c r="IO75" s="70"/>
      <c r="IP75" s="70"/>
      <c r="IQ75" s="70"/>
      <c r="IR75" s="70"/>
      <c r="IS75" s="70"/>
      <c r="IT75" s="70"/>
      <c r="IU75" s="70"/>
      <c r="IV75" s="70"/>
    </row>
    <row r="76" spans="1:256" s="33" customFormat="1" ht="19.5" customHeight="1" thickBot="1">
      <c r="A76" s="80" t="s">
        <v>41</v>
      </c>
      <c r="B76" s="189">
        <v>347</v>
      </c>
      <c r="C76" s="190">
        <v>347</v>
      </c>
      <c r="D76" s="190">
        <v>416</v>
      </c>
      <c r="E76" s="191">
        <v>500</v>
      </c>
      <c r="F76" s="191">
        <v>0</v>
      </c>
      <c r="G76" s="191">
        <v>0</v>
      </c>
      <c r="H76" s="192">
        <f>500+177</f>
        <v>677</v>
      </c>
      <c r="I76" s="127">
        <f>B76+D76-H76</f>
        <v>86</v>
      </c>
      <c r="J76" s="189">
        <v>77</v>
      </c>
      <c r="K76" s="190">
        <v>77</v>
      </c>
      <c r="L76" s="190">
        <v>5</v>
      </c>
      <c r="M76" s="191">
        <v>2</v>
      </c>
      <c r="N76" s="192">
        <f>J76+L76-M76</f>
        <v>80</v>
      </c>
      <c r="O76" s="189">
        <f>54+125</f>
        <v>179</v>
      </c>
      <c r="P76" s="190">
        <v>179</v>
      </c>
      <c r="Q76" s="191">
        <v>175</v>
      </c>
      <c r="R76" s="127">
        <f>O76-Q76</f>
        <v>4</v>
      </c>
      <c r="S76" s="189">
        <v>20</v>
      </c>
      <c r="T76" s="190">
        <v>20</v>
      </c>
      <c r="U76" s="191">
        <v>0</v>
      </c>
      <c r="V76" s="127">
        <f>S76-U76</f>
        <v>20</v>
      </c>
      <c r="W76" s="193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0"/>
      <c r="BT76" s="150"/>
      <c r="BU76" s="150"/>
      <c r="BV76" s="150"/>
      <c r="BW76" s="150"/>
      <c r="BX76" s="150"/>
      <c r="BY76" s="150"/>
      <c r="BZ76" s="150"/>
      <c r="CA76" s="150"/>
      <c r="CB76" s="150"/>
      <c r="CC76" s="150"/>
      <c r="CD76" s="150"/>
      <c r="CE76" s="150"/>
      <c r="CF76" s="150"/>
      <c r="CG76" s="150"/>
      <c r="CH76" s="150"/>
      <c r="CI76" s="150"/>
      <c r="CJ76" s="150"/>
      <c r="CK76" s="150"/>
      <c r="CL76" s="150"/>
      <c r="CM76" s="150"/>
      <c r="CN76" s="150"/>
      <c r="CO76" s="150"/>
      <c r="CP76" s="150"/>
      <c r="CQ76" s="150"/>
      <c r="CR76" s="150"/>
      <c r="CS76" s="150"/>
      <c r="CT76" s="150"/>
      <c r="CU76" s="150"/>
      <c r="CV76" s="150"/>
      <c r="CW76" s="150"/>
      <c r="CX76" s="150"/>
      <c r="CY76" s="150"/>
      <c r="CZ76" s="150"/>
      <c r="DA76" s="150"/>
      <c r="DB76" s="150"/>
      <c r="DC76" s="150"/>
      <c r="DD76" s="150"/>
      <c r="DE76" s="150"/>
      <c r="DF76" s="150"/>
      <c r="DG76" s="150"/>
      <c r="DH76" s="150"/>
      <c r="DI76" s="150"/>
      <c r="DJ76" s="150"/>
      <c r="DK76" s="150"/>
      <c r="DL76" s="150"/>
      <c r="DM76" s="150"/>
      <c r="DN76" s="150"/>
      <c r="DO76" s="150"/>
      <c r="DP76" s="150"/>
      <c r="DQ76" s="150"/>
      <c r="DR76" s="150"/>
      <c r="DS76" s="150"/>
      <c r="DT76" s="150"/>
      <c r="DU76" s="150"/>
      <c r="DV76" s="150"/>
      <c r="DW76" s="150"/>
      <c r="DX76" s="150"/>
      <c r="DY76" s="150"/>
      <c r="DZ76" s="150"/>
      <c r="EA76" s="150"/>
      <c r="EB76" s="150"/>
      <c r="EC76" s="150"/>
      <c r="ED76" s="150"/>
      <c r="EE76" s="150"/>
      <c r="EF76" s="150"/>
      <c r="EG76" s="150"/>
      <c r="EH76" s="150"/>
      <c r="EI76" s="150"/>
      <c r="EJ76" s="150"/>
      <c r="EK76" s="150"/>
      <c r="EL76" s="150"/>
      <c r="EM76" s="150"/>
      <c r="EN76" s="150"/>
      <c r="EO76" s="150"/>
      <c r="EP76" s="150"/>
      <c r="EQ76" s="150"/>
      <c r="ER76" s="150"/>
      <c r="ES76" s="150"/>
      <c r="ET76" s="150"/>
      <c r="EU76" s="150"/>
      <c r="EV76" s="150"/>
      <c r="EW76" s="150"/>
      <c r="EX76" s="150"/>
      <c r="EY76" s="150"/>
      <c r="EZ76" s="150"/>
      <c r="FA76" s="150"/>
      <c r="FB76" s="150"/>
      <c r="FC76" s="150"/>
      <c r="FD76" s="150"/>
      <c r="FE76" s="150"/>
      <c r="FF76" s="150"/>
      <c r="FG76" s="150"/>
      <c r="FH76" s="150"/>
      <c r="FI76" s="150"/>
      <c r="FJ76" s="150"/>
      <c r="FK76" s="150"/>
      <c r="FL76" s="150"/>
      <c r="FM76" s="150"/>
      <c r="FN76" s="150"/>
      <c r="FO76" s="150"/>
      <c r="FP76" s="150"/>
      <c r="FQ76" s="150"/>
      <c r="FR76" s="150"/>
      <c r="FS76" s="150"/>
      <c r="FT76" s="150"/>
      <c r="FU76" s="150"/>
      <c r="FV76" s="150"/>
      <c r="FW76" s="150"/>
      <c r="FX76" s="150"/>
      <c r="FY76" s="150"/>
      <c r="FZ76" s="150"/>
      <c r="GA76" s="150"/>
      <c r="GB76" s="150"/>
      <c r="GC76" s="150"/>
      <c r="GD76" s="150"/>
      <c r="GE76" s="150"/>
      <c r="GF76" s="150"/>
      <c r="GG76" s="150"/>
      <c r="GH76" s="150"/>
      <c r="GI76" s="150"/>
      <c r="GJ76" s="150"/>
      <c r="GK76" s="150"/>
      <c r="GL76" s="150"/>
      <c r="GM76" s="150"/>
      <c r="GN76" s="150"/>
      <c r="GO76" s="150"/>
      <c r="GP76" s="150"/>
      <c r="GQ76" s="150"/>
      <c r="GR76" s="150"/>
      <c r="GS76" s="150"/>
      <c r="GT76" s="150"/>
      <c r="GU76" s="150"/>
      <c r="GV76" s="150"/>
      <c r="GW76" s="150"/>
      <c r="GX76" s="150"/>
      <c r="GY76" s="150"/>
      <c r="GZ76" s="150"/>
      <c r="HA76" s="150"/>
      <c r="HB76" s="150"/>
      <c r="HC76" s="150"/>
      <c r="HD76" s="150"/>
      <c r="HE76" s="150"/>
      <c r="HF76" s="150"/>
      <c r="HG76" s="150"/>
      <c r="HH76" s="150"/>
      <c r="HI76" s="150"/>
      <c r="HJ76" s="150"/>
      <c r="HK76" s="150"/>
      <c r="HL76" s="150"/>
      <c r="HM76" s="150"/>
      <c r="HN76" s="150"/>
      <c r="HO76" s="150"/>
      <c r="HP76" s="150"/>
      <c r="HQ76" s="150"/>
      <c r="HR76" s="150"/>
      <c r="HS76" s="150"/>
      <c r="HT76" s="150"/>
      <c r="HU76" s="150"/>
      <c r="HV76" s="150"/>
      <c r="HW76" s="150"/>
      <c r="HX76" s="150"/>
      <c r="HY76" s="150"/>
      <c r="HZ76" s="150"/>
      <c r="IA76" s="150"/>
      <c r="IB76" s="150"/>
      <c r="IC76" s="150"/>
      <c r="ID76" s="150"/>
      <c r="IE76" s="150"/>
      <c r="IF76" s="150"/>
      <c r="IG76" s="150"/>
      <c r="IH76" s="150"/>
      <c r="II76" s="150"/>
      <c r="IJ76" s="150"/>
      <c r="IK76" s="150"/>
      <c r="IL76" s="150"/>
      <c r="IM76" s="150"/>
      <c r="IN76" s="150"/>
      <c r="IO76" s="150"/>
      <c r="IP76" s="150"/>
      <c r="IQ76" s="150"/>
      <c r="IR76" s="150"/>
      <c r="IS76" s="150"/>
      <c r="IT76" s="150"/>
      <c r="IU76" s="150"/>
      <c r="IV76" s="150"/>
    </row>
    <row r="77" spans="1:256" s="33" customFormat="1" ht="19.5" customHeight="1" thickBot="1">
      <c r="A77" s="194" t="s">
        <v>18</v>
      </c>
      <c r="B77" s="195">
        <f>SUM(B78)</f>
        <v>9179</v>
      </c>
      <c r="C77" s="196">
        <f aca="true" t="shared" si="22" ref="C77:V77">SUM(C78)</f>
        <v>1000</v>
      </c>
      <c r="D77" s="196">
        <f t="shared" si="22"/>
        <v>4900</v>
      </c>
      <c r="E77" s="196">
        <f t="shared" si="22"/>
        <v>8400</v>
      </c>
      <c r="F77" s="196">
        <f t="shared" si="22"/>
        <v>1000</v>
      </c>
      <c r="G77" s="196">
        <f t="shared" si="22"/>
        <v>1600</v>
      </c>
      <c r="H77" s="196">
        <f t="shared" si="22"/>
        <v>11000</v>
      </c>
      <c r="I77" s="85">
        <f t="shared" si="22"/>
        <v>3079</v>
      </c>
      <c r="J77" s="195">
        <f t="shared" si="22"/>
        <v>8161</v>
      </c>
      <c r="K77" s="196">
        <f t="shared" si="22"/>
        <v>1000</v>
      </c>
      <c r="L77" s="196">
        <f t="shared" si="22"/>
        <v>283</v>
      </c>
      <c r="M77" s="196">
        <f t="shared" si="22"/>
        <v>0</v>
      </c>
      <c r="N77" s="85">
        <f t="shared" si="22"/>
        <v>8444</v>
      </c>
      <c r="O77" s="195">
        <f t="shared" si="22"/>
        <v>438</v>
      </c>
      <c r="P77" s="196">
        <f t="shared" si="22"/>
        <v>220</v>
      </c>
      <c r="Q77" s="196">
        <f t="shared" si="22"/>
        <v>210</v>
      </c>
      <c r="R77" s="85">
        <f t="shared" si="22"/>
        <v>228</v>
      </c>
      <c r="S77" s="195">
        <f t="shared" si="22"/>
        <v>894</v>
      </c>
      <c r="T77" s="196">
        <f t="shared" si="22"/>
        <v>894</v>
      </c>
      <c r="U77" s="196">
        <f t="shared" si="22"/>
        <v>400</v>
      </c>
      <c r="V77" s="85">
        <f t="shared" si="22"/>
        <v>494</v>
      </c>
      <c r="W77" s="193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  <c r="AW77" s="150"/>
      <c r="AX77" s="150"/>
      <c r="AY77" s="150"/>
      <c r="AZ77" s="150"/>
      <c r="BA77" s="150"/>
      <c r="BB77" s="150"/>
      <c r="BC77" s="150"/>
      <c r="BD77" s="150"/>
      <c r="BE77" s="150"/>
      <c r="BF77" s="150"/>
      <c r="BG77" s="150"/>
      <c r="BH77" s="150"/>
      <c r="BI77" s="150"/>
      <c r="BJ77" s="150"/>
      <c r="BK77" s="150"/>
      <c r="BL77" s="150"/>
      <c r="BM77" s="150"/>
      <c r="BN77" s="150"/>
      <c r="BO77" s="150"/>
      <c r="BP77" s="150"/>
      <c r="BQ77" s="150"/>
      <c r="BR77" s="150"/>
      <c r="BS77" s="150"/>
      <c r="BT77" s="150"/>
      <c r="BU77" s="150"/>
      <c r="BV77" s="150"/>
      <c r="BW77" s="150"/>
      <c r="BX77" s="150"/>
      <c r="BY77" s="150"/>
      <c r="BZ77" s="150"/>
      <c r="CA77" s="150"/>
      <c r="CB77" s="150"/>
      <c r="CC77" s="150"/>
      <c r="CD77" s="150"/>
      <c r="CE77" s="150"/>
      <c r="CF77" s="150"/>
      <c r="CG77" s="150"/>
      <c r="CH77" s="150"/>
      <c r="CI77" s="150"/>
      <c r="CJ77" s="150"/>
      <c r="CK77" s="150"/>
      <c r="CL77" s="150"/>
      <c r="CM77" s="150"/>
      <c r="CN77" s="150"/>
      <c r="CO77" s="150"/>
      <c r="CP77" s="150"/>
      <c r="CQ77" s="150"/>
      <c r="CR77" s="150"/>
      <c r="CS77" s="150"/>
      <c r="CT77" s="150"/>
      <c r="CU77" s="150"/>
      <c r="CV77" s="150"/>
      <c r="CW77" s="150"/>
      <c r="CX77" s="150"/>
      <c r="CY77" s="150"/>
      <c r="CZ77" s="150"/>
      <c r="DA77" s="150"/>
      <c r="DB77" s="150"/>
      <c r="DC77" s="150"/>
      <c r="DD77" s="150"/>
      <c r="DE77" s="150"/>
      <c r="DF77" s="150"/>
      <c r="DG77" s="150"/>
      <c r="DH77" s="150"/>
      <c r="DI77" s="150"/>
      <c r="DJ77" s="150"/>
      <c r="DK77" s="150"/>
      <c r="DL77" s="150"/>
      <c r="DM77" s="150"/>
      <c r="DN77" s="150"/>
      <c r="DO77" s="150"/>
      <c r="DP77" s="150"/>
      <c r="DQ77" s="150"/>
      <c r="DR77" s="150"/>
      <c r="DS77" s="150"/>
      <c r="DT77" s="150"/>
      <c r="DU77" s="150"/>
      <c r="DV77" s="150"/>
      <c r="DW77" s="150"/>
      <c r="DX77" s="150"/>
      <c r="DY77" s="150"/>
      <c r="DZ77" s="150"/>
      <c r="EA77" s="150"/>
      <c r="EB77" s="150"/>
      <c r="EC77" s="150"/>
      <c r="ED77" s="150"/>
      <c r="EE77" s="150"/>
      <c r="EF77" s="150"/>
      <c r="EG77" s="150"/>
      <c r="EH77" s="150"/>
      <c r="EI77" s="150"/>
      <c r="EJ77" s="150"/>
      <c r="EK77" s="150"/>
      <c r="EL77" s="150"/>
      <c r="EM77" s="150"/>
      <c r="EN77" s="150"/>
      <c r="EO77" s="150"/>
      <c r="EP77" s="150"/>
      <c r="EQ77" s="150"/>
      <c r="ER77" s="150"/>
      <c r="ES77" s="150"/>
      <c r="ET77" s="150"/>
      <c r="EU77" s="150"/>
      <c r="EV77" s="150"/>
      <c r="EW77" s="150"/>
      <c r="EX77" s="150"/>
      <c r="EY77" s="150"/>
      <c r="EZ77" s="150"/>
      <c r="FA77" s="150"/>
      <c r="FB77" s="150"/>
      <c r="FC77" s="150"/>
      <c r="FD77" s="150"/>
      <c r="FE77" s="150"/>
      <c r="FF77" s="150"/>
      <c r="FG77" s="150"/>
      <c r="FH77" s="150"/>
      <c r="FI77" s="150"/>
      <c r="FJ77" s="150"/>
      <c r="FK77" s="150"/>
      <c r="FL77" s="150"/>
      <c r="FM77" s="150"/>
      <c r="FN77" s="150"/>
      <c r="FO77" s="150"/>
      <c r="FP77" s="150"/>
      <c r="FQ77" s="150"/>
      <c r="FR77" s="150"/>
      <c r="FS77" s="150"/>
      <c r="FT77" s="150"/>
      <c r="FU77" s="150"/>
      <c r="FV77" s="150"/>
      <c r="FW77" s="150"/>
      <c r="FX77" s="150"/>
      <c r="FY77" s="150"/>
      <c r="FZ77" s="150"/>
      <c r="GA77" s="150"/>
      <c r="GB77" s="150"/>
      <c r="GC77" s="150"/>
      <c r="GD77" s="150"/>
      <c r="GE77" s="150"/>
      <c r="GF77" s="150"/>
      <c r="GG77" s="150"/>
      <c r="GH77" s="150"/>
      <c r="GI77" s="150"/>
      <c r="GJ77" s="150"/>
      <c r="GK77" s="150"/>
      <c r="GL77" s="150"/>
      <c r="GM77" s="150"/>
      <c r="GN77" s="150"/>
      <c r="GO77" s="150"/>
      <c r="GP77" s="150"/>
      <c r="GQ77" s="150"/>
      <c r="GR77" s="150"/>
      <c r="GS77" s="150"/>
      <c r="GT77" s="150"/>
      <c r="GU77" s="150"/>
      <c r="GV77" s="150"/>
      <c r="GW77" s="150"/>
      <c r="GX77" s="150"/>
      <c r="GY77" s="150"/>
      <c r="GZ77" s="150"/>
      <c r="HA77" s="150"/>
      <c r="HB77" s="150"/>
      <c r="HC77" s="150"/>
      <c r="HD77" s="150"/>
      <c r="HE77" s="150"/>
      <c r="HF77" s="150"/>
      <c r="HG77" s="150"/>
      <c r="HH77" s="150"/>
      <c r="HI77" s="150"/>
      <c r="HJ77" s="150"/>
      <c r="HK77" s="150"/>
      <c r="HL77" s="150"/>
      <c r="HM77" s="150"/>
      <c r="HN77" s="150"/>
      <c r="HO77" s="150"/>
      <c r="HP77" s="150"/>
      <c r="HQ77" s="150"/>
      <c r="HR77" s="150"/>
      <c r="HS77" s="150"/>
      <c r="HT77" s="150"/>
      <c r="HU77" s="150"/>
      <c r="HV77" s="150"/>
      <c r="HW77" s="150"/>
      <c r="HX77" s="150"/>
      <c r="HY77" s="150"/>
      <c r="HZ77" s="150"/>
      <c r="IA77" s="150"/>
      <c r="IB77" s="150"/>
      <c r="IC77" s="150"/>
      <c r="ID77" s="150"/>
      <c r="IE77" s="150"/>
      <c r="IF77" s="150"/>
      <c r="IG77" s="150"/>
      <c r="IH77" s="150"/>
      <c r="II77" s="150"/>
      <c r="IJ77" s="150"/>
      <c r="IK77" s="150"/>
      <c r="IL77" s="150"/>
      <c r="IM77" s="150"/>
      <c r="IN77" s="150"/>
      <c r="IO77" s="150"/>
      <c r="IP77" s="150"/>
      <c r="IQ77" s="150"/>
      <c r="IR77" s="150"/>
      <c r="IS77" s="150"/>
      <c r="IT77" s="150"/>
      <c r="IU77" s="150"/>
      <c r="IV77" s="150"/>
    </row>
    <row r="78" spans="1:256" s="224" customFormat="1" ht="19.5" customHeight="1" thickBot="1">
      <c r="A78" s="254" t="s">
        <v>53</v>
      </c>
      <c r="B78" s="255">
        <v>9179</v>
      </c>
      <c r="C78" s="323">
        <v>1000</v>
      </c>
      <c r="D78" s="242">
        <v>4900</v>
      </c>
      <c r="E78" s="243">
        <v>8400</v>
      </c>
      <c r="F78" s="243">
        <v>1000</v>
      </c>
      <c r="G78" s="243">
        <v>1600</v>
      </c>
      <c r="H78" s="245">
        <f>E78+F78+G78</f>
        <v>11000</v>
      </c>
      <c r="I78" s="244">
        <f>B78+D78-H78</f>
        <v>3079</v>
      </c>
      <c r="J78" s="255">
        <v>8161</v>
      </c>
      <c r="K78" s="323">
        <v>1000</v>
      </c>
      <c r="L78" s="242">
        <v>283</v>
      </c>
      <c r="M78" s="243">
        <v>0</v>
      </c>
      <c r="N78" s="245">
        <f>J78+L78-M78</f>
        <v>8444</v>
      </c>
      <c r="O78" s="255">
        <f>160+278</f>
        <v>438</v>
      </c>
      <c r="P78" s="242">
        <v>220</v>
      </c>
      <c r="Q78" s="243">
        <v>210</v>
      </c>
      <c r="R78" s="244">
        <f>O78-Q78</f>
        <v>228</v>
      </c>
      <c r="S78" s="242">
        <f>100+794</f>
        <v>894</v>
      </c>
      <c r="T78" s="242">
        <f>100+794</f>
        <v>894</v>
      </c>
      <c r="U78" s="243">
        <v>400</v>
      </c>
      <c r="V78" s="244">
        <f>S78-U78</f>
        <v>494</v>
      </c>
      <c r="W78" s="256"/>
      <c r="X78" s="223"/>
      <c r="Y78" s="223"/>
      <c r="Z78" s="223"/>
      <c r="AA78" s="223"/>
      <c r="AB78" s="223"/>
      <c r="AC78" s="223"/>
      <c r="AD78" s="223"/>
      <c r="AE78" s="223"/>
      <c r="AF78" s="223"/>
      <c r="AG78" s="223"/>
      <c r="AH78" s="223"/>
      <c r="AI78" s="223"/>
      <c r="AJ78" s="223"/>
      <c r="AK78" s="223"/>
      <c r="AL78" s="223"/>
      <c r="AM78" s="223"/>
      <c r="AN78" s="223"/>
      <c r="AO78" s="223"/>
      <c r="AP78" s="223"/>
      <c r="AQ78" s="223"/>
      <c r="AR78" s="223"/>
      <c r="AS78" s="223"/>
      <c r="AT78" s="223"/>
      <c r="AU78" s="223"/>
      <c r="AV78" s="223"/>
      <c r="AW78" s="223"/>
      <c r="AX78" s="223"/>
      <c r="AY78" s="223"/>
      <c r="AZ78" s="223"/>
      <c r="BA78" s="223"/>
      <c r="BB78" s="223"/>
      <c r="BC78" s="223"/>
      <c r="BD78" s="223"/>
      <c r="BE78" s="223"/>
      <c r="BF78" s="223"/>
      <c r="BG78" s="223"/>
      <c r="BH78" s="223"/>
      <c r="BI78" s="223"/>
      <c r="BJ78" s="223"/>
      <c r="BK78" s="223"/>
      <c r="BL78" s="223"/>
      <c r="BM78" s="223"/>
      <c r="BN78" s="223"/>
      <c r="BO78" s="223"/>
      <c r="BP78" s="223"/>
      <c r="BQ78" s="223"/>
      <c r="BR78" s="223"/>
      <c r="BS78" s="223"/>
      <c r="BT78" s="223"/>
      <c r="BU78" s="223"/>
      <c r="BV78" s="223"/>
      <c r="BW78" s="223"/>
      <c r="BX78" s="223"/>
      <c r="BY78" s="223"/>
      <c r="BZ78" s="223"/>
      <c r="CA78" s="223"/>
      <c r="CB78" s="223"/>
      <c r="CC78" s="223"/>
      <c r="CD78" s="223"/>
      <c r="CE78" s="223"/>
      <c r="CF78" s="223"/>
      <c r="CG78" s="223"/>
      <c r="CH78" s="223"/>
      <c r="CI78" s="223"/>
      <c r="CJ78" s="223"/>
      <c r="CK78" s="223"/>
      <c r="CL78" s="223"/>
      <c r="CM78" s="223"/>
      <c r="CN78" s="223"/>
      <c r="CO78" s="223"/>
      <c r="CP78" s="223"/>
      <c r="CQ78" s="223"/>
      <c r="CR78" s="223"/>
      <c r="CS78" s="223"/>
      <c r="CT78" s="223"/>
      <c r="CU78" s="223"/>
      <c r="CV78" s="223"/>
      <c r="CW78" s="223"/>
      <c r="CX78" s="223"/>
      <c r="CY78" s="223"/>
      <c r="CZ78" s="223"/>
      <c r="DA78" s="223"/>
      <c r="DB78" s="223"/>
      <c r="DC78" s="223"/>
      <c r="DD78" s="223"/>
      <c r="DE78" s="223"/>
      <c r="DF78" s="223"/>
      <c r="DG78" s="223"/>
      <c r="DH78" s="223"/>
      <c r="DI78" s="223"/>
      <c r="DJ78" s="223"/>
      <c r="DK78" s="223"/>
      <c r="DL78" s="223"/>
      <c r="DM78" s="223"/>
      <c r="DN78" s="223"/>
      <c r="DO78" s="223"/>
      <c r="DP78" s="223"/>
      <c r="DQ78" s="223"/>
      <c r="DR78" s="223"/>
      <c r="DS78" s="223"/>
      <c r="DT78" s="223"/>
      <c r="DU78" s="223"/>
      <c r="DV78" s="223"/>
      <c r="DW78" s="223"/>
      <c r="DX78" s="223"/>
      <c r="DY78" s="223"/>
      <c r="DZ78" s="223"/>
      <c r="EA78" s="223"/>
      <c r="EB78" s="223"/>
      <c r="EC78" s="223"/>
      <c r="ED78" s="223"/>
      <c r="EE78" s="223"/>
      <c r="EF78" s="223"/>
      <c r="EG78" s="223"/>
      <c r="EH78" s="223"/>
      <c r="EI78" s="223"/>
      <c r="EJ78" s="223"/>
      <c r="EK78" s="223"/>
      <c r="EL78" s="223"/>
      <c r="EM78" s="223"/>
      <c r="EN78" s="223"/>
      <c r="EO78" s="223"/>
      <c r="EP78" s="223"/>
      <c r="EQ78" s="223"/>
      <c r="ER78" s="223"/>
      <c r="ES78" s="223"/>
      <c r="ET78" s="223"/>
      <c r="EU78" s="223"/>
      <c r="EV78" s="223"/>
      <c r="EW78" s="223"/>
      <c r="EX78" s="223"/>
      <c r="EY78" s="223"/>
      <c r="EZ78" s="223"/>
      <c r="FA78" s="223"/>
      <c r="FB78" s="223"/>
      <c r="FC78" s="223"/>
      <c r="FD78" s="223"/>
      <c r="FE78" s="223"/>
      <c r="FF78" s="223"/>
      <c r="FG78" s="223"/>
      <c r="FH78" s="223"/>
      <c r="FI78" s="223"/>
      <c r="FJ78" s="223"/>
      <c r="FK78" s="223"/>
      <c r="FL78" s="223"/>
      <c r="FM78" s="223"/>
      <c r="FN78" s="223"/>
      <c r="FO78" s="223"/>
      <c r="FP78" s="223"/>
      <c r="FQ78" s="223"/>
      <c r="FR78" s="223"/>
      <c r="FS78" s="223"/>
      <c r="FT78" s="223"/>
      <c r="FU78" s="223"/>
      <c r="FV78" s="223"/>
      <c r="FW78" s="223"/>
      <c r="FX78" s="223"/>
      <c r="FY78" s="223"/>
      <c r="FZ78" s="223"/>
      <c r="GA78" s="223"/>
      <c r="GB78" s="223"/>
      <c r="GC78" s="223"/>
      <c r="GD78" s="223"/>
      <c r="GE78" s="223"/>
      <c r="GF78" s="223"/>
      <c r="GG78" s="223"/>
      <c r="GH78" s="223"/>
      <c r="GI78" s="223"/>
      <c r="GJ78" s="223"/>
      <c r="GK78" s="223"/>
      <c r="GL78" s="223"/>
      <c r="GM78" s="223"/>
      <c r="GN78" s="223"/>
      <c r="GO78" s="223"/>
      <c r="GP78" s="223"/>
      <c r="GQ78" s="223"/>
      <c r="GR78" s="223"/>
      <c r="GS78" s="223"/>
      <c r="GT78" s="223"/>
      <c r="GU78" s="223"/>
      <c r="GV78" s="223"/>
      <c r="GW78" s="223"/>
      <c r="GX78" s="223"/>
      <c r="GY78" s="223"/>
      <c r="GZ78" s="223"/>
      <c r="HA78" s="223"/>
      <c r="HB78" s="223"/>
      <c r="HC78" s="223"/>
      <c r="HD78" s="223"/>
      <c r="HE78" s="223"/>
      <c r="HF78" s="223"/>
      <c r="HG78" s="223"/>
      <c r="HH78" s="223"/>
      <c r="HI78" s="223"/>
      <c r="HJ78" s="223"/>
      <c r="HK78" s="223"/>
      <c r="HL78" s="223"/>
      <c r="HM78" s="223"/>
      <c r="HN78" s="223"/>
      <c r="HO78" s="223"/>
      <c r="HP78" s="223"/>
      <c r="HQ78" s="223"/>
      <c r="HR78" s="223"/>
      <c r="HS78" s="223"/>
      <c r="HT78" s="223"/>
      <c r="HU78" s="223"/>
      <c r="HV78" s="223"/>
      <c r="HW78" s="223"/>
      <c r="HX78" s="223"/>
      <c r="HY78" s="223"/>
      <c r="HZ78" s="223"/>
      <c r="IA78" s="223"/>
      <c r="IB78" s="223"/>
      <c r="IC78" s="223"/>
      <c r="ID78" s="223"/>
      <c r="IE78" s="223"/>
      <c r="IF78" s="223"/>
      <c r="IG78" s="223"/>
      <c r="IH78" s="223"/>
      <c r="II78" s="223"/>
      <c r="IJ78" s="223"/>
      <c r="IK78" s="223"/>
      <c r="IL78" s="223"/>
      <c r="IM78" s="223"/>
      <c r="IN78" s="223"/>
      <c r="IO78" s="223"/>
      <c r="IP78" s="223"/>
      <c r="IQ78" s="223"/>
      <c r="IR78" s="223"/>
      <c r="IS78" s="223"/>
      <c r="IT78" s="223"/>
      <c r="IU78" s="223"/>
      <c r="IV78" s="223"/>
    </row>
    <row r="79" spans="1:256" s="188" customFormat="1" ht="19.5" customHeight="1" thickBot="1">
      <c r="A79" s="137" t="s">
        <v>19</v>
      </c>
      <c r="B79" s="138">
        <f>SUM(B80:B84)</f>
        <v>387</v>
      </c>
      <c r="C79" s="136">
        <f aca="true" t="shared" si="23" ref="C79:V79">SUM(C80:C84)</f>
        <v>387</v>
      </c>
      <c r="D79" s="136">
        <f t="shared" si="23"/>
        <v>147</v>
      </c>
      <c r="E79" s="136">
        <f t="shared" si="23"/>
        <v>70</v>
      </c>
      <c r="F79" s="136">
        <f t="shared" si="23"/>
        <v>0</v>
      </c>
      <c r="G79" s="136">
        <f t="shared" si="23"/>
        <v>0</v>
      </c>
      <c r="H79" s="136">
        <f t="shared" si="23"/>
        <v>119</v>
      </c>
      <c r="I79" s="22">
        <f t="shared" si="23"/>
        <v>415</v>
      </c>
      <c r="J79" s="138">
        <f t="shared" si="23"/>
        <v>61</v>
      </c>
      <c r="K79" s="136">
        <f t="shared" si="23"/>
        <v>61</v>
      </c>
      <c r="L79" s="136">
        <f t="shared" si="23"/>
        <v>8</v>
      </c>
      <c r="M79" s="136">
        <f t="shared" si="23"/>
        <v>22</v>
      </c>
      <c r="N79" s="22">
        <f t="shared" si="23"/>
        <v>47</v>
      </c>
      <c r="O79" s="138">
        <f t="shared" si="23"/>
        <v>216</v>
      </c>
      <c r="P79" s="136">
        <f t="shared" si="23"/>
        <v>216</v>
      </c>
      <c r="Q79" s="136">
        <f t="shared" si="23"/>
        <v>169</v>
      </c>
      <c r="R79" s="22">
        <f t="shared" si="23"/>
        <v>47</v>
      </c>
      <c r="S79" s="138">
        <f t="shared" si="23"/>
        <v>28</v>
      </c>
      <c r="T79" s="136">
        <f t="shared" si="23"/>
        <v>28</v>
      </c>
      <c r="U79" s="136">
        <f t="shared" si="23"/>
        <v>28</v>
      </c>
      <c r="V79" s="22">
        <f t="shared" si="23"/>
        <v>0</v>
      </c>
      <c r="W79" s="16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70"/>
      <c r="EF79" s="70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70"/>
      <c r="EU79" s="70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70"/>
      <c r="FJ79" s="70"/>
      <c r="FK79" s="70"/>
      <c r="FL79" s="70"/>
      <c r="FM79" s="70"/>
      <c r="FN79" s="70"/>
      <c r="FO79" s="70"/>
      <c r="FP79" s="70"/>
      <c r="FQ79" s="70"/>
      <c r="FR79" s="70"/>
      <c r="FS79" s="70"/>
      <c r="FT79" s="70"/>
      <c r="FU79" s="70"/>
      <c r="FV79" s="70"/>
      <c r="FW79" s="70"/>
      <c r="FX79" s="70"/>
      <c r="FY79" s="70"/>
      <c r="FZ79" s="70"/>
      <c r="GA79" s="70"/>
      <c r="GB79" s="70"/>
      <c r="GC79" s="70"/>
      <c r="GD79" s="70"/>
      <c r="GE79" s="70"/>
      <c r="GF79" s="70"/>
      <c r="GG79" s="70"/>
      <c r="GH79" s="70"/>
      <c r="GI79" s="70"/>
      <c r="GJ79" s="70"/>
      <c r="GK79" s="70"/>
      <c r="GL79" s="70"/>
      <c r="GM79" s="70"/>
      <c r="GN79" s="70"/>
      <c r="GO79" s="70"/>
      <c r="GP79" s="70"/>
      <c r="GQ79" s="70"/>
      <c r="GR79" s="70"/>
      <c r="GS79" s="70"/>
      <c r="GT79" s="70"/>
      <c r="GU79" s="70"/>
      <c r="GV79" s="70"/>
      <c r="GW79" s="70"/>
      <c r="GX79" s="70"/>
      <c r="GY79" s="70"/>
      <c r="GZ79" s="70"/>
      <c r="HA79" s="70"/>
      <c r="HB79" s="70"/>
      <c r="HC79" s="70"/>
      <c r="HD79" s="70"/>
      <c r="HE79" s="70"/>
      <c r="HF79" s="70"/>
      <c r="HG79" s="70"/>
      <c r="HH79" s="70"/>
      <c r="HI79" s="70"/>
      <c r="HJ79" s="70"/>
      <c r="HK79" s="70"/>
      <c r="HL79" s="70"/>
      <c r="HM79" s="70"/>
      <c r="HN79" s="70"/>
      <c r="HO79" s="70"/>
      <c r="HP79" s="70"/>
      <c r="HQ79" s="70"/>
      <c r="HR79" s="70"/>
      <c r="HS79" s="70"/>
      <c r="HT79" s="70"/>
      <c r="HU79" s="70"/>
      <c r="HV79" s="70"/>
      <c r="HW79" s="70"/>
      <c r="HX79" s="70"/>
      <c r="HY79" s="70"/>
      <c r="HZ79" s="70"/>
      <c r="IA79" s="70"/>
      <c r="IB79" s="70"/>
      <c r="IC79" s="70"/>
      <c r="ID79" s="70"/>
      <c r="IE79" s="70"/>
      <c r="IF79" s="70"/>
      <c r="IG79" s="70"/>
      <c r="IH79" s="70"/>
      <c r="II79" s="70"/>
      <c r="IJ79" s="70"/>
      <c r="IK79" s="70"/>
      <c r="IL79" s="70"/>
      <c r="IM79" s="70"/>
      <c r="IN79" s="70"/>
      <c r="IO79" s="70"/>
      <c r="IP79" s="70"/>
      <c r="IQ79" s="70"/>
      <c r="IR79" s="70"/>
      <c r="IS79" s="70"/>
      <c r="IT79" s="70"/>
      <c r="IU79" s="70"/>
      <c r="IV79" s="70"/>
    </row>
    <row r="80" spans="1:256" s="33" customFormat="1" ht="19.5" customHeight="1">
      <c r="A80" s="197" t="s">
        <v>105</v>
      </c>
      <c r="B80" s="146">
        <v>7</v>
      </c>
      <c r="C80" s="147">
        <v>7</v>
      </c>
      <c r="D80" s="147">
        <v>28</v>
      </c>
      <c r="E80" s="148">
        <v>0</v>
      </c>
      <c r="F80" s="148">
        <v>0</v>
      </c>
      <c r="G80" s="148">
        <v>0</v>
      </c>
      <c r="H80" s="149">
        <v>18</v>
      </c>
      <c r="I80" s="59">
        <f>B80+D80-H80</f>
        <v>17</v>
      </c>
      <c r="J80" s="146">
        <v>13</v>
      </c>
      <c r="K80" s="147">
        <v>13</v>
      </c>
      <c r="L80" s="147">
        <v>1</v>
      </c>
      <c r="M80" s="148">
        <v>0</v>
      </c>
      <c r="N80" s="149">
        <f>J80+L80-M80</f>
        <v>14</v>
      </c>
      <c r="O80" s="146">
        <f>11+22</f>
        <v>33</v>
      </c>
      <c r="P80" s="147">
        <v>33</v>
      </c>
      <c r="Q80" s="148">
        <v>33</v>
      </c>
      <c r="R80" s="59">
        <f>O80-Q80</f>
        <v>0</v>
      </c>
      <c r="S80" s="146">
        <v>0</v>
      </c>
      <c r="T80" s="147">
        <v>0</v>
      </c>
      <c r="U80" s="148">
        <v>0</v>
      </c>
      <c r="V80" s="31">
        <f>S80-U80</f>
        <v>0</v>
      </c>
      <c r="W80" s="193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150"/>
      <c r="BG80" s="150"/>
      <c r="BH80" s="150"/>
      <c r="BI80" s="150"/>
      <c r="BJ80" s="150"/>
      <c r="BK80" s="150"/>
      <c r="BL80" s="150"/>
      <c r="BM80" s="150"/>
      <c r="BN80" s="150"/>
      <c r="BO80" s="150"/>
      <c r="BP80" s="150"/>
      <c r="BQ80" s="150"/>
      <c r="BR80" s="150"/>
      <c r="BS80" s="150"/>
      <c r="BT80" s="150"/>
      <c r="BU80" s="150"/>
      <c r="BV80" s="150"/>
      <c r="BW80" s="150"/>
      <c r="BX80" s="150"/>
      <c r="BY80" s="150"/>
      <c r="BZ80" s="150"/>
      <c r="CA80" s="150"/>
      <c r="CB80" s="150"/>
      <c r="CC80" s="150"/>
      <c r="CD80" s="150"/>
      <c r="CE80" s="150"/>
      <c r="CF80" s="150"/>
      <c r="CG80" s="150"/>
      <c r="CH80" s="150"/>
      <c r="CI80" s="150"/>
      <c r="CJ80" s="150"/>
      <c r="CK80" s="150"/>
      <c r="CL80" s="150"/>
      <c r="CM80" s="150"/>
      <c r="CN80" s="150"/>
      <c r="CO80" s="150"/>
      <c r="CP80" s="150"/>
      <c r="CQ80" s="150"/>
      <c r="CR80" s="150"/>
      <c r="CS80" s="150"/>
      <c r="CT80" s="150"/>
      <c r="CU80" s="150"/>
      <c r="CV80" s="150"/>
      <c r="CW80" s="150"/>
      <c r="CX80" s="150"/>
      <c r="CY80" s="150"/>
      <c r="CZ80" s="150"/>
      <c r="DA80" s="150"/>
      <c r="DB80" s="150"/>
      <c r="DC80" s="150"/>
      <c r="DD80" s="150"/>
      <c r="DE80" s="150"/>
      <c r="DF80" s="150"/>
      <c r="DG80" s="150"/>
      <c r="DH80" s="150"/>
      <c r="DI80" s="150"/>
      <c r="DJ80" s="150"/>
      <c r="DK80" s="150"/>
      <c r="DL80" s="150"/>
      <c r="DM80" s="150"/>
      <c r="DN80" s="150"/>
      <c r="DO80" s="150"/>
      <c r="DP80" s="150"/>
      <c r="DQ80" s="150"/>
      <c r="DR80" s="150"/>
      <c r="DS80" s="150"/>
      <c r="DT80" s="150"/>
      <c r="DU80" s="150"/>
      <c r="DV80" s="150"/>
      <c r="DW80" s="150"/>
      <c r="DX80" s="150"/>
      <c r="DY80" s="150"/>
      <c r="DZ80" s="150"/>
      <c r="EA80" s="150"/>
      <c r="EB80" s="150"/>
      <c r="EC80" s="150"/>
      <c r="ED80" s="150"/>
      <c r="EE80" s="150"/>
      <c r="EF80" s="150"/>
      <c r="EG80" s="150"/>
      <c r="EH80" s="150"/>
      <c r="EI80" s="150"/>
      <c r="EJ80" s="150"/>
      <c r="EK80" s="150"/>
      <c r="EL80" s="150"/>
      <c r="EM80" s="150"/>
      <c r="EN80" s="150"/>
      <c r="EO80" s="150"/>
      <c r="EP80" s="150"/>
      <c r="EQ80" s="150"/>
      <c r="ER80" s="150"/>
      <c r="ES80" s="150"/>
      <c r="ET80" s="150"/>
      <c r="EU80" s="150"/>
      <c r="EV80" s="150"/>
      <c r="EW80" s="150"/>
      <c r="EX80" s="150"/>
      <c r="EY80" s="150"/>
      <c r="EZ80" s="150"/>
      <c r="FA80" s="150"/>
      <c r="FB80" s="150"/>
      <c r="FC80" s="150"/>
      <c r="FD80" s="150"/>
      <c r="FE80" s="150"/>
      <c r="FF80" s="150"/>
      <c r="FG80" s="150"/>
      <c r="FH80" s="150"/>
      <c r="FI80" s="150"/>
      <c r="FJ80" s="150"/>
      <c r="FK80" s="150"/>
      <c r="FL80" s="150"/>
      <c r="FM80" s="150"/>
      <c r="FN80" s="150"/>
      <c r="FO80" s="150"/>
      <c r="FP80" s="150"/>
      <c r="FQ80" s="150"/>
      <c r="FR80" s="150"/>
      <c r="FS80" s="150"/>
      <c r="FT80" s="150"/>
      <c r="FU80" s="150"/>
      <c r="FV80" s="150"/>
      <c r="FW80" s="150"/>
      <c r="FX80" s="150"/>
      <c r="FY80" s="150"/>
      <c r="FZ80" s="150"/>
      <c r="GA80" s="150"/>
      <c r="GB80" s="150"/>
      <c r="GC80" s="150"/>
      <c r="GD80" s="150"/>
      <c r="GE80" s="150"/>
      <c r="GF80" s="150"/>
      <c r="GG80" s="150"/>
      <c r="GH80" s="150"/>
      <c r="GI80" s="150"/>
      <c r="GJ80" s="150"/>
      <c r="GK80" s="150"/>
      <c r="GL80" s="150"/>
      <c r="GM80" s="150"/>
      <c r="GN80" s="150"/>
      <c r="GO80" s="150"/>
      <c r="GP80" s="150"/>
      <c r="GQ80" s="150"/>
      <c r="GR80" s="150"/>
      <c r="GS80" s="150"/>
      <c r="GT80" s="150"/>
      <c r="GU80" s="150"/>
      <c r="GV80" s="150"/>
      <c r="GW80" s="150"/>
      <c r="GX80" s="150"/>
      <c r="GY80" s="150"/>
      <c r="GZ80" s="150"/>
      <c r="HA80" s="150"/>
      <c r="HB80" s="150"/>
      <c r="HC80" s="150"/>
      <c r="HD80" s="150"/>
      <c r="HE80" s="150"/>
      <c r="HF80" s="150"/>
      <c r="HG80" s="150"/>
      <c r="HH80" s="150"/>
      <c r="HI80" s="150"/>
      <c r="HJ80" s="150"/>
      <c r="HK80" s="150"/>
      <c r="HL80" s="150"/>
      <c r="HM80" s="150"/>
      <c r="HN80" s="150"/>
      <c r="HO80" s="150"/>
      <c r="HP80" s="150"/>
      <c r="HQ80" s="150"/>
      <c r="HR80" s="150"/>
      <c r="HS80" s="150"/>
      <c r="HT80" s="150"/>
      <c r="HU80" s="150"/>
      <c r="HV80" s="150"/>
      <c r="HW80" s="150"/>
      <c r="HX80" s="150"/>
      <c r="HY80" s="150"/>
      <c r="HZ80" s="150"/>
      <c r="IA80" s="150"/>
      <c r="IB80" s="150"/>
      <c r="IC80" s="150"/>
      <c r="ID80" s="150"/>
      <c r="IE80" s="150"/>
      <c r="IF80" s="150"/>
      <c r="IG80" s="150"/>
      <c r="IH80" s="150"/>
      <c r="II80" s="150"/>
      <c r="IJ80" s="150"/>
      <c r="IK80" s="150"/>
      <c r="IL80" s="150"/>
      <c r="IM80" s="150"/>
      <c r="IN80" s="150"/>
      <c r="IO80" s="150"/>
      <c r="IP80" s="150"/>
      <c r="IQ80" s="150"/>
      <c r="IR80" s="150"/>
      <c r="IS80" s="150"/>
      <c r="IT80" s="150"/>
      <c r="IU80" s="150"/>
      <c r="IV80" s="150"/>
    </row>
    <row r="81" spans="1:256" s="33" customFormat="1" ht="19.5" customHeight="1">
      <c r="A81" s="198" t="s">
        <v>20</v>
      </c>
      <c r="B81" s="139">
        <v>2</v>
      </c>
      <c r="C81" s="140">
        <v>2</v>
      </c>
      <c r="D81" s="140">
        <v>31</v>
      </c>
      <c r="E81" s="141">
        <v>0</v>
      </c>
      <c r="F81" s="141">
        <v>0</v>
      </c>
      <c r="G81" s="141">
        <v>0</v>
      </c>
      <c r="H81" s="142">
        <v>31</v>
      </c>
      <c r="I81" s="31">
        <f>B81+D81-H81</f>
        <v>2</v>
      </c>
      <c r="J81" s="139">
        <v>1</v>
      </c>
      <c r="K81" s="140">
        <v>1</v>
      </c>
      <c r="L81" s="140">
        <v>1</v>
      </c>
      <c r="M81" s="141">
        <v>0</v>
      </c>
      <c r="N81" s="142">
        <f>J81+L81-M81</f>
        <v>2</v>
      </c>
      <c r="O81" s="139">
        <f>37+34</f>
        <v>71</v>
      </c>
      <c r="P81" s="140">
        <v>71</v>
      </c>
      <c r="Q81" s="141">
        <v>43</v>
      </c>
      <c r="R81" s="31">
        <f>O81-Q81</f>
        <v>28</v>
      </c>
      <c r="S81" s="139">
        <v>0</v>
      </c>
      <c r="T81" s="140">
        <v>0</v>
      </c>
      <c r="U81" s="141">
        <v>0</v>
      </c>
      <c r="V81" s="31">
        <f>S81-U81</f>
        <v>0</v>
      </c>
      <c r="W81" s="193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50"/>
      <c r="AX81" s="150"/>
      <c r="AY81" s="150"/>
      <c r="AZ81" s="150"/>
      <c r="BA81" s="150"/>
      <c r="BB81" s="150"/>
      <c r="BC81" s="150"/>
      <c r="BD81" s="150"/>
      <c r="BE81" s="150"/>
      <c r="BF81" s="150"/>
      <c r="BG81" s="150"/>
      <c r="BH81" s="150"/>
      <c r="BI81" s="150"/>
      <c r="BJ81" s="150"/>
      <c r="BK81" s="150"/>
      <c r="BL81" s="150"/>
      <c r="BM81" s="150"/>
      <c r="BN81" s="150"/>
      <c r="BO81" s="150"/>
      <c r="BP81" s="150"/>
      <c r="BQ81" s="150"/>
      <c r="BR81" s="150"/>
      <c r="BS81" s="150"/>
      <c r="BT81" s="150"/>
      <c r="BU81" s="150"/>
      <c r="BV81" s="150"/>
      <c r="BW81" s="150"/>
      <c r="BX81" s="150"/>
      <c r="BY81" s="150"/>
      <c r="BZ81" s="150"/>
      <c r="CA81" s="150"/>
      <c r="CB81" s="150"/>
      <c r="CC81" s="150"/>
      <c r="CD81" s="150"/>
      <c r="CE81" s="150"/>
      <c r="CF81" s="150"/>
      <c r="CG81" s="150"/>
      <c r="CH81" s="150"/>
      <c r="CI81" s="150"/>
      <c r="CJ81" s="150"/>
      <c r="CK81" s="150"/>
      <c r="CL81" s="150"/>
      <c r="CM81" s="150"/>
      <c r="CN81" s="150"/>
      <c r="CO81" s="150"/>
      <c r="CP81" s="150"/>
      <c r="CQ81" s="150"/>
      <c r="CR81" s="150"/>
      <c r="CS81" s="150"/>
      <c r="CT81" s="150"/>
      <c r="CU81" s="150"/>
      <c r="CV81" s="150"/>
      <c r="CW81" s="150"/>
      <c r="CX81" s="150"/>
      <c r="CY81" s="150"/>
      <c r="CZ81" s="150"/>
      <c r="DA81" s="150"/>
      <c r="DB81" s="150"/>
      <c r="DC81" s="150"/>
      <c r="DD81" s="150"/>
      <c r="DE81" s="150"/>
      <c r="DF81" s="150"/>
      <c r="DG81" s="150"/>
      <c r="DH81" s="150"/>
      <c r="DI81" s="150"/>
      <c r="DJ81" s="150"/>
      <c r="DK81" s="150"/>
      <c r="DL81" s="150"/>
      <c r="DM81" s="150"/>
      <c r="DN81" s="150"/>
      <c r="DO81" s="150"/>
      <c r="DP81" s="150"/>
      <c r="DQ81" s="150"/>
      <c r="DR81" s="150"/>
      <c r="DS81" s="150"/>
      <c r="DT81" s="150"/>
      <c r="DU81" s="150"/>
      <c r="DV81" s="150"/>
      <c r="DW81" s="150"/>
      <c r="DX81" s="150"/>
      <c r="DY81" s="150"/>
      <c r="DZ81" s="150"/>
      <c r="EA81" s="150"/>
      <c r="EB81" s="150"/>
      <c r="EC81" s="150"/>
      <c r="ED81" s="150"/>
      <c r="EE81" s="150"/>
      <c r="EF81" s="150"/>
      <c r="EG81" s="150"/>
      <c r="EH81" s="150"/>
      <c r="EI81" s="150"/>
      <c r="EJ81" s="150"/>
      <c r="EK81" s="150"/>
      <c r="EL81" s="150"/>
      <c r="EM81" s="150"/>
      <c r="EN81" s="150"/>
      <c r="EO81" s="150"/>
      <c r="EP81" s="150"/>
      <c r="EQ81" s="150"/>
      <c r="ER81" s="150"/>
      <c r="ES81" s="150"/>
      <c r="ET81" s="150"/>
      <c r="EU81" s="150"/>
      <c r="EV81" s="150"/>
      <c r="EW81" s="150"/>
      <c r="EX81" s="150"/>
      <c r="EY81" s="150"/>
      <c r="EZ81" s="150"/>
      <c r="FA81" s="150"/>
      <c r="FB81" s="150"/>
      <c r="FC81" s="150"/>
      <c r="FD81" s="150"/>
      <c r="FE81" s="150"/>
      <c r="FF81" s="150"/>
      <c r="FG81" s="150"/>
      <c r="FH81" s="150"/>
      <c r="FI81" s="150"/>
      <c r="FJ81" s="150"/>
      <c r="FK81" s="150"/>
      <c r="FL81" s="150"/>
      <c r="FM81" s="150"/>
      <c r="FN81" s="150"/>
      <c r="FO81" s="150"/>
      <c r="FP81" s="150"/>
      <c r="FQ81" s="150"/>
      <c r="FR81" s="150"/>
      <c r="FS81" s="150"/>
      <c r="FT81" s="150"/>
      <c r="FU81" s="150"/>
      <c r="FV81" s="150"/>
      <c r="FW81" s="150"/>
      <c r="FX81" s="150"/>
      <c r="FY81" s="150"/>
      <c r="FZ81" s="150"/>
      <c r="GA81" s="150"/>
      <c r="GB81" s="150"/>
      <c r="GC81" s="150"/>
      <c r="GD81" s="150"/>
      <c r="GE81" s="150"/>
      <c r="GF81" s="150"/>
      <c r="GG81" s="150"/>
      <c r="GH81" s="150"/>
      <c r="GI81" s="150"/>
      <c r="GJ81" s="150"/>
      <c r="GK81" s="150"/>
      <c r="GL81" s="150"/>
      <c r="GM81" s="150"/>
      <c r="GN81" s="150"/>
      <c r="GO81" s="150"/>
      <c r="GP81" s="150"/>
      <c r="GQ81" s="150"/>
      <c r="GR81" s="150"/>
      <c r="GS81" s="150"/>
      <c r="GT81" s="150"/>
      <c r="GU81" s="150"/>
      <c r="GV81" s="150"/>
      <c r="GW81" s="150"/>
      <c r="GX81" s="150"/>
      <c r="GY81" s="150"/>
      <c r="GZ81" s="150"/>
      <c r="HA81" s="150"/>
      <c r="HB81" s="150"/>
      <c r="HC81" s="150"/>
      <c r="HD81" s="150"/>
      <c r="HE81" s="150"/>
      <c r="HF81" s="150"/>
      <c r="HG81" s="150"/>
      <c r="HH81" s="150"/>
      <c r="HI81" s="150"/>
      <c r="HJ81" s="150"/>
      <c r="HK81" s="150"/>
      <c r="HL81" s="150"/>
      <c r="HM81" s="150"/>
      <c r="HN81" s="150"/>
      <c r="HO81" s="150"/>
      <c r="HP81" s="150"/>
      <c r="HQ81" s="150"/>
      <c r="HR81" s="150"/>
      <c r="HS81" s="150"/>
      <c r="HT81" s="150"/>
      <c r="HU81" s="150"/>
      <c r="HV81" s="150"/>
      <c r="HW81" s="150"/>
      <c r="HX81" s="150"/>
      <c r="HY81" s="150"/>
      <c r="HZ81" s="150"/>
      <c r="IA81" s="150"/>
      <c r="IB81" s="150"/>
      <c r="IC81" s="150"/>
      <c r="ID81" s="150"/>
      <c r="IE81" s="150"/>
      <c r="IF81" s="150"/>
      <c r="IG81" s="150"/>
      <c r="IH81" s="150"/>
      <c r="II81" s="150"/>
      <c r="IJ81" s="150"/>
      <c r="IK81" s="150"/>
      <c r="IL81" s="150"/>
      <c r="IM81" s="150"/>
      <c r="IN81" s="150"/>
      <c r="IO81" s="150"/>
      <c r="IP81" s="150"/>
      <c r="IQ81" s="150"/>
      <c r="IR81" s="150"/>
      <c r="IS81" s="150"/>
      <c r="IT81" s="150"/>
      <c r="IU81" s="150"/>
      <c r="IV81" s="150"/>
    </row>
    <row r="82" spans="1:256" s="33" customFormat="1" ht="19.5" customHeight="1">
      <c r="A82" s="198" t="s">
        <v>21</v>
      </c>
      <c r="B82" s="139">
        <v>0</v>
      </c>
      <c r="C82" s="140">
        <v>0</v>
      </c>
      <c r="D82" s="140">
        <v>0</v>
      </c>
      <c r="E82" s="141">
        <v>0</v>
      </c>
      <c r="F82" s="141">
        <v>0</v>
      </c>
      <c r="G82" s="141">
        <v>0</v>
      </c>
      <c r="H82" s="142">
        <v>0</v>
      </c>
      <c r="I82" s="31">
        <f>B82+D82-H82</f>
        <v>0</v>
      </c>
      <c r="J82" s="139">
        <v>2</v>
      </c>
      <c r="K82" s="140">
        <v>2</v>
      </c>
      <c r="L82" s="140">
        <v>0</v>
      </c>
      <c r="M82" s="141">
        <v>2</v>
      </c>
      <c r="N82" s="142">
        <f>J82+L82-M82</f>
        <v>0</v>
      </c>
      <c r="O82" s="139">
        <f>26</f>
        <v>26</v>
      </c>
      <c r="P82" s="140">
        <v>26</v>
      </c>
      <c r="Q82" s="141">
        <v>20</v>
      </c>
      <c r="R82" s="31">
        <f>O82-Q82</f>
        <v>6</v>
      </c>
      <c r="S82" s="139">
        <v>0</v>
      </c>
      <c r="T82" s="140">
        <v>0</v>
      </c>
      <c r="U82" s="141">
        <v>0</v>
      </c>
      <c r="V82" s="31">
        <f>S82-U82</f>
        <v>0</v>
      </c>
      <c r="W82" s="193"/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  <c r="AH82" s="150"/>
      <c r="AI82" s="150"/>
      <c r="AJ82" s="150"/>
      <c r="AK82" s="150"/>
      <c r="AL82" s="150"/>
      <c r="AM82" s="150"/>
      <c r="AN82" s="150"/>
      <c r="AO82" s="150"/>
      <c r="AP82" s="150"/>
      <c r="AQ82" s="150"/>
      <c r="AR82" s="150"/>
      <c r="AS82" s="150"/>
      <c r="AT82" s="150"/>
      <c r="AU82" s="150"/>
      <c r="AV82" s="150"/>
      <c r="AW82" s="150"/>
      <c r="AX82" s="150"/>
      <c r="AY82" s="150"/>
      <c r="AZ82" s="150"/>
      <c r="BA82" s="150"/>
      <c r="BB82" s="150"/>
      <c r="BC82" s="150"/>
      <c r="BD82" s="150"/>
      <c r="BE82" s="150"/>
      <c r="BF82" s="150"/>
      <c r="BG82" s="150"/>
      <c r="BH82" s="150"/>
      <c r="BI82" s="150"/>
      <c r="BJ82" s="150"/>
      <c r="BK82" s="150"/>
      <c r="BL82" s="150"/>
      <c r="BM82" s="150"/>
      <c r="BN82" s="150"/>
      <c r="BO82" s="150"/>
      <c r="BP82" s="150"/>
      <c r="BQ82" s="150"/>
      <c r="BR82" s="150"/>
      <c r="BS82" s="150"/>
      <c r="BT82" s="150"/>
      <c r="BU82" s="150"/>
      <c r="BV82" s="150"/>
      <c r="BW82" s="150"/>
      <c r="BX82" s="150"/>
      <c r="BY82" s="150"/>
      <c r="BZ82" s="150"/>
      <c r="CA82" s="150"/>
      <c r="CB82" s="150"/>
      <c r="CC82" s="150"/>
      <c r="CD82" s="150"/>
      <c r="CE82" s="150"/>
      <c r="CF82" s="150"/>
      <c r="CG82" s="150"/>
      <c r="CH82" s="150"/>
      <c r="CI82" s="150"/>
      <c r="CJ82" s="150"/>
      <c r="CK82" s="150"/>
      <c r="CL82" s="150"/>
      <c r="CM82" s="150"/>
      <c r="CN82" s="150"/>
      <c r="CO82" s="150"/>
      <c r="CP82" s="150"/>
      <c r="CQ82" s="150"/>
      <c r="CR82" s="150"/>
      <c r="CS82" s="150"/>
      <c r="CT82" s="150"/>
      <c r="CU82" s="150"/>
      <c r="CV82" s="150"/>
      <c r="CW82" s="150"/>
      <c r="CX82" s="150"/>
      <c r="CY82" s="150"/>
      <c r="CZ82" s="150"/>
      <c r="DA82" s="150"/>
      <c r="DB82" s="150"/>
      <c r="DC82" s="150"/>
      <c r="DD82" s="150"/>
      <c r="DE82" s="150"/>
      <c r="DF82" s="150"/>
      <c r="DG82" s="150"/>
      <c r="DH82" s="150"/>
      <c r="DI82" s="150"/>
      <c r="DJ82" s="150"/>
      <c r="DK82" s="150"/>
      <c r="DL82" s="150"/>
      <c r="DM82" s="150"/>
      <c r="DN82" s="150"/>
      <c r="DO82" s="150"/>
      <c r="DP82" s="150"/>
      <c r="DQ82" s="150"/>
      <c r="DR82" s="150"/>
      <c r="DS82" s="150"/>
      <c r="DT82" s="150"/>
      <c r="DU82" s="150"/>
      <c r="DV82" s="150"/>
      <c r="DW82" s="150"/>
      <c r="DX82" s="150"/>
      <c r="DY82" s="150"/>
      <c r="DZ82" s="150"/>
      <c r="EA82" s="150"/>
      <c r="EB82" s="150"/>
      <c r="EC82" s="150"/>
      <c r="ED82" s="150"/>
      <c r="EE82" s="150"/>
      <c r="EF82" s="150"/>
      <c r="EG82" s="150"/>
      <c r="EH82" s="150"/>
      <c r="EI82" s="150"/>
      <c r="EJ82" s="150"/>
      <c r="EK82" s="150"/>
      <c r="EL82" s="150"/>
      <c r="EM82" s="150"/>
      <c r="EN82" s="150"/>
      <c r="EO82" s="150"/>
      <c r="EP82" s="150"/>
      <c r="EQ82" s="150"/>
      <c r="ER82" s="150"/>
      <c r="ES82" s="150"/>
      <c r="ET82" s="150"/>
      <c r="EU82" s="150"/>
      <c r="EV82" s="150"/>
      <c r="EW82" s="150"/>
      <c r="EX82" s="150"/>
      <c r="EY82" s="150"/>
      <c r="EZ82" s="150"/>
      <c r="FA82" s="150"/>
      <c r="FB82" s="150"/>
      <c r="FC82" s="150"/>
      <c r="FD82" s="150"/>
      <c r="FE82" s="150"/>
      <c r="FF82" s="150"/>
      <c r="FG82" s="150"/>
      <c r="FH82" s="150"/>
      <c r="FI82" s="150"/>
      <c r="FJ82" s="150"/>
      <c r="FK82" s="150"/>
      <c r="FL82" s="150"/>
      <c r="FM82" s="150"/>
      <c r="FN82" s="150"/>
      <c r="FO82" s="150"/>
      <c r="FP82" s="150"/>
      <c r="FQ82" s="150"/>
      <c r="FR82" s="150"/>
      <c r="FS82" s="150"/>
      <c r="FT82" s="150"/>
      <c r="FU82" s="150"/>
      <c r="FV82" s="150"/>
      <c r="FW82" s="150"/>
      <c r="FX82" s="150"/>
      <c r="FY82" s="150"/>
      <c r="FZ82" s="150"/>
      <c r="GA82" s="150"/>
      <c r="GB82" s="150"/>
      <c r="GC82" s="150"/>
      <c r="GD82" s="150"/>
      <c r="GE82" s="150"/>
      <c r="GF82" s="150"/>
      <c r="GG82" s="150"/>
      <c r="GH82" s="150"/>
      <c r="GI82" s="150"/>
      <c r="GJ82" s="150"/>
      <c r="GK82" s="150"/>
      <c r="GL82" s="150"/>
      <c r="GM82" s="150"/>
      <c r="GN82" s="150"/>
      <c r="GO82" s="150"/>
      <c r="GP82" s="150"/>
      <c r="GQ82" s="150"/>
      <c r="GR82" s="150"/>
      <c r="GS82" s="150"/>
      <c r="GT82" s="150"/>
      <c r="GU82" s="150"/>
      <c r="GV82" s="150"/>
      <c r="GW82" s="150"/>
      <c r="GX82" s="150"/>
      <c r="GY82" s="150"/>
      <c r="GZ82" s="150"/>
      <c r="HA82" s="150"/>
      <c r="HB82" s="150"/>
      <c r="HC82" s="150"/>
      <c r="HD82" s="150"/>
      <c r="HE82" s="150"/>
      <c r="HF82" s="150"/>
      <c r="HG82" s="150"/>
      <c r="HH82" s="150"/>
      <c r="HI82" s="150"/>
      <c r="HJ82" s="150"/>
      <c r="HK82" s="150"/>
      <c r="HL82" s="150"/>
      <c r="HM82" s="150"/>
      <c r="HN82" s="150"/>
      <c r="HO82" s="150"/>
      <c r="HP82" s="150"/>
      <c r="HQ82" s="150"/>
      <c r="HR82" s="150"/>
      <c r="HS82" s="150"/>
      <c r="HT82" s="150"/>
      <c r="HU82" s="150"/>
      <c r="HV82" s="150"/>
      <c r="HW82" s="150"/>
      <c r="HX82" s="150"/>
      <c r="HY82" s="150"/>
      <c r="HZ82" s="150"/>
      <c r="IA82" s="150"/>
      <c r="IB82" s="150"/>
      <c r="IC82" s="150"/>
      <c r="ID82" s="150"/>
      <c r="IE82" s="150"/>
      <c r="IF82" s="150"/>
      <c r="IG82" s="150"/>
      <c r="IH82" s="150"/>
      <c r="II82" s="150"/>
      <c r="IJ82" s="150"/>
      <c r="IK82" s="150"/>
      <c r="IL82" s="150"/>
      <c r="IM82" s="150"/>
      <c r="IN82" s="150"/>
      <c r="IO82" s="150"/>
      <c r="IP82" s="150"/>
      <c r="IQ82" s="150"/>
      <c r="IR82" s="150"/>
      <c r="IS82" s="150"/>
      <c r="IT82" s="150"/>
      <c r="IU82" s="150"/>
      <c r="IV82" s="150"/>
    </row>
    <row r="83" spans="1:256" ht="19.5" customHeight="1">
      <c r="A83" s="199" t="s">
        <v>22</v>
      </c>
      <c r="B83" s="139">
        <v>194</v>
      </c>
      <c r="C83" s="140">
        <v>194</v>
      </c>
      <c r="D83" s="140">
        <v>48</v>
      </c>
      <c r="E83" s="141">
        <v>70</v>
      </c>
      <c r="F83" s="141">
        <v>0</v>
      </c>
      <c r="G83" s="141">
        <v>0</v>
      </c>
      <c r="H83" s="142">
        <v>70</v>
      </c>
      <c r="I83" s="31">
        <f>B83+D83-H83</f>
        <v>172</v>
      </c>
      <c r="J83" s="139">
        <v>44</v>
      </c>
      <c r="K83" s="140">
        <v>44</v>
      </c>
      <c r="L83" s="182">
        <v>6</v>
      </c>
      <c r="M83" s="183">
        <v>20</v>
      </c>
      <c r="N83" s="142">
        <f>J83+L83-M83</f>
        <v>30</v>
      </c>
      <c r="O83" s="139">
        <v>37</v>
      </c>
      <c r="P83" s="140">
        <v>37</v>
      </c>
      <c r="Q83" s="141">
        <v>30</v>
      </c>
      <c r="R83" s="31">
        <f>O83-Q83</f>
        <v>7</v>
      </c>
      <c r="S83" s="181">
        <v>28</v>
      </c>
      <c r="T83" s="182">
        <v>28</v>
      </c>
      <c r="U83" s="183">
        <v>28</v>
      </c>
      <c r="V83" s="31">
        <f>S83-U83</f>
        <v>0</v>
      </c>
      <c r="W83" s="16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70"/>
      <c r="CM83" s="70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70"/>
      <c r="DB83" s="70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70"/>
      <c r="DQ83" s="70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70"/>
      <c r="EF83" s="70"/>
      <c r="EG83" s="70"/>
      <c r="EH83" s="70"/>
      <c r="EI83" s="70"/>
      <c r="EJ83" s="70"/>
      <c r="EK83" s="70"/>
      <c r="EL83" s="70"/>
      <c r="EM83" s="70"/>
      <c r="EN83" s="70"/>
      <c r="EO83" s="70"/>
      <c r="EP83" s="70"/>
      <c r="EQ83" s="70"/>
      <c r="ER83" s="70"/>
      <c r="ES83" s="70"/>
      <c r="ET83" s="70"/>
      <c r="EU83" s="70"/>
      <c r="EV83" s="70"/>
      <c r="EW83" s="70"/>
      <c r="EX83" s="70"/>
      <c r="EY83" s="70"/>
      <c r="EZ83" s="70"/>
      <c r="FA83" s="70"/>
      <c r="FB83" s="70"/>
      <c r="FC83" s="70"/>
      <c r="FD83" s="70"/>
      <c r="FE83" s="70"/>
      <c r="FF83" s="70"/>
      <c r="FG83" s="70"/>
      <c r="FH83" s="70"/>
      <c r="FI83" s="70"/>
      <c r="FJ83" s="70"/>
      <c r="FK83" s="70"/>
      <c r="FL83" s="70"/>
      <c r="FM83" s="70"/>
      <c r="FN83" s="70"/>
      <c r="FO83" s="70"/>
      <c r="FP83" s="70"/>
      <c r="FQ83" s="70"/>
      <c r="FR83" s="70"/>
      <c r="FS83" s="70"/>
      <c r="FT83" s="70"/>
      <c r="FU83" s="70"/>
      <c r="FV83" s="70"/>
      <c r="FW83" s="70"/>
      <c r="FX83" s="70"/>
      <c r="FY83" s="70"/>
      <c r="FZ83" s="70"/>
      <c r="GA83" s="70"/>
      <c r="GB83" s="70"/>
      <c r="GC83" s="70"/>
      <c r="GD83" s="70"/>
      <c r="GE83" s="70"/>
      <c r="GF83" s="70"/>
      <c r="GG83" s="70"/>
      <c r="GH83" s="70"/>
      <c r="GI83" s="70"/>
      <c r="GJ83" s="70"/>
      <c r="GK83" s="70"/>
      <c r="GL83" s="70"/>
      <c r="GM83" s="70"/>
      <c r="GN83" s="70"/>
      <c r="GO83" s="70"/>
      <c r="GP83" s="70"/>
      <c r="GQ83" s="70"/>
      <c r="GR83" s="70"/>
      <c r="GS83" s="70"/>
      <c r="GT83" s="70"/>
      <c r="GU83" s="70"/>
      <c r="GV83" s="70"/>
      <c r="GW83" s="70"/>
      <c r="GX83" s="70"/>
      <c r="GY83" s="70"/>
      <c r="GZ83" s="70"/>
      <c r="HA83" s="70"/>
      <c r="HB83" s="70"/>
      <c r="HC83" s="70"/>
      <c r="HD83" s="70"/>
      <c r="HE83" s="70"/>
      <c r="HF83" s="70"/>
      <c r="HG83" s="70"/>
      <c r="HH83" s="70"/>
      <c r="HI83" s="70"/>
      <c r="HJ83" s="70"/>
      <c r="HK83" s="70"/>
      <c r="HL83" s="70"/>
      <c r="HM83" s="70"/>
      <c r="HN83" s="70"/>
      <c r="HO83" s="70"/>
      <c r="HP83" s="70"/>
      <c r="HQ83" s="70"/>
      <c r="HR83" s="70"/>
      <c r="HS83" s="70"/>
      <c r="HT83" s="70"/>
      <c r="HU83" s="70"/>
      <c r="HV83" s="70"/>
      <c r="HW83" s="70"/>
      <c r="HX83" s="70"/>
      <c r="HY83" s="70"/>
      <c r="HZ83" s="70"/>
      <c r="IA83" s="70"/>
      <c r="IB83" s="70"/>
      <c r="IC83" s="70"/>
      <c r="ID83" s="70"/>
      <c r="IE83" s="70"/>
      <c r="IF83" s="70"/>
      <c r="IG83" s="70"/>
      <c r="IH83" s="70"/>
      <c r="II83" s="70"/>
      <c r="IJ83" s="70"/>
      <c r="IK83" s="70"/>
      <c r="IL83" s="70"/>
      <c r="IM83" s="70"/>
      <c r="IN83" s="70"/>
      <c r="IO83" s="70"/>
      <c r="IP83" s="70"/>
      <c r="IQ83" s="70"/>
      <c r="IR83" s="70"/>
      <c r="IS83" s="70"/>
      <c r="IT83" s="70"/>
      <c r="IU83" s="70"/>
      <c r="IV83" s="70"/>
    </row>
    <row r="84" spans="1:256" s="33" customFormat="1" ht="19.5" customHeight="1" thickBot="1">
      <c r="A84" s="200" t="s">
        <v>29</v>
      </c>
      <c r="B84" s="167">
        <v>184</v>
      </c>
      <c r="C84" s="168">
        <v>184</v>
      </c>
      <c r="D84" s="168">
        <v>40</v>
      </c>
      <c r="E84" s="168">
        <v>0</v>
      </c>
      <c r="F84" s="168">
        <v>0</v>
      </c>
      <c r="G84" s="168">
        <v>0</v>
      </c>
      <c r="H84" s="304">
        <v>0</v>
      </c>
      <c r="I84" s="305">
        <f>B84+D84-H84</f>
        <v>224</v>
      </c>
      <c r="J84" s="306">
        <v>1</v>
      </c>
      <c r="K84" s="304">
        <v>1</v>
      </c>
      <c r="L84" s="304">
        <v>0</v>
      </c>
      <c r="M84" s="304">
        <v>0</v>
      </c>
      <c r="N84" s="169">
        <f>J84+L84-M84</f>
        <v>1</v>
      </c>
      <c r="O84" s="167">
        <f>17+32</f>
        <v>49</v>
      </c>
      <c r="P84" s="168">
        <v>49</v>
      </c>
      <c r="Q84" s="168">
        <v>43</v>
      </c>
      <c r="R84" s="169">
        <f>O84-Q84</f>
        <v>6</v>
      </c>
      <c r="S84" s="167">
        <v>0</v>
      </c>
      <c r="T84" s="168">
        <v>0</v>
      </c>
      <c r="U84" s="168">
        <v>0</v>
      </c>
      <c r="V84" s="55">
        <f>S84-U84</f>
        <v>0</v>
      </c>
      <c r="W84" s="193"/>
      <c r="X84" s="150"/>
      <c r="Y84" s="150"/>
      <c r="Z84" s="150"/>
      <c r="AA84" s="150"/>
      <c r="AB84" s="150"/>
      <c r="AC84" s="150"/>
      <c r="AD84" s="150"/>
      <c r="AE84" s="150"/>
      <c r="AF84" s="150"/>
      <c r="AG84" s="150"/>
      <c r="AH84" s="150"/>
      <c r="AI84" s="150"/>
      <c r="AJ84" s="150"/>
      <c r="AK84" s="150"/>
      <c r="AL84" s="150"/>
      <c r="AM84" s="150"/>
      <c r="AN84" s="150"/>
      <c r="AO84" s="150"/>
      <c r="AP84" s="150"/>
      <c r="AQ84" s="150"/>
      <c r="AR84" s="150"/>
      <c r="AS84" s="150"/>
      <c r="AT84" s="150"/>
      <c r="AU84" s="150"/>
      <c r="AV84" s="150"/>
      <c r="AW84" s="150"/>
      <c r="AX84" s="150"/>
      <c r="AY84" s="150"/>
      <c r="AZ84" s="150"/>
      <c r="BA84" s="150"/>
      <c r="BB84" s="150"/>
      <c r="BC84" s="150"/>
      <c r="BD84" s="150"/>
      <c r="BE84" s="150"/>
      <c r="BF84" s="150"/>
      <c r="BG84" s="150"/>
      <c r="BH84" s="150"/>
      <c r="BI84" s="150"/>
      <c r="BJ84" s="150"/>
      <c r="BK84" s="150"/>
      <c r="BL84" s="150"/>
      <c r="BM84" s="150"/>
      <c r="BN84" s="150"/>
      <c r="BO84" s="150"/>
      <c r="BP84" s="150"/>
      <c r="BQ84" s="150"/>
      <c r="BR84" s="150"/>
      <c r="BS84" s="150"/>
      <c r="BT84" s="150"/>
      <c r="BU84" s="150"/>
      <c r="BV84" s="150"/>
      <c r="BW84" s="150"/>
      <c r="BX84" s="150"/>
      <c r="BY84" s="150"/>
      <c r="BZ84" s="150"/>
      <c r="CA84" s="150"/>
      <c r="CB84" s="150"/>
      <c r="CC84" s="150"/>
      <c r="CD84" s="150"/>
      <c r="CE84" s="150"/>
      <c r="CF84" s="150"/>
      <c r="CG84" s="150"/>
      <c r="CH84" s="150"/>
      <c r="CI84" s="150"/>
      <c r="CJ84" s="150"/>
      <c r="CK84" s="150"/>
      <c r="CL84" s="150"/>
      <c r="CM84" s="150"/>
      <c r="CN84" s="150"/>
      <c r="CO84" s="150"/>
      <c r="CP84" s="150"/>
      <c r="CQ84" s="150"/>
      <c r="CR84" s="150"/>
      <c r="CS84" s="150"/>
      <c r="CT84" s="150"/>
      <c r="CU84" s="150"/>
      <c r="CV84" s="150"/>
      <c r="CW84" s="150"/>
      <c r="CX84" s="150"/>
      <c r="CY84" s="150"/>
      <c r="CZ84" s="150"/>
      <c r="DA84" s="150"/>
      <c r="DB84" s="150"/>
      <c r="DC84" s="150"/>
      <c r="DD84" s="150"/>
      <c r="DE84" s="150"/>
      <c r="DF84" s="150"/>
      <c r="DG84" s="150"/>
      <c r="DH84" s="150"/>
      <c r="DI84" s="150"/>
      <c r="DJ84" s="150"/>
      <c r="DK84" s="150"/>
      <c r="DL84" s="150"/>
      <c r="DM84" s="150"/>
      <c r="DN84" s="150"/>
      <c r="DO84" s="150"/>
      <c r="DP84" s="150"/>
      <c r="DQ84" s="150"/>
      <c r="DR84" s="150"/>
      <c r="DS84" s="150"/>
      <c r="DT84" s="150"/>
      <c r="DU84" s="150"/>
      <c r="DV84" s="150"/>
      <c r="DW84" s="150"/>
      <c r="DX84" s="150"/>
      <c r="DY84" s="150"/>
      <c r="DZ84" s="150"/>
      <c r="EA84" s="150"/>
      <c r="EB84" s="150"/>
      <c r="EC84" s="150"/>
      <c r="ED84" s="150"/>
      <c r="EE84" s="150"/>
      <c r="EF84" s="150"/>
      <c r="EG84" s="150"/>
      <c r="EH84" s="150"/>
      <c r="EI84" s="150"/>
      <c r="EJ84" s="150"/>
      <c r="EK84" s="150"/>
      <c r="EL84" s="150"/>
      <c r="EM84" s="150"/>
      <c r="EN84" s="150"/>
      <c r="EO84" s="150"/>
      <c r="EP84" s="150"/>
      <c r="EQ84" s="150"/>
      <c r="ER84" s="150"/>
      <c r="ES84" s="150"/>
      <c r="ET84" s="150"/>
      <c r="EU84" s="150"/>
      <c r="EV84" s="150"/>
      <c r="EW84" s="150"/>
      <c r="EX84" s="150"/>
      <c r="EY84" s="150"/>
      <c r="EZ84" s="150"/>
      <c r="FA84" s="150"/>
      <c r="FB84" s="150"/>
      <c r="FC84" s="150"/>
      <c r="FD84" s="150"/>
      <c r="FE84" s="150"/>
      <c r="FF84" s="150"/>
      <c r="FG84" s="150"/>
      <c r="FH84" s="150"/>
      <c r="FI84" s="150"/>
      <c r="FJ84" s="150"/>
      <c r="FK84" s="150"/>
      <c r="FL84" s="150"/>
      <c r="FM84" s="150"/>
      <c r="FN84" s="150"/>
      <c r="FO84" s="150"/>
      <c r="FP84" s="150"/>
      <c r="FQ84" s="150"/>
      <c r="FR84" s="150"/>
      <c r="FS84" s="150"/>
      <c r="FT84" s="150"/>
      <c r="FU84" s="150"/>
      <c r="FV84" s="150"/>
      <c r="FW84" s="150"/>
      <c r="FX84" s="150"/>
      <c r="FY84" s="150"/>
      <c r="FZ84" s="150"/>
      <c r="GA84" s="150"/>
      <c r="GB84" s="150"/>
      <c r="GC84" s="150"/>
      <c r="GD84" s="150"/>
      <c r="GE84" s="150"/>
      <c r="GF84" s="150"/>
      <c r="GG84" s="150"/>
      <c r="GH84" s="150"/>
      <c r="GI84" s="150"/>
      <c r="GJ84" s="150"/>
      <c r="GK84" s="150"/>
      <c r="GL84" s="150"/>
      <c r="GM84" s="150"/>
      <c r="GN84" s="150"/>
      <c r="GO84" s="150"/>
      <c r="GP84" s="150"/>
      <c r="GQ84" s="150"/>
      <c r="GR84" s="150"/>
      <c r="GS84" s="150"/>
      <c r="GT84" s="150"/>
      <c r="GU84" s="150"/>
      <c r="GV84" s="150"/>
      <c r="GW84" s="150"/>
      <c r="GX84" s="150"/>
      <c r="GY84" s="150"/>
      <c r="GZ84" s="150"/>
      <c r="HA84" s="150"/>
      <c r="HB84" s="150"/>
      <c r="HC84" s="150"/>
      <c r="HD84" s="150"/>
      <c r="HE84" s="150"/>
      <c r="HF84" s="150"/>
      <c r="HG84" s="150"/>
      <c r="HH84" s="150"/>
      <c r="HI84" s="150"/>
      <c r="HJ84" s="150"/>
      <c r="HK84" s="150"/>
      <c r="HL84" s="150"/>
      <c r="HM84" s="150"/>
      <c r="HN84" s="150"/>
      <c r="HO84" s="150"/>
      <c r="HP84" s="150"/>
      <c r="HQ84" s="150"/>
      <c r="HR84" s="150"/>
      <c r="HS84" s="150"/>
      <c r="HT84" s="150"/>
      <c r="HU84" s="150"/>
      <c r="HV84" s="150"/>
      <c r="HW84" s="150"/>
      <c r="HX84" s="150"/>
      <c r="HY84" s="150"/>
      <c r="HZ84" s="150"/>
      <c r="IA84" s="150"/>
      <c r="IB84" s="150"/>
      <c r="IC84" s="150"/>
      <c r="ID84" s="150"/>
      <c r="IE84" s="150"/>
      <c r="IF84" s="150"/>
      <c r="IG84" s="150"/>
      <c r="IH84" s="150"/>
      <c r="II84" s="150"/>
      <c r="IJ84" s="150"/>
      <c r="IK84" s="150"/>
      <c r="IL84" s="150"/>
      <c r="IM84" s="150"/>
      <c r="IN84" s="150"/>
      <c r="IO84" s="150"/>
      <c r="IP84" s="150"/>
      <c r="IQ84" s="150"/>
      <c r="IR84" s="150"/>
      <c r="IS84" s="150"/>
      <c r="IT84" s="150"/>
      <c r="IU84" s="150"/>
      <c r="IV84" s="150"/>
    </row>
    <row r="85" spans="1:256" ht="19.5" customHeight="1" thickBot="1">
      <c r="A85" s="137" t="s">
        <v>23</v>
      </c>
      <c r="B85" s="203">
        <f aca="true" t="shared" si="24" ref="B85:V85">SUM(B86:B86)</f>
        <v>845</v>
      </c>
      <c r="C85" s="204">
        <f t="shared" si="24"/>
        <v>845</v>
      </c>
      <c r="D85" s="204">
        <f t="shared" si="24"/>
        <v>834</v>
      </c>
      <c r="E85" s="204">
        <f t="shared" si="24"/>
        <v>85</v>
      </c>
      <c r="F85" s="204">
        <f t="shared" si="24"/>
        <v>0</v>
      </c>
      <c r="G85" s="204">
        <f t="shared" si="24"/>
        <v>260</v>
      </c>
      <c r="H85" s="307">
        <f t="shared" si="24"/>
        <v>660</v>
      </c>
      <c r="I85" s="308">
        <f t="shared" si="24"/>
        <v>1019</v>
      </c>
      <c r="J85" s="309">
        <f t="shared" si="24"/>
        <v>127</v>
      </c>
      <c r="K85" s="310">
        <f t="shared" si="24"/>
        <v>127</v>
      </c>
      <c r="L85" s="310">
        <f t="shared" si="24"/>
        <v>42</v>
      </c>
      <c r="M85" s="310">
        <f t="shared" si="24"/>
        <v>150</v>
      </c>
      <c r="N85" s="205">
        <f t="shared" si="24"/>
        <v>19</v>
      </c>
      <c r="O85" s="203">
        <f t="shared" si="24"/>
        <v>162</v>
      </c>
      <c r="P85" s="204">
        <f t="shared" si="24"/>
        <v>162</v>
      </c>
      <c r="Q85" s="204">
        <f t="shared" si="24"/>
        <v>136</v>
      </c>
      <c r="R85" s="205">
        <f t="shared" si="24"/>
        <v>26</v>
      </c>
      <c r="S85" s="203">
        <f t="shared" si="24"/>
        <v>167</v>
      </c>
      <c r="T85" s="204">
        <f t="shared" si="24"/>
        <v>167</v>
      </c>
      <c r="U85" s="204">
        <f t="shared" si="24"/>
        <v>167</v>
      </c>
      <c r="V85" s="205">
        <f t="shared" si="24"/>
        <v>0</v>
      </c>
      <c r="W85" s="12"/>
      <c r="HJ85" s="70"/>
      <c r="HK85" s="70"/>
      <c r="HL85" s="70"/>
      <c r="HM85" s="70"/>
      <c r="HN85" s="70"/>
      <c r="HO85" s="70"/>
      <c r="HP85" s="70"/>
      <c r="HQ85" s="70"/>
      <c r="HR85" s="70"/>
      <c r="HS85" s="70"/>
      <c r="HT85" s="70"/>
      <c r="HU85" s="70"/>
      <c r="HV85" s="70"/>
      <c r="HW85" s="70"/>
      <c r="HX85" s="70"/>
      <c r="HY85" s="70"/>
      <c r="HZ85" s="70"/>
      <c r="IA85" s="70"/>
      <c r="IB85" s="70"/>
      <c r="IC85" s="70"/>
      <c r="ID85" s="70"/>
      <c r="IE85" s="70"/>
      <c r="IF85" s="70"/>
      <c r="IG85" s="70"/>
      <c r="IH85" s="70"/>
      <c r="II85" s="70"/>
      <c r="IJ85" s="70"/>
      <c r="IK85" s="70"/>
      <c r="IL85" s="70"/>
      <c r="IM85" s="70"/>
      <c r="IN85" s="70"/>
      <c r="IO85" s="70"/>
      <c r="IP85" s="70"/>
      <c r="IQ85" s="70"/>
      <c r="IR85" s="70"/>
      <c r="IS85" s="70"/>
      <c r="IT85" s="70"/>
      <c r="IU85" s="70"/>
      <c r="IV85" s="70"/>
    </row>
    <row r="86" spans="1:256" s="33" customFormat="1" ht="19.5" customHeight="1" thickBot="1">
      <c r="A86" s="197" t="s">
        <v>102</v>
      </c>
      <c r="B86" s="206">
        <v>845</v>
      </c>
      <c r="C86" s="207">
        <v>845</v>
      </c>
      <c r="D86" s="2">
        <v>834</v>
      </c>
      <c r="E86" s="1">
        <v>85</v>
      </c>
      <c r="F86" s="2">
        <v>0</v>
      </c>
      <c r="G86" s="206">
        <f>345-85</f>
        <v>260</v>
      </c>
      <c r="H86" s="311">
        <f>315+E86+F86+G86</f>
        <v>660</v>
      </c>
      <c r="I86" s="312">
        <f>B86+D86-H86</f>
        <v>1019</v>
      </c>
      <c r="J86" s="313">
        <v>127</v>
      </c>
      <c r="K86" s="314">
        <v>127</v>
      </c>
      <c r="L86" s="315">
        <v>42</v>
      </c>
      <c r="M86" s="316">
        <v>150</v>
      </c>
      <c r="N86" s="51">
        <f>J86+L86-M86</f>
        <v>19</v>
      </c>
      <c r="O86" s="208">
        <f>87+75</f>
        <v>162</v>
      </c>
      <c r="P86" s="207">
        <v>162</v>
      </c>
      <c r="Q86" s="206">
        <v>136</v>
      </c>
      <c r="R86" s="51">
        <f>O86-Q86</f>
        <v>26</v>
      </c>
      <c r="S86" s="208">
        <v>167</v>
      </c>
      <c r="T86" s="206">
        <v>167</v>
      </c>
      <c r="U86" s="206">
        <v>167</v>
      </c>
      <c r="V86" s="51">
        <f>S86-U86</f>
        <v>0</v>
      </c>
      <c r="HJ86" s="150"/>
      <c r="HK86" s="150"/>
      <c r="HL86" s="150"/>
      <c r="HM86" s="150"/>
      <c r="HN86" s="150"/>
      <c r="HO86" s="150"/>
      <c r="HP86" s="150"/>
      <c r="HQ86" s="150"/>
      <c r="HR86" s="150"/>
      <c r="HS86" s="150"/>
      <c r="HT86" s="150"/>
      <c r="HU86" s="150"/>
      <c r="HV86" s="150"/>
      <c r="HW86" s="150"/>
      <c r="HX86" s="150"/>
      <c r="HY86" s="150"/>
      <c r="HZ86" s="150"/>
      <c r="IA86" s="150"/>
      <c r="IB86" s="150"/>
      <c r="IC86" s="150"/>
      <c r="ID86" s="150"/>
      <c r="IE86" s="150"/>
      <c r="IF86" s="150"/>
      <c r="IG86" s="150"/>
      <c r="IH86" s="150"/>
      <c r="II86" s="150"/>
      <c r="IJ86" s="150"/>
      <c r="IK86" s="150"/>
      <c r="IL86" s="150"/>
      <c r="IM86" s="150"/>
      <c r="IN86" s="150"/>
      <c r="IO86" s="150"/>
      <c r="IP86" s="150"/>
      <c r="IQ86" s="150"/>
      <c r="IR86" s="150"/>
      <c r="IS86" s="150"/>
      <c r="IT86" s="150"/>
      <c r="IU86" s="150"/>
      <c r="IV86" s="150"/>
    </row>
    <row r="87" spans="1:35" ht="19.5" customHeight="1" thickBot="1">
      <c r="A87" s="213" t="s">
        <v>39</v>
      </c>
      <c r="B87" s="195">
        <f>SUM(B88)</f>
        <v>188</v>
      </c>
      <c r="C87" s="196">
        <f aca="true" t="shared" si="25" ref="C87:V87">SUM(C88)</f>
        <v>188</v>
      </c>
      <c r="D87" s="196">
        <f t="shared" si="25"/>
        <v>127</v>
      </c>
      <c r="E87" s="196">
        <f t="shared" si="25"/>
        <v>0</v>
      </c>
      <c r="F87" s="196">
        <f t="shared" si="25"/>
        <v>0</v>
      </c>
      <c r="G87" s="196">
        <f t="shared" si="25"/>
        <v>0</v>
      </c>
      <c r="H87" s="317">
        <f t="shared" si="25"/>
        <v>0</v>
      </c>
      <c r="I87" s="318">
        <f t="shared" si="25"/>
        <v>315</v>
      </c>
      <c r="J87" s="319">
        <f t="shared" si="25"/>
        <v>2765</v>
      </c>
      <c r="K87" s="317">
        <f t="shared" si="25"/>
        <v>2765</v>
      </c>
      <c r="L87" s="317">
        <f t="shared" si="25"/>
        <v>2225</v>
      </c>
      <c r="M87" s="317">
        <f t="shared" si="25"/>
        <v>2227</v>
      </c>
      <c r="N87" s="85">
        <f t="shared" si="25"/>
        <v>2763</v>
      </c>
      <c r="O87" s="195">
        <f t="shared" si="25"/>
        <v>63</v>
      </c>
      <c r="P87" s="196">
        <f t="shared" si="25"/>
        <v>63</v>
      </c>
      <c r="Q87" s="196">
        <f t="shared" si="25"/>
        <v>40</v>
      </c>
      <c r="R87" s="85">
        <f t="shared" si="25"/>
        <v>23</v>
      </c>
      <c r="S87" s="195">
        <f t="shared" si="25"/>
        <v>109</v>
      </c>
      <c r="T87" s="196">
        <f t="shared" si="25"/>
        <v>109</v>
      </c>
      <c r="U87" s="196">
        <f t="shared" si="25"/>
        <v>60</v>
      </c>
      <c r="V87" s="85">
        <f t="shared" si="25"/>
        <v>49</v>
      </c>
      <c r="W87" s="16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</row>
    <row r="88" spans="1:35" ht="24" customHeight="1" thickBot="1">
      <c r="A88" s="348" t="s">
        <v>201</v>
      </c>
      <c r="B88" s="255">
        <v>188</v>
      </c>
      <c r="C88" s="243">
        <v>188</v>
      </c>
      <c r="D88" s="243">
        <v>127</v>
      </c>
      <c r="E88" s="243">
        <v>0</v>
      </c>
      <c r="F88" s="243">
        <v>0</v>
      </c>
      <c r="G88" s="243">
        <v>0</v>
      </c>
      <c r="H88" s="320">
        <v>0</v>
      </c>
      <c r="I88" s="321">
        <f>B88+D88-H88</f>
        <v>315</v>
      </c>
      <c r="J88" s="322">
        <f>538+2227</f>
        <v>2765</v>
      </c>
      <c r="K88" s="323">
        <f>538+2227</f>
        <v>2765</v>
      </c>
      <c r="L88" s="323">
        <f>225+2000</f>
        <v>2225</v>
      </c>
      <c r="M88" s="320">
        <v>2227</v>
      </c>
      <c r="N88" s="245">
        <f>J88+L88-M88</f>
        <v>2763</v>
      </c>
      <c r="O88" s="255">
        <f>30+33</f>
        <v>63</v>
      </c>
      <c r="P88" s="242">
        <v>63</v>
      </c>
      <c r="Q88" s="243">
        <v>40</v>
      </c>
      <c r="R88" s="244">
        <f>O88-Q88</f>
        <v>23</v>
      </c>
      <c r="S88" s="255">
        <f>60+49</f>
        <v>109</v>
      </c>
      <c r="T88" s="243">
        <f>60+49</f>
        <v>109</v>
      </c>
      <c r="U88" s="243">
        <v>60</v>
      </c>
      <c r="V88" s="244">
        <f>S88-U88</f>
        <v>49</v>
      </c>
      <c r="W88" s="258"/>
      <c r="X88" s="259"/>
      <c r="Y88" s="259"/>
      <c r="Z88" s="259"/>
      <c r="AA88" s="259"/>
      <c r="AB88" s="259"/>
      <c r="AC88" s="259"/>
      <c r="AD88" s="259"/>
      <c r="AE88" s="259"/>
      <c r="AF88" s="259"/>
      <c r="AG88" s="259"/>
      <c r="AH88" s="259"/>
      <c r="AI88" s="259"/>
    </row>
    <row r="89" spans="1:35" ht="19.5" customHeight="1" thickBot="1">
      <c r="A89" s="213" t="s">
        <v>24</v>
      </c>
      <c r="B89" s="138">
        <f>SUM(B90:B98)</f>
        <v>2494</v>
      </c>
      <c r="C89" s="136">
        <f aca="true" t="shared" si="26" ref="C89:V89">SUM(C90:C98)</f>
        <v>2494</v>
      </c>
      <c r="D89" s="136">
        <f t="shared" si="26"/>
        <v>2661</v>
      </c>
      <c r="E89" s="136">
        <f t="shared" si="26"/>
        <v>1080</v>
      </c>
      <c r="F89" s="136">
        <f t="shared" si="26"/>
        <v>0</v>
      </c>
      <c r="G89" s="136">
        <f t="shared" si="26"/>
        <v>390</v>
      </c>
      <c r="H89" s="324">
        <f t="shared" si="26"/>
        <v>2362</v>
      </c>
      <c r="I89" s="325">
        <f t="shared" si="26"/>
        <v>2793</v>
      </c>
      <c r="J89" s="326">
        <f t="shared" si="26"/>
        <v>1676</v>
      </c>
      <c r="K89" s="324">
        <f t="shared" si="26"/>
        <v>1668</v>
      </c>
      <c r="L89" s="324">
        <f t="shared" si="26"/>
        <v>856</v>
      </c>
      <c r="M89" s="324">
        <f t="shared" si="26"/>
        <v>1249</v>
      </c>
      <c r="N89" s="22">
        <f t="shared" si="26"/>
        <v>1283</v>
      </c>
      <c r="O89" s="138">
        <f t="shared" si="26"/>
        <v>1168</v>
      </c>
      <c r="P89" s="136">
        <f t="shared" si="26"/>
        <v>1136</v>
      </c>
      <c r="Q89" s="136">
        <f t="shared" si="26"/>
        <v>771</v>
      </c>
      <c r="R89" s="22">
        <f t="shared" si="26"/>
        <v>397</v>
      </c>
      <c r="S89" s="138">
        <f t="shared" si="26"/>
        <v>64</v>
      </c>
      <c r="T89" s="136">
        <f t="shared" si="26"/>
        <v>65</v>
      </c>
      <c r="U89" s="136">
        <f t="shared" si="26"/>
        <v>31</v>
      </c>
      <c r="V89" s="22">
        <f t="shared" si="26"/>
        <v>33</v>
      </c>
      <c r="W89" s="160"/>
      <c r="X89" s="70"/>
      <c r="Y89" s="70"/>
      <c r="Z89" s="70"/>
      <c r="AA89" s="214"/>
      <c r="AB89" s="70"/>
      <c r="AC89" s="70"/>
      <c r="AD89" s="70"/>
      <c r="AE89" s="70"/>
      <c r="AF89" s="70"/>
      <c r="AG89" s="70"/>
      <c r="AH89" s="70"/>
      <c r="AI89" s="70"/>
    </row>
    <row r="90" spans="1:35" s="33" customFormat="1" ht="19.5" customHeight="1">
      <c r="A90" s="276" t="s">
        <v>106</v>
      </c>
      <c r="B90" s="146">
        <v>23</v>
      </c>
      <c r="C90" s="148">
        <v>23</v>
      </c>
      <c r="D90" s="148">
        <v>267</v>
      </c>
      <c r="E90" s="148">
        <v>0</v>
      </c>
      <c r="F90" s="148">
        <v>0</v>
      </c>
      <c r="G90" s="148">
        <v>0</v>
      </c>
      <c r="H90" s="327">
        <v>91</v>
      </c>
      <c r="I90" s="328">
        <f aca="true" t="shared" si="27" ref="I90:I98">B90+D90-H90</f>
        <v>199</v>
      </c>
      <c r="J90" s="329">
        <f>45+196</f>
        <v>241</v>
      </c>
      <c r="K90" s="327">
        <v>241</v>
      </c>
      <c r="L90" s="327">
        <v>330</v>
      </c>
      <c r="M90" s="327">
        <v>370</v>
      </c>
      <c r="N90" s="59">
        <f aca="true" t="shared" si="28" ref="N90:N97">J90+L90-M90</f>
        <v>201</v>
      </c>
      <c r="O90" s="209">
        <v>76</v>
      </c>
      <c r="P90" s="210">
        <v>73</v>
      </c>
      <c r="Q90" s="210">
        <v>72</v>
      </c>
      <c r="R90" s="59">
        <f>O90-Q90</f>
        <v>4</v>
      </c>
      <c r="S90" s="146">
        <v>23</v>
      </c>
      <c r="T90" s="148">
        <v>23</v>
      </c>
      <c r="U90" s="148">
        <v>0</v>
      </c>
      <c r="V90" s="59">
        <f aca="true" t="shared" si="29" ref="V90:V97">S90-U90</f>
        <v>23</v>
      </c>
      <c r="W90" s="193"/>
      <c r="X90" s="150"/>
      <c r="Y90" s="150"/>
      <c r="Z90" s="150"/>
      <c r="AA90" s="150"/>
      <c r="AB90" s="150"/>
      <c r="AC90" s="150"/>
      <c r="AD90" s="150"/>
      <c r="AE90" s="150"/>
      <c r="AF90" s="150"/>
      <c r="AG90" s="150"/>
      <c r="AH90" s="150"/>
      <c r="AI90" s="150"/>
    </row>
    <row r="91" spans="1:35" s="33" customFormat="1" ht="19.5" customHeight="1">
      <c r="A91" s="198" t="s">
        <v>107</v>
      </c>
      <c r="B91" s="139">
        <v>229</v>
      </c>
      <c r="C91" s="141">
        <v>229</v>
      </c>
      <c r="D91" s="141">
        <v>158</v>
      </c>
      <c r="E91" s="141">
        <v>0</v>
      </c>
      <c r="F91" s="141">
        <v>0</v>
      </c>
      <c r="G91" s="141">
        <v>0</v>
      </c>
      <c r="H91" s="297">
        <v>80</v>
      </c>
      <c r="I91" s="299">
        <f t="shared" si="27"/>
        <v>307</v>
      </c>
      <c r="J91" s="295">
        <f>66+15</f>
        <v>81</v>
      </c>
      <c r="K91" s="297">
        <v>73</v>
      </c>
      <c r="L91" s="297">
        <v>2</v>
      </c>
      <c r="M91" s="297">
        <v>15</v>
      </c>
      <c r="N91" s="31">
        <f t="shared" si="28"/>
        <v>68</v>
      </c>
      <c r="O91" s="139">
        <v>252</v>
      </c>
      <c r="P91" s="141">
        <v>234</v>
      </c>
      <c r="Q91" s="141">
        <v>35</v>
      </c>
      <c r="R91" s="31">
        <f aca="true" t="shared" si="30" ref="R91:R98">O91-Q91</f>
        <v>217</v>
      </c>
      <c r="S91" s="139">
        <v>0</v>
      </c>
      <c r="T91" s="141">
        <v>0</v>
      </c>
      <c r="U91" s="141">
        <v>0</v>
      </c>
      <c r="V91" s="31">
        <f t="shared" si="29"/>
        <v>0</v>
      </c>
      <c r="W91" s="193"/>
      <c r="X91" s="150"/>
      <c r="Y91" s="150"/>
      <c r="Z91" s="150"/>
      <c r="AA91" s="150"/>
      <c r="AB91" s="150"/>
      <c r="AC91" s="150"/>
      <c r="AD91" s="150"/>
      <c r="AE91" s="150"/>
      <c r="AF91" s="150"/>
      <c r="AG91" s="150"/>
      <c r="AH91" s="150"/>
      <c r="AI91" s="150"/>
    </row>
    <row r="92" spans="1:35" s="33" customFormat="1" ht="19.5" customHeight="1">
      <c r="A92" s="121" t="s">
        <v>108</v>
      </c>
      <c r="B92" s="139">
        <v>666</v>
      </c>
      <c r="C92" s="141">
        <v>666</v>
      </c>
      <c r="D92" s="141">
        <v>392</v>
      </c>
      <c r="E92" s="141">
        <v>100</v>
      </c>
      <c r="F92" s="141">
        <v>0</v>
      </c>
      <c r="G92" s="141">
        <v>120</v>
      </c>
      <c r="H92" s="297">
        <f>100+120+86</f>
        <v>306</v>
      </c>
      <c r="I92" s="299">
        <f t="shared" si="27"/>
        <v>752</v>
      </c>
      <c r="J92" s="295">
        <v>340</v>
      </c>
      <c r="K92" s="297">
        <v>340</v>
      </c>
      <c r="L92" s="297">
        <v>107</v>
      </c>
      <c r="M92" s="297">
        <v>250</v>
      </c>
      <c r="N92" s="31">
        <f t="shared" si="28"/>
        <v>197</v>
      </c>
      <c r="O92" s="139">
        <f>36+55</f>
        <v>91</v>
      </c>
      <c r="P92" s="141">
        <f>31+55</f>
        <v>86</v>
      </c>
      <c r="Q92" s="141">
        <v>72</v>
      </c>
      <c r="R92" s="31">
        <f t="shared" si="30"/>
        <v>19</v>
      </c>
      <c r="S92" s="139">
        <f>21+2</f>
        <v>23</v>
      </c>
      <c r="T92" s="141">
        <v>23</v>
      </c>
      <c r="U92" s="141">
        <v>23</v>
      </c>
      <c r="V92" s="31">
        <f t="shared" si="29"/>
        <v>0</v>
      </c>
      <c r="W92" s="193"/>
      <c r="X92" s="150"/>
      <c r="Y92" s="150"/>
      <c r="Z92" s="150"/>
      <c r="AA92" s="150"/>
      <c r="AB92" s="150"/>
      <c r="AC92" s="150"/>
      <c r="AD92" s="150"/>
      <c r="AE92" s="150"/>
      <c r="AF92" s="150"/>
      <c r="AG92" s="150"/>
      <c r="AH92" s="150"/>
      <c r="AI92" s="150"/>
    </row>
    <row r="93" spans="1:35" s="33" customFormat="1" ht="19.5" customHeight="1">
      <c r="A93" s="198" t="s">
        <v>109</v>
      </c>
      <c r="B93" s="139">
        <v>396</v>
      </c>
      <c r="C93" s="141">
        <v>396</v>
      </c>
      <c r="D93" s="141">
        <v>332</v>
      </c>
      <c r="E93" s="141">
        <v>380</v>
      </c>
      <c r="F93" s="141">
        <v>0</v>
      </c>
      <c r="G93" s="141">
        <v>0</v>
      </c>
      <c r="H93" s="297">
        <f>380+158</f>
        <v>538</v>
      </c>
      <c r="I93" s="299">
        <f t="shared" si="27"/>
        <v>190</v>
      </c>
      <c r="J93" s="295">
        <v>63</v>
      </c>
      <c r="K93" s="297">
        <v>63</v>
      </c>
      <c r="L93" s="297">
        <v>201</v>
      </c>
      <c r="M93" s="297">
        <v>264</v>
      </c>
      <c r="N93" s="31">
        <f t="shared" si="28"/>
        <v>0</v>
      </c>
      <c r="O93" s="139">
        <f>65+69</f>
        <v>134</v>
      </c>
      <c r="P93" s="141">
        <v>134</v>
      </c>
      <c r="Q93" s="141">
        <v>134</v>
      </c>
      <c r="R93" s="31">
        <f t="shared" si="30"/>
        <v>0</v>
      </c>
      <c r="S93" s="139">
        <v>8</v>
      </c>
      <c r="T93" s="141">
        <v>8</v>
      </c>
      <c r="U93" s="141">
        <v>8</v>
      </c>
      <c r="V93" s="31">
        <f t="shared" si="29"/>
        <v>0</v>
      </c>
      <c r="W93" s="193"/>
      <c r="X93" s="150"/>
      <c r="Y93" s="150"/>
      <c r="Z93" s="150"/>
      <c r="AA93" s="150"/>
      <c r="AB93" s="150"/>
      <c r="AC93" s="150"/>
      <c r="AD93" s="150"/>
      <c r="AE93" s="150"/>
      <c r="AF93" s="150"/>
      <c r="AG93" s="150"/>
      <c r="AH93" s="150"/>
      <c r="AI93" s="150"/>
    </row>
    <row r="94" spans="1:35" s="33" customFormat="1" ht="19.5" customHeight="1">
      <c r="A94" s="154" t="s">
        <v>110</v>
      </c>
      <c r="B94" s="139">
        <v>338</v>
      </c>
      <c r="C94" s="141">
        <v>338</v>
      </c>
      <c r="D94" s="141">
        <v>368</v>
      </c>
      <c r="E94" s="141">
        <v>0</v>
      </c>
      <c r="F94" s="141">
        <v>0</v>
      </c>
      <c r="G94" s="141">
        <v>270</v>
      </c>
      <c r="H94" s="141">
        <f>270+163</f>
        <v>433</v>
      </c>
      <c r="I94" s="31">
        <f t="shared" si="27"/>
        <v>273</v>
      </c>
      <c r="J94" s="139">
        <v>150</v>
      </c>
      <c r="K94" s="141">
        <v>150</v>
      </c>
      <c r="L94" s="141">
        <v>1</v>
      </c>
      <c r="M94" s="141">
        <v>0</v>
      </c>
      <c r="N94" s="31">
        <f t="shared" si="28"/>
        <v>151</v>
      </c>
      <c r="O94" s="139">
        <f>133+60</f>
        <v>193</v>
      </c>
      <c r="P94" s="141">
        <v>193</v>
      </c>
      <c r="Q94" s="141">
        <v>191</v>
      </c>
      <c r="R94" s="31">
        <f t="shared" si="30"/>
        <v>2</v>
      </c>
      <c r="S94" s="139">
        <v>2</v>
      </c>
      <c r="T94" s="141">
        <v>2</v>
      </c>
      <c r="U94" s="141">
        <v>0</v>
      </c>
      <c r="V94" s="31">
        <f t="shared" si="29"/>
        <v>2</v>
      </c>
      <c r="W94" s="193"/>
      <c r="X94" s="150"/>
      <c r="Y94" s="150"/>
      <c r="Z94" s="150"/>
      <c r="AA94" s="150"/>
      <c r="AB94" s="150"/>
      <c r="AC94" s="150"/>
      <c r="AD94" s="150"/>
      <c r="AE94" s="150"/>
      <c r="AF94" s="150"/>
      <c r="AG94" s="150"/>
      <c r="AH94" s="150"/>
      <c r="AI94" s="150"/>
    </row>
    <row r="95" spans="1:35" s="33" customFormat="1" ht="19.5" customHeight="1">
      <c r="A95" s="198" t="s">
        <v>111</v>
      </c>
      <c r="B95" s="139">
        <v>351</v>
      </c>
      <c r="C95" s="141">
        <v>351</v>
      </c>
      <c r="D95" s="141">
        <v>64</v>
      </c>
      <c r="E95" s="141">
        <v>0</v>
      </c>
      <c r="F95" s="141">
        <v>0</v>
      </c>
      <c r="G95" s="141">
        <v>0</v>
      </c>
      <c r="H95" s="141">
        <v>15</v>
      </c>
      <c r="I95" s="31">
        <f t="shared" si="27"/>
        <v>400</v>
      </c>
      <c r="J95" s="139">
        <v>292</v>
      </c>
      <c r="K95" s="141">
        <v>292</v>
      </c>
      <c r="L95" s="141">
        <v>3</v>
      </c>
      <c r="M95" s="141">
        <v>50</v>
      </c>
      <c r="N95" s="31">
        <f t="shared" si="28"/>
        <v>245</v>
      </c>
      <c r="O95" s="139">
        <f>26+26</f>
        <v>52</v>
      </c>
      <c r="P95" s="141">
        <v>52</v>
      </c>
      <c r="Q95" s="141">
        <v>45</v>
      </c>
      <c r="R95" s="31">
        <f t="shared" si="30"/>
        <v>7</v>
      </c>
      <c r="S95" s="139">
        <v>0</v>
      </c>
      <c r="T95" s="141">
        <v>0</v>
      </c>
      <c r="U95" s="141">
        <v>0</v>
      </c>
      <c r="V95" s="31">
        <f t="shared" si="29"/>
        <v>0</v>
      </c>
      <c r="W95" s="193"/>
      <c r="X95" s="150"/>
      <c r="Y95" s="150"/>
      <c r="Z95" s="150"/>
      <c r="AA95" s="150"/>
      <c r="AB95" s="150"/>
      <c r="AC95" s="150"/>
      <c r="AD95" s="150"/>
      <c r="AE95" s="150"/>
      <c r="AF95" s="150"/>
      <c r="AG95" s="150"/>
      <c r="AH95" s="150"/>
      <c r="AI95" s="150"/>
    </row>
    <row r="96" spans="1:35" s="33" customFormat="1" ht="19.5" customHeight="1">
      <c r="A96" s="153" t="s">
        <v>112</v>
      </c>
      <c r="B96" s="139">
        <v>318</v>
      </c>
      <c r="C96" s="141">
        <v>318</v>
      </c>
      <c r="D96" s="141">
        <v>267</v>
      </c>
      <c r="E96" s="141">
        <v>0</v>
      </c>
      <c r="F96" s="141">
        <v>0</v>
      </c>
      <c r="G96" s="141">
        <v>0</v>
      </c>
      <c r="H96" s="141">
        <v>125</v>
      </c>
      <c r="I96" s="31">
        <f t="shared" si="27"/>
        <v>460</v>
      </c>
      <c r="J96" s="139">
        <v>210</v>
      </c>
      <c r="K96" s="141">
        <v>210</v>
      </c>
      <c r="L96" s="141">
        <v>85</v>
      </c>
      <c r="M96" s="141">
        <v>50</v>
      </c>
      <c r="N96" s="31">
        <f t="shared" si="28"/>
        <v>245</v>
      </c>
      <c r="O96" s="139">
        <f>170+43</f>
        <v>213</v>
      </c>
      <c r="P96" s="141">
        <v>213</v>
      </c>
      <c r="Q96" s="141">
        <v>100</v>
      </c>
      <c r="R96" s="31">
        <f t="shared" si="30"/>
        <v>113</v>
      </c>
      <c r="S96" s="139">
        <v>8</v>
      </c>
      <c r="T96" s="141">
        <v>9</v>
      </c>
      <c r="U96" s="141">
        <v>0</v>
      </c>
      <c r="V96" s="31">
        <f t="shared" si="29"/>
        <v>8</v>
      </c>
      <c r="W96" s="193"/>
      <c r="X96" s="150"/>
      <c r="Y96" s="150"/>
      <c r="Z96" s="150"/>
      <c r="AA96" s="150"/>
      <c r="AB96" s="150"/>
      <c r="AC96" s="150"/>
      <c r="AD96" s="150"/>
      <c r="AE96" s="150"/>
      <c r="AF96" s="150"/>
      <c r="AG96" s="150"/>
      <c r="AH96" s="150"/>
      <c r="AI96" s="150"/>
    </row>
    <row r="97" spans="1:35" s="33" customFormat="1" ht="19.5" customHeight="1">
      <c r="A97" s="198" t="s">
        <v>202</v>
      </c>
      <c r="B97" s="139">
        <v>87</v>
      </c>
      <c r="C97" s="141">
        <v>87</v>
      </c>
      <c r="D97" s="141">
        <v>638</v>
      </c>
      <c r="E97" s="141">
        <v>600</v>
      </c>
      <c r="F97" s="141">
        <v>0</v>
      </c>
      <c r="G97" s="141">
        <v>0</v>
      </c>
      <c r="H97" s="141">
        <f>600+101</f>
        <v>701</v>
      </c>
      <c r="I97" s="31">
        <f t="shared" si="27"/>
        <v>24</v>
      </c>
      <c r="J97" s="139">
        <v>70</v>
      </c>
      <c r="K97" s="141">
        <v>70</v>
      </c>
      <c r="L97" s="141">
        <v>70</v>
      </c>
      <c r="M97" s="141">
        <v>70</v>
      </c>
      <c r="N97" s="31">
        <f t="shared" si="28"/>
        <v>70</v>
      </c>
      <c r="O97" s="139">
        <f>38+29</f>
        <v>67</v>
      </c>
      <c r="P97" s="141">
        <v>67</v>
      </c>
      <c r="Q97" s="141">
        <v>44</v>
      </c>
      <c r="R97" s="31">
        <f t="shared" si="30"/>
        <v>23</v>
      </c>
      <c r="S97" s="139">
        <v>0</v>
      </c>
      <c r="T97" s="141">
        <v>0</v>
      </c>
      <c r="U97" s="141">
        <v>0</v>
      </c>
      <c r="V97" s="31">
        <f t="shared" si="29"/>
        <v>0</v>
      </c>
      <c r="W97" s="193"/>
      <c r="X97" s="150"/>
      <c r="Y97" s="150"/>
      <c r="Z97" s="150"/>
      <c r="AA97" s="150"/>
      <c r="AB97" s="150"/>
      <c r="AC97" s="150"/>
      <c r="AD97" s="150"/>
      <c r="AE97" s="150"/>
      <c r="AF97" s="150"/>
      <c r="AG97" s="150"/>
      <c r="AH97" s="150"/>
      <c r="AI97" s="150"/>
    </row>
    <row r="98" spans="1:35" s="33" customFormat="1" ht="19.5" customHeight="1" thickBot="1">
      <c r="A98" s="215" t="s">
        <v>114</v>
      </c>
      <c r="B98" s="167">
        <v>86</v>
      </c>
      <c r="C98" s="168">
        <v>86</v>
      </c>
      <c r="D98" s="168">
        <v>175</v>
      </c>
      <c r="E98" s="168">
        <v>0</v>
      </c>
      <c r="F98" s="168">
        <v>0</v>
      </c>
      <c r="G98" s="168">
        <v>0</v>
      </c>
      <c r="H98" s="168">
        <v>73</v>
      </c>
      <c r="I98" s="55">
        <f t="shared" si="27"/>
        <v>188</v>
      </c>
      <c r="J98" s="167">
        <f>122+107</f>
        <v>229</v>
      </c>
      <c r="K98" s="168">
        <v>229</v>
      </c>
      <c r="L98" s="168">
        <v>57</v>
      </c>
      <c r="M98" s="168">
        <v>180</v>
      </c>
      <c r="N98" s="55">
        <f>J98+L98-M98</f>
        <v>106</v>
      </c>
      <c r="O98" s="277">
        <f>47+43</f>
        <v>90</v>
      </c>
      <c r="P98" s="278">
        <f>41+43</f>
        <v>84</v>
      </c>
      <c r="Q98" s="278">
        <v>78</v>
      </c>
      <c r="R98" s="55">
        <f t="shared" si="30"/>
        <v>12</v>
      </c>
      <c r="S98" s="167">
        <v>0</v>
      </c>
      <c r="T98" s="168">
        <v>0</v>
      </c>
      <c r="U98" s="168">
        <v>0</v>
      </c>
      <c r="V98" s="55">
        <f>S98-U98</f>
        <v>0</v>
      </c>
      <c r="W98" s="211"/>
      <c r="X98" s="150"/>
      <c r="Y98" s="150"/>
      <c r="Z98" s="150"/>
      <c r="AA98" s="150"/>
      <c r="AB98" s="150"/>
      <c r="AC98" s="150"/>
      <c r="AD98" s="150"/>
      <c r="AE98" s="150"/>
      <c r="AF98" s="150"/>
      <c r="AG98" s="150"/>
      <c r="AH98" s="150"/>
      <c r="AI98" s="150"/>
    </row>
    <row r="99" spans="1:35" s="33" customFormat="1" ht="12.75">
      <c r="A99" s="201"/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70"/>
      <c r="U99" s="170"/>
      <c r="V99" s="170"/>
      <c r="W99" s="212"/>
      <c r="X99" s="150"/>
      <c r="Y99" s="150"/>
      <c r="Z99" s="150"/>
      <c r="AA99" s="150"/>
      <c r="AB99" s="150"/>
      <c r="AC99" s="150"/>
      <c r="AD99" s="150"/>
      <c r="AE99" s="150"/>
      <c r="AF99" s="150"/>
      <c r="AG99" s="150"/>
      <c r="AH99" s="150"/>
      <c r="AI99" s="150"/>
    </row>
  </sheetData>
  <sheetProtection/>
  <mergeCells count="25">
    <mergeCell ref="E7:E8"/>
    <mergeCell ref="F7:F8"/>
    <mergeCell ref="G7:G8"/>
    <mergeCell ref="H7:H8"/>
    <mergeCell ref="L6:L8"/>
    <mergeCell ref="J6:J8"/>
    <mergeCell ref="K6:K8"/>
    <mergeCell ref="M6:M8"/>
    <mergeCell ref="O6:O8"/>
    <mergeCell ref="Q6:Q8"/>
    <mergeCell ref="V6:V8"/>
    <mergeCell ref="P6:P8"/>
    <mergeCell ref="R6:R8"/>
    <mergeCell ref="T6:T8"/>
    <mergeCell ref="U6:U8"/>
    <mergeCell ref="A3:V3"/>
    <mergeCell ref="A5:A8"/>
    <mergeCell ref="O5:R5"/>
    <mergeCell ref="S5:V5"/>
    <mergeCell ref="B6:B8"/>
    <mergeCell ref="C6:C8"/>
    <mergeCell ref="S6:S8"/>
    <mergeCell ref="D6:D8"/>
    <mergeCell ref="N6:N8"/>
    <mergeCell ref="I6:I8"/>
  </mergeCells>
  <printOptions horizontalCentered="1"/>
  <pageMargins left="0.2755905511811024" right="0.2755905511811024" top="0.5905511811023623" bottom="0.5905511811023623" header="0.11811023622047245" footer="0.11811023622047245"/>
  <pageSetup firstPageNumber="1" useFirstPageNumber="1" fitToHeight="3" fitToWidth="1" horizontalDpi="600" verticalDpi="600" orientation="landscape" paperSize="9" scale="6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12"/>
  <sheetViews>
    <sheetView showGridLines="0" view="pageLayout" workbookViewId="0" topLeftCell="F1">
      <selection activeCell="S2" sqref="S2:V2"/>
    </sheetView>
  </sheetViews>
  <sheetFormatPr defaultColWidth="9.00390625" defaultRowHeight="12.75"/>
  <cols>
    <col min="1" max="1" width="50.75390625" style="7" customWidth="1"/>
    <col min="2" max="6" width="7.25390625" style="7" customWidth="1"/>
    <col min="7" max="7" width="16.625" style="7" customWidth="1"/>
    <col min="8" max="19" width="7.25390625" style="7" customWidth="1"/>
    <col min="20" max="20" width="3.375" style="7" customWidth="1"/>
    <col min="21" max="21" width="7.25390625" style="7" hidden="1" customWidth="1"/>
    <col min="22" max="22" width="9.375" style="7" customWidth="1"/>
    <col min="23" max="16384" width="9.125" style="7" customWidth="1"/>
  </cols>
  <sheetData>
    <row r="1" spans="18:23" ht="12.75">
      <c r="R1" s="331"/>
      <c r="S1" s="331" t="s">
        <v>203</v>
      </c>
      <c r="T1" s="331"/>
      <c r="U1" s="331"/>
      <c r="V1" s="331"/>
      <c r="W1" s="70"/>
    </row>
    <row r="2" spans="18:22" ht="15">
      <c r="R2" s="330"/>
      <c r="S2" s="410" t="s">
        <v>204</v>
      </c>
      <c r="T2" s="411"/>
      <c r="U2" s="411"/>
      <c r="V2" s="411"/>
    </row>
    <row r="3" spans="1:22" ht="18.75" thickBot="1">
      <c r="A3" s="412" t="s">
        <v>118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</row>
    <row r="4" spans="1:22" ht="22.5">
      <c r="A4" s="382" t="s">
        <v>3</v>
      </c>
      <c r="B4" s="119" t="s">
        <v>62</v>
      </c>
      <c r="C4" s="119"/>
      <c r="D4" s="119"/>
      <c r="E4" s="119"/>
      <c r="F4" s="119"/>
      <c r="G4" s="120"/>
      <c r="H4" s="13" t="s">
        <v>25</v>
      </c>
      <c r="I4" s="414" t="s">
        <v>61</v>
      </c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6"/>
      <c r="V4" s="14" t="s">
        <v>25</v>
      </c>
    </row>
    <row r="5" spans="1:22" ht="13.5" thickBot="1">
      <c r="A5" s="413"/>
      <c r="B5" s="15" t="s">
        <v>46</v>
      </c>
      <c r="C5" s="15"/>
      <c r="D5" s="15"/>
      <c r="E5" s="15"/>
      <c r="F5" s="15"/>
      <c r="G5" s="16"/>
      <c r="H5" s="17" t="s">
        <v>47</v>
      </c>
      <c r="I5" s="417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9"/>
      <c r="V5" s="18" t="s">
        <v>48</v>
      </c>
    </row>
    <row r="6" spans="1:22" s="260" customFormat="1" ht="17.25" customHeight="1" thickBot="1">
      <c r="A6" s="135" t="s">
        <v>117</v>
      </c>
      <c r="B6" s="270"/>
      <c r="C6" s="271"/>
      <c r="D6" s="271"/>
      <c r="E6" s="271"/>
      <c r="F6" s="271"/>
      <c r="G6" s="271"/>
      <c r="H6" s="272">
        <f>H7+H22+H39+H65+H86+H88+H92+H98+H100+H102</f>
        <v>21678</v>
      </c>
      <c r="I6" s="273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2">
        <f>V7+V22+V39+V65+V86+V88+V92+V98+V100+V102</f>
        <v>31689</v>
      </c>
    </row>
    <row r="7" spans="1:22" ht="13.5" thickBot="1">
      <c r="A7" s="265" t="s">
        <v>199</v>
      </c>
      <c r="B7" s="266"/>
      <c r="C7" s="267"/>
      <c r="D7" s="267"/>
      <c r="E7" s="267"/>
      <c r="F7" s="267"/>
      <c r="G7" s="267"/>
      <c r="H7" s="268">
        <f>SUM(H8:H21)</f>
        <v>0</v>
      </c>
      <c r="I7" s="269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8">
        <f>SUM(V8:V21)</f>
        <v>141</v>
      </c>
    </row>
    <row r="8" spans="1:22" ht="12.75">
      <c r="A8" s="121" t="s">
        <v>78</v>
      </c>
      <c r="B8" s="25"/>
      <c r="C8" s="26"/>
      <c r="D8" s="26"/>
      <c r="E8" s="26"/>
      <c r="F8" s="26"/>
      <c r="G8" s="26"/>
      <c r="H8" s="27">
        <v>0</v>
      </c>
      <c r="I8" s="2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8">
        <v>0</v>
      </c>
    </row>
    <row r="9" spans="1:22" ht="12.75">
      <c r="A9" s="121" t="s">
        <v>87</v>
      </c>
      <c r="B9" s="25"/>
      <c r="C9" s="26"/>
      <c r="D9" s="26"/>
      <c r="E9" s="26"/>
      <c r="F9" s="26"/>
      <c r="G9" s="26"/>
      <c r="H9" s="27">
        <v>0</v>
      </c>
      <c r="I9" s="29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8">
        <v>0</v>
      </c>
    </row>
    <row r="10" spans="1:22" ht="12.75">
      <c r="A10" s="144" t="s">
        <v>37</v>
      </c>
      <c r="B10" s="25"/>
      <c r="C10" s="26"/>
      <c r="D10" s="26"/>
      <c r="E10" s="26"/>
      <c r="F10" s="26"/>
      <c r="G10" s="26"/>
      <c r="H10" s="27">
        <v>0</v>
      </c>
      <c r="I10" s="29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8">
        <v>0</v>
      </c>
    </row>
    <row r="11" spans="1:22" s="33" customFormat="1" ht="12.75">
      <c r="A11" s="121" t="s">
        <v>79</v>
      </c>
      <c r="B11" s="29"/>
      <c r="C11" s="30"/>
      <c r="D11" s="30"/>
      <c r="E11" s="30"/>
      <c r="F11" s="30"/>
      <c r="G11" s="30"/>
      <c r="H11" s="31">
        <v>0</v>
      </c>
      <c r="I11" s="29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2">
        <v>0</v>
      </c>
    </row>
    <row r="12" spans="1:22" ht="12.75">
      <c r="A12" s="121" t="s">
        <v>42</v>
      </c>
      <c r="B12" s="25"/>
      <c r="C12" s="26"/>
      <c r="D12" s="26"/>
      <c r="E12" s="26"/>
      <c r="F12" s="26"/>
      <c r="G12" s="26"/>
      <c r="H12" s="27">
        <v>0</v>
      </c>
      <c r="I12" s="25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8">
        <v>0</v>
      </c>
    </row>
    <row r="13" spans="1:22" ht="12.75">
      <c r="A13" s="121" t="s">
        <v>80</v>
      </c>
      <c r="B13" s="25"/>
      <c r="C13" s="26"/>
      <c r="D13" s="26"/>
      <c r="E13" s="26"/>
      <c r="F13" s="26"/>
      <c r="G13" s="26"/>
      <c r="H13" s="27">
        <v>0</v>
      </c>
      <c r="I13" s="25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8">
        <v>0</v>
      </c>
    </row>
    <row r="14" spans="1:22" s="33" customFormat="1" ht="12.75">
      <c r="A14" s="121" t="s">
        <v>127</v>
      </c>
      <c r="B14" s="29"/>
      <c r="C14" s="30"/>
      <c r="D14" s="30"/>
      <c r="E14" s="30"/>
      <c r="F14" s="30"/>
      <c r="G14" s="30"/>
      <c r="H14" s="31">
        <v>0</v>
      </c>
      <c r="I14" s="29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2">
        <v>0</v>
      </c>
    </row>
    <row r="15" spans="1:22" s="33" customFormat="1" ht="12.75">
      <c r="A15" s="121" t="s">
        <v>85</v>
      </c>
      <c r="B15" s="29"/>
      <c r="C15" s="35"/>
      <c r="D15" s="30"/>
      <c r="E15" s="30"/>
      <c r="F15" s="30"/>
      <c r="G15" s="30"/>
      <c r="H15" s="31">
        <v>0</v>
      </c>
      <c r="I15" s="29" t="s">
        <v>145</v>
      </c>
      <c r="J15" s="30"/>
      <c r="K15" s="30"/>
      <c r="L15" s="30"/>
      <c r="M15" s="30"/>
      <c r="N15" s="30"/>
      <c r="O15" s="36"/>
      <c r="P15" s="36"/>
      <c r="Q15" s="36"/>
      <c r="R15" s="36"/>
      <c r="S15" s="36"/>
      <c r="T15" s="36"/>
      <c r="U15" s="30"/>
      <c r="V15" s="32">
        <v>71</v>
      </c>
    </row>
    <row r="16" spans="1:22" ht="12.75">
      <c r="A16" s="121" t="s">
        <v>86</v>
      </c>
      <c r="B16" s="25"/>
      <c r="C16" s="26"/>
      <c r="D16" s="26"/>
      <c r="E16" s="26"/>
      <c r="F16" s="26"/>
      <c r="G16" s="26"/>
      <c r="H16" s="27">
        <v>0</v>
      </c>
      <c r="I16" s="29" t="s">
        <v>146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8">
        <v>70</v>
      </c>
    </row>
    <row r="17" spans="1:22" ht="12.75">
      <c r="A17" s="121" t="s">
        <v>116</v>
      </c>
      <c r="B17" s="29"/>
      <c r="C17" s="26"/>
      <c r="D17" s="26"/>
      <c r="E17" s="26"/>
      <c r="F17" s="26"/>
      <c r="G17" s="26"/>
      <c r="H17" s="27">
        <v>0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8">
        <v>0</v>
      </c>
    </row>
    <row r="18" spans="1:22" ht="12.75">
      <c r="A18" s="121" t="s">
        <v>81</v>
      </c>
      <c r="B18" s="25"/>
      <c r="C18" s="26"/>
      <c r="D18" s="26"/>
      <c r="E18" s="26"/>
      <c r="F18" s="26"/>
      <c r="G18" s="26"/>
      <c r="H18" s="27">
        <v>0</v>
      </c>
      <c r="I18" s="43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8">
        <v>0</v>
      </c>
    </row>
    <row r="19" spans="1:22" ht="12.75">
      <c r="A19" s="121" t="s">
        <v>82</v>
      </c>
      <c r="B19" s="25"/>
      <c r="C19" s="26"/>
      <c r="D19" s="26"/>
      <c r="E19" s="26"/>
      <c r="F19" s="26"/>
      <c r="G19" s="26"/>
      <c r="H19" s="27">
        <v>0</v>
      </c>
      <c r="I19" s="25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8">
        <v>0</v>
      </c>
    </row>
    <row r="20" spans="1:22" ht="12.75">
      <c r="A20" s="121" t="s">
        <v>83</v>
      </c>
      <c r="B20" s="37"/>
      <c r="C20" s="38"/>
      <c r="D20" s="38"/>
      <c r="E20" s="38"/>
      <c r="F20" s="38"/>
      <c r="G20" s="38"/>
      <c r="H20" s="39">
        <v>0</v>
      </c>
      <c r="I20" s="40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41">
        <v>0</v>
      </c>
    </row>
    <row r="21" spans="1:22" ht="13.5" thickBot="1">
      <c r="A21" s="151" t="s">
        <v>84</v>
      </c>
      <c r="B21" s="43"/>
      <c r="C21" s="26"/>
      <c r="D21" s="26"/>
      <c r="E21" s="26"/>
      <c r="F21" s="26"/>
      <c r="G21" s="26"/>
      <c r="H21" s="27">
        <v>0</v>
      </c>
      <c r="I21" s="43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31">
        <v>0</v>
      </c>
    </row>
    <row r="22" spans="1:22" ht="13.5" thickBot="1">
      <c r="A22" s="44" t="s">
        <v>205</v>
      </c>
      <c r="B22" s="20"/>
      <c r="C22" s="21"/>
      <c r="D22" s="21"/>
      <c r="E22" s="21"/>
      <c r="F22" s="21"/>
      <c r="G22" s="21"/>
      <c r="H22" s="22">
        <f>SUM(H23:H38)</f>
        <v>3277</v>
      </c>
      <c r="I22" s="20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2">
        <f>SUM(V23:V38)</f>
        <v>1657</v>
      </c>
    </row>
    <row r="23" spans="1:22" s="33" customFormat="1" ht="15" customHeight="1">
      <c r="A23" s="42" t="s">
        <v>49</v>
      </c>
      <c r="B23" s="420" t="s">
        <v>0</v>
      </c>
      <c r="C23" s="421"/>
      <c r="D23" s="421"/>
      <c r="E23" s="421"/>
      <c r="F23" s="421"/>
      <c r="G23" s="422"/>
      <c r="H23" s="45">
        <v>80</v>
      </c>
      <c r="I23" s="420" t="s">
        <v>1</v>
      </c>
      <c r="J23" s="421"/>
      <c r="K23" s="421"/>
      <c r="L23" s="421"/>
      <c r="M23" s="421"/>
      <c r="N23" s="421"/>
      <c r="O23" s="421"/>
      <c r="P23" s="421"/>
      <c r="Q23" s="421"/>
      <c r="R23" s="421"/>
      <c r="S23" s="421"/>
      <c r="T23" s="421"/>
      <c r="U23" s="422"/>
      <c r="V23" s="46">
        <v>160</v>
      </c>
    </row>
    <row r="24" spans="1:22" s="33" customFormat="1" ht="17.25" customHeight="1">
      <c r="A24" s="24" t="s">
        <v>4</v>
      </c>
      <c r="B24" s="423" t="s">
        <v>136</v>
      </c>
      <c r="C24" s="424"/>
      <c r="D24" s="424"/>
      <c r="E24" s="424"/>
      <c r="F24" s="424"/>
      <c r="G24" s="425"/>
      <c r="H24" s="31">
        <v>380</v>
      </c>
      <c r="I24" s="426" t="s">
        <v>135</v>
      </c>
      <c r="J24" s="427"/>
      <c r="K24" s="427"/>
      <c r="L24" s="427"/>
      <c r="M24" s="427"/>
      <c r="N24" s="427"/>
      <c r="O24" s="427"/>
      <c r="P24" s="427"/>
      <c r="Q24" s="427"/>
      <c r="R24" s="427"/>
      <c r="S24" s="427"/>
      <c r="T24" s="427"/>
      <c r="U24" s="428"/>
      <c r="V24" s="32">
        <f>57+120</f>
        <v>177</v>
      </c>
    </row>
    <row r="25" spans="1:22" s="33" customFormat="1" ht="58.5" customHeight="1">
      <c r="A25" s="47" t="s">
        <v>71</v>
      </c>
      <c r="B25" s="429" t="s">
        <v>161</v>
      </c>
      <c r="C25" s="430"/>
      <c r="D25" s="430"/>
      <c r="E25" s="430"/>
      <c r="F25" s="430"/>
      <c r="G25" s="431"/>
      <c r="H25" s="31">
        <f>200+200+150+50+150</f>
        <v>750</v>
      </c>
      <c r="I25" s="423" t="s">
        <v>154</v>
      </c>
      <c r="J25" s="424"/>
      <c r="K25" s="424"/>
      <c r="L25" s="424"/>
      <c r="M25" s="424"/>
      <c r="N25" s="424"/>
      <c r="O25" s="424"/>
      <c r="P25" s="424"/>
      <c r="Q25" s="424"/>
      <c r="R25" s="424"/>
      <c r="S25" s="424"/>
      <c r="T25" s="424"/>
      <c r="U25" s="425"/>
      <c r="V25" s="32">
        <f>60+130</f>
        <v>190</v>
      </c>
    </row>
    <row r="26" spans="1:22" s="33" customFormat="1" ht="45.75" customHeight="1">
      <c r="A26" s="24" t="s">
        <v>5</v>
      </c>
      <c r="B26" s="429" t="s">
        <v>197</v>
      </c>
      <c r="C26" s="430"/>
      <c r="D26" s="430"/>
      <c r="E26" s="430"/>
      <c r="F26" s="430"/>
      <c r="G26" s="431"/>
      <c r="H26" s="31">
        <f>100+50+50+50+100+150</f>
        <v>500</v>
      </c>
      <c r="I26" s="426" t="s">
        <v>193</v>
      </c>
      <c r="J26" s="427"/>
      <c r="K26" s="427"/>
      <c r="L26" s="427"/>
      <c r="M26" s="427"/>
      <c r="N26" s="427"/>
      <c r="O26" s="427"/>
      <c r="P26" s="427"/>
      <c r="Q26" s="427"/>
      <c r="R26" s="427"/>
      <c r="S26" s="427"/>
      <c r="T26" s="427"/>
      <c r="U26" s="428"/>
      <c r="V26" s="32">
        <f>150+100</f>
        <v>250</v>
      </c>
    </row>
    <row r="27" spans="1:22" s="33" customFormat="1" ht="15.75" customHeight="1">
      <c r="A27" s="24" t="s">
        <v>72</v>
      </c>
      <c r="B27" s="423"/>
      <c r="C27" s="424"/>
      <c r="D27" s="424"/>
      <c r="E27" s="424"/>
      <c r="F27" s="424"/>
      <c r="G27" s="425"/>
      <c r="H27" s="31">
        <v>0</v>
      </c>
      <c r="I27" s="423" t="s">
        <v>137</v>
      </c>
      <c r="J27" s="424"/>
      <c r="K27" s="424"/>
      <c r="L27" s="424"/>
      <c r="M27" s="424"/>
      <c r="N27" s="424"/>
      <c r="O27" s="424"/>
      <c r="P27" s="424"/>
      <c r="Q27" s="424"/>
      <c r="R27" s="424"/>
      <c r="S27" s="424"/>
      <c r="T27" s="424"/>
      <c r="U27" s="425"/>
      <c r="V27" s="32">
        <v>500</v>
      </c>
    </row>
    <row r="28" spans="1:22" s="33" customFormat="1" ht="21.75" customHeight="1">
      <c r="A28" s="275" t="s">
        <v>73</v>
      </c>
      <c r="B28" s="432" t="s">
        <v>138</v>
      </c>
      <c r="C28" s="433"/>
      <c r="D28" s="433"/>
      <c r="E28" s="433"/>
      <c r="F28" s="433"/>
      <c r="G28" s="434"/>
      <c r="H28" s="50">
        <v>160</v>
      </c>
      <c r="I28" s="435" t="s">
        <v>139</v>
      </c>
      <c r="J28" s="436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7"/>
      <c r="V28" s="50">
        <v>300</v>
      </c>
    </row>
    <row r="29" spans="1:22" s="33" customFormat="1" ht="15" customHeight="1">
      <c r="A29" s="24" t="s">
        <v>6</v>
      </c>
      <c r="B29" s="426"/>
      <c r="C29" s="427"/>
      <c r="D29" s="427"/>
      <c r="E29" s="427"/>
      <c r="F29" s="427"/>
      <c r="G29" s="428"/>
      <c r="H29" s="31">
        <v>0</v>
      </c>
      <c r="I29" s="423" t="s">
        <v>140</v>
      </c>
      <c r="J29" s="424"/>
      <c r="K29" s="424"/>
      <c r="L29" s="424"/>
      <c r="M29" s="424"/>
      <c r="N29" s="424"/>
      <c r="O29" s="424"/>
      <c r="P29" s="424"/>
      <c r="Q29" s="424"/>
      <c r="R29" s="424"/>
      <c r="S29" s="424"/>
      <c r="T29" s="424"/>
      <c r="U29" s="425"/>
      <c r="V29" s="32">
        <v>80</v>
      </c>
    </row>
    <row r="30" spans="1:22" s="33" customFormat="1" ht="17.25" customHeight="1">
      <c r="A30" s="49" t="s">
        <v>7</v>
      </c>
      <c r="B30" s="43" t="s">
        <v>141</v>
      </c>
      <c r="C30" s="30"/>
      <c r="D30" s="30"/>
      <c r="E30" s="30"/>
      <c r="F30" s="30"/>
      <c r="G30" s="30"/>
      <c r="H30" s="31">
        <v>250</v>
      </c>
      <c r="I30" s="426"/>
      <c r="J30" s="427"/>
      <c r="K30" s="427"/>
      <c r="L30" s="427"/>
      <c r="M30" s="427"/>
      <c r="N30" s="427"/>
      <c r="O30" s="427"/>
      <c r="P30" s="427"/>
      <c r="Q30" s="427"/>
      <c r="R30" s="427"/>
      <c r="S30" s="427"/>
      <c r="T30" s="427"/>
      <c r="U30" s="428"/>
      <c r="V30" s="32">
        <v>0</v>
      </c>
    </row>
    <row r="31" spans="1:22" s="33" customFormat="1" ht="22.5" customHeight="1">
      <c r="A31" s="438" t="s">
        <v>77</v>
      </c>
      <c r="B31" s="440" t="s">
        <v>2</v>
      </c>
      <c r="C31" s="441"/>
      <c r="D31" s="441"/>
      <c r="E31" s="441"/>
      <c r="F31" s="441"/>
      <c r="G31" s="442"/>
      <c r="H31" s="446">
        <f>80+259+30+40+130</f>
        <v>539</v>
      </c>
      <c r="I31" s="440"/>
      <c r="J31" s="441"/>
      <c r="K31" s="441"/>
      <c r="L31" s="441"/>
      <c r="M31" s="441"/>
      <c r="N31" s="441"/>
      <c r="O31" s="441"/>
      <c r="P31" s="441"/>
      <c r="Q31" s="441"/>
      <c r="R31" s="441"/>
      <c r="S31" s="441"/>
      <c r="T31" s="441"/>
      <c r="U31" s="442"/>
      <c r="V31" s="446">
        <v>0</v>
      </c>
    </row>
    <row r="32" spans="1:22" s="33" customFormat="1" ht="21" customHeight="1">
      <c r="A32" s="439"/>
      <c r="B32" s="443"/>
      <c r="C32" s="444"/>
      <c r="D32" s="444"/>
      <c r="E32" s="444"/>
      <c r="F32" s="444"/>
      <c r="G32" s="445"/>
      <c r="H32" s="447"/>
      <c r="I32" s="443"/>
      <c r="J32" s="444"/>
      <c r="K32" s="444"/>
      <c r="L32" s="444"/>
      <c r="M32" s="444"/>
      <c r="N32" s="444"/>
      <c r="O32" s="444"/>
      <c r="P32" s="444"/>
      <c r="Q32" s="444"/>
      <c r="R32" s="444"/>
      <c r="S32" s="444"/>
      <c r="T32" s="444"/>
      <c r="U32" s="445"/>
      <c r="V32" s="447"/>
    </row>
    <row r="33" spans="1:22" s="33" customFormat="1" ht="30.75" customHeight="1">
      <c r="A33" s="47" t="s">
        <v>8</v>
      </c>
      <c r="B33" s="440" t="s">
        <v>143</v>
      </c>
      <c r="C33" s="441"/>
      <c r="D33" s="441"/>
      <c r="E33" s="441"/>
      <c r="F33" s="441"/>
      <c r="G33" s="442"/>
      <c r="H33" s="31">
        <f>100+50+150</f>
        <v>300</v>
      </c>
      <c r="I33" s="29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1">
        <v>0</v>
      </c>
    </row>
    <row r="34" spans="1:22" s="76" customFormat="1" ht="66" customHeight="1">
      <c r="A34" s="124" t="s">
        <v>58</v>
      </c>
      <c r="B34" s="448" t="s">
        <v>162</v>
      </c>
      <c r="C34" s="449"/>
      <c r="D34" s="449"/>
      <c r="E34" s="449"/>
      <c r="F34" s="449"/>
      <c r="G34" s="450"/>
      <c r="H34" s="279">
        <f>13+10+50+30+105</f>
        <v>208</v>
      </c>
      <c r="I34" s="448"/>
      <c r="J34" s="449"/>
      <c r="K34" s="449"/>
      <c r="L34" s="449"/>
      <c r="M34" s="449"/>
      <c r="N34" s="449"/>
      <c r="O34" s="449"/>
      <c r="P34" s="449"/>
      <c r="Q34" s="449"/>
      <c r="R34" s="449"/>
      <c r="S34" s="449"/>
      <c r="T34" s="449"/>
      <c r="U34" s="450"/>
      <c r="V34" s="279">
        <v>0</v>
      </c>
    </row>
    <row r="35" spans="1:22" s="33" customFormat="1" ht="12.75" customHeight="1">
      <c r="A35" s="438" t="s">
        <v>76</v>
      </c>
      <c r="B35" s="440"/>
      <c r="C35" s="441"/>
      <c r="D35" s="441"/>
      <c r="E35" s="441"/>
      <c r="F35" s="441"/>
      <c r="G35" s="442"/>
      <c r="H35" s="446">
        <v>0</v>
      </c>
      <c r="I35" s="440"/>
      <c r="J35" s="441"/>
      <c r="K35" s="441"/>
      <c r="L35" s="441"/>
      <c r="M35" s="441"/>
      <c r="N35" s="441"/>
      <c r="O35" s="441"/>
      <c r="P35" s="441"/>
      <c r="Q35" s="441"/>
      <c r="R35" s="441"/>
      <c r="S35" s="441"/>
      <c r="T35" s="441"/>
      <c r="U35" s="442"/>
      <c r="V35" s="446">
        <v>0</v>
      </c>
    </row>
    <row r="36" spans="1:22" s="33" customFormat="1" ht="12.75" customHeight="1">
      <c r="A36" s="439"/>
      <c r="B36" s="443"/>
      <c r="C36" s="444"/>
      <c r="D36" s="444"/>
      <c r="E36" s="444"/>
      <c r="F36" s="444"/>
      <c r="G36" s="445"/>
      <c r="H36" s="447"/>
      <c r="I36" s="443"/>
      <c r="J36" s="444"/>
      <c r="K36" s="444"/>
      <c r="L36" s="444"/>
      <c r="M36" s="444"/>
      <c r="N36" s="444"/>
      <c r="O36" s="444"/>
      <c r="P36" s="444"/>
      <c r="Q36" s="444"/>
      <c r="R36" s="444"/>
      <c r="S36" s="444"/>
      <c r="T36" s="444"/>
      <c r="U36" s="445"/>
      <c r="V36" s="447"/>
    </row>
    <row r="37" spans="1:22" s="33" customFormat="1" ht="19.5" customHeight="1">
      <c r="A37" s="24" t="s">
        <v>27</v>
      </c>
      <c r="B37" s="440" t="s">
        <v>144</v>
      </c>
      <c r="C37" s="441"/>
      <c r="D37" s="441"/>
      <c r="E37" s="441"/>
      <c r="F37" s="441"/>
      <c r="G37" s="442"/>
      <c r="H37" s="31">
        <v>110</v>
      </c>
      <c r="I37" s="29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2">
        <v>0</v>
      </c>
    </row>
    <row r="38" spans="1:22" s="33" customFormat="1" ht="13.5" thickBot="1">
      <c r="A38" s="52" t="s">
        <v>28</v>
      </c>
      <c r="B38" s="53"/>
      <c r="C38" s="54"/>
      <c r="D38" s="54"/>
      <c r="E38" s="54"/>
      <c r="F38" s="54"/>
      <c r="G38" s="54"/>
      <c r="H38" s="55">
        <v>0</v>
      </c>
      <c r="I38" s="451"/>
      <c r="J38" s="452"/>
      <c r="K38" s="452"/>
      <c r="L38" s="452"/>
      <c r="M38" s="452"/>
      <c r="N38" s="452"/>
      <c r="O38" s="452"/>
      <c r="P38" s="452"/>
      <c r="Q38" s="452"/>
      <c r="R38" s="452"/>
      <c r="S38" s="452"/>
      <c r="T38" s="452"/>
      <c r="U38" s="453"/>
      <c r="V38" s="56">
        <v>0</v>
      </c>
    </row>
    <row r="39" spans="1:22" ht="13.5" thickBot="1">
      <c r="A39" s="19" t="s">
        <v>16</v>
      </c>
      <c r="B39" s="20"/>
      <c r="C39" s="21"/>
      <c r="D39" s="21"/>
      <c r="E39" s="21"/>
      <c r="F39" s="21"/>
      <c r="G39" s="21"/>
      <c r="H39" s="22">
        <f>SUM(H40:H64)</f>
        <v>7881</v>
      </c>
      <c r="I39" s="20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2">
        <f>SUM(I40+V40+V42+V43+V44+V45+V47+V49+V50+V51+V52+V53+V54+V55+V56+V57+V58+V59+V60+V61+V62+V63+V64)</f>
        <v>7717</v>
      </c>
    </row>
    <row r="40" spans="1:22" s="33" customFormat="1" ht="12.75">
      <c r="A40" s="454" t="s">
        <v>88</v>
      </c>
      <c r="B40" s="455" t="s">
        <v>163</v>
      </c>
      <c r="C40" s="456"/>
      <c r="D40" s="456"/>
      <c r="E40" s="456"/>
      <c r="F40" s="456"/>
      <c r="G40" s="457"/>
      <c r="H40" s="458">
        <v>500</v>
      </c>
      <c r="I40" s="460"/>
      <c r="J40" s="460"/>
      <c r="K40" s="460"/>
      <c r="L40" s="460"/>
      <c r="M40" s="460"/>
      <c r="N40" s="460"/>
      <c r="O40" s="460"/>
      <c r="P40" s="460"/>
      <c r="Q40" s="460"/>
      <c r="R40" s="460"/>
      <c r="S40" s="460"/>
      <c r="T40" s="460"/>
      <c r="U40" s="461"/>
      <c r="V40" s="464">
        <v>0</v>
      </c>
    </row>
    <row r="41" spans="1:22" s="33" customFormat="1" ht="7.5" customHeight="1">
      <c r="A41" s="439"/>
      <c r="B41" s="443"/>
      <c r="C41" s="444"/>
      <c r="D41" s="444"/>
      <c r="E41" s="444"/>
      <c r="F41" s="444"/>
      <c r="G41" s="445"/>
      <c r="H41" s="459"/>
      <c r="I41" s="462"/>
      <c r="J41" s="462"/>
      <c r="K41" s="462"/>
      <c r="L41" s="462"/>
      <c r="M41" s="462"/>
      <c r="N41" s="462"/>
      <c r="O41" s="462"/>
      <c r="P41" s="462"/>
      <c r="Q41" s="462"/>
      <c r="R41" s="462"/>
      <c r="S41" s="462"/>
      <c r="T41" s="462"/>
      <c r="U41" s="463"/>
      <c r="V41" s="465"/>
    </row>
    <row r="42" spans="1:22" s="33" customFormat="1" ht="22.5" customHeight="1">
      <c r="A42" s="42" t="s">
        <v>89</v>
      </c>
      <c r="B42" s="57" t="s">
        <v>155</v>
      </c>
      <c r="C42" s="58"/>
      <c r="D42" s="58"/>
      <c r="E42" s="58"/>
      <c r="F42" s="58"/>
      <c r="G42" s="58"/>
      <c r="H42" s="59">
        <v>140</v>
      </c>
      <c r="I42" s="280" t="s">
        <v>170</v>
      </c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1">
        <v>950</v>
      </c>
    </row>
    <row r="43" spans="1:22" s="33" customFormat="1" ht="18" customHeight="1">
      <c r="A43" s="24" t="s">
        <v>90</v>
      </c>
      <c r="B43" s="29"/>
      <c r="C43" s="35"/>
      <c r="D43" s="30"/>
      <c r="E43" s="30"/>
      <c r="F43" s="30"/>
      <c r="G43" s="30"/>
      <c r="H43" s="31">
        <v>0</v>
      </c>
      <c r="I43" s="57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2">
        <v>0</v>
      </c>
    </row>
    <row r="44" spans="1:22" s="33" customFormat="1" ht="23.25" customHeight="1">
      <c r="A44" s="49" t="s">
        <v>91</v>
      </c>
      <c r="B44" s="29"/>
      <c r="C44" s="30"/>
      <c r="D44" s="30"/>
      <c r="E44" s="30"/>
      <c r="F44" s="30"/>
      <c r="G44" s="30"/>
      <c r="H44" s="31">
        <v>0</v>
      </c>
      <c r="I44" s="29" t="s">
        <v>171</v>
      </c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50">
        <v>200</v>
      </c>
    </row>
    <row r="45" spans="1:22" s="33" customFormat="1" ht="12.75" customHeight="1">
      <c r="A45" s="466" t="s">
        <v>92</v>
      </c>
      <c r="B45" s="440" t="s">
        <v>164</v>
      </c>
      <c r="C45" s="467"/>
      <c r="D45" s="467"/>
      <c r="E45" s="467"/>
      <c r="F45" s="467"/>
      <c r="G45" s="468"/>
      <c r="H45" s="446">
        <v>380</v>
      </c>
      <c r="I45" s="440" t="s">
        <v>206</v>
      </c>
      <c r="J45" s="467"/>
      <c r="K45" s="467"/>
      <c r="L45" s="467"/>
      <c r="M45" s="467"/>
      <c r="N45" s="467"/>
      <c r="O45" s="467"/>
      <c r="P45" s="467"/>
      <c r="Q45" s="467"/>
      <c r="R45" s="467"/>
      <c r="S45" s="467"/>
      <c r="T45" s="467"/>
      <c r="U45" s="467"/>
      <c r="V45" s="472">
        <f>140+222+43+60+150</f>
        <v>615</v>
      </c>
    </row>
    <row r="46" spans="1:22" s="33" customFormat="1" ht="33.75" customHeight="1">
      <c r="A46" s="439"/>
      <c r="B46" s="469"/>
      <c r="C46" s="470"/>
      <c r="D46" s="470"/>
      <c r="E46" s="470"/>
      <c r="F46" s="470"/>
      <c r="G46" s="471"/>
      <c r="H46" s="447"/>
      <c r="I46" s="469"/>
      <c r="J46" s="470"/>
      <c r="K46" s="470"/>
      <c r="L46" s="470"/>
      <c r="M46" s="470"/>
      <c r="N46" s="470"/>
      <c r="O46" s="470"/>
      <c r="P46" s="470"/>
      <c r="Q46" s="470"/>
      <c r="R46" s="470"/>
      <c r="S46" s="470"/>
      <c r="T46" s="470"/>
      <c r="U46" s="470"/>
      <c r="V46" s="459"/>
    </row>
    <row r="47" spans="1:22" s="33" customFormat="1" ht="3" customHeight="1">
      <c r="A47" s="473" t="s">
        <v>93</v>
      </c>
      <c r="B47" s="440" t="s">
        <v>165</v>
      </c>
      <c r="C47" s="441"/>
      <c r="D47" s="441"/>
      <c r="E47" s="441"/>
      <c r="F47" s="441"/>
      <c r="G47" s="442"/>
      <c r="H47" s="475">
        <v>780</v>
      </c>
      <c r="I47" s="477" t="s">
        <v>157</v>
      </c>
      <c r="J47" s="478"/>
      <c r="K47" s="478"/>
      <c r="L47" s="478"/>
      <c r="M47" s="478"/>
      <c r="N47" s="478"/>
      <c r="O47" s="478"/>
      <c r="P47" s="478"/>
      <c r="Q47" s="478"/>
      <c r="R47" s="478"/>
      <c r="S47" s="478"/>
      <c r="T47" s="478"/>
      <c r="U47" s="479"/>
      <c r="V47" s="446">
        <v>320</v>
      </c>
    </row>
    <row r="48" spans="1:22" s="33" customFormat="1" ht="36" customHeight="1">
      <c r="A48" s="474"/>
      <c r="B48" s="443"/>
      <c r="C48" s="444"/>
      <c r="D48" s="444"/>
      <c r="E48" s="444"/>
      <c r="F48" s="444"/>
      <c r="G48" s="445"/>
      <c r="H48" s="476"/>
      <c r="I48" s="480"/>
      <c r="J48" s="481"/>
      <c r="K48" s="481"/>
      <c r="L48" s="481"/>
      <c r="M48" s="481"/>
      <c r="N48" s="481"/>
      <c r="O48" s="481"/>
      <c r="P48" s="481"/>
      <c r="Q48" s="481"/>
      <c r="R48" s="481"/>
      <c r="S48" s="481"/>
      <c r="T48" s="481"/>
      <c r="U48" s="482"/>
      <c r="V48" s="465"/>
    </row>
    <row r="49" spans="1:22" s="33" customFormat="1" ht="18.75" customHeight="1">
      <c r="A49" s="24" t="s">
        <v>94</v>
      </c>
      <c r="B49" s="300" t="s">
        <v>156</v>
      </c>
      <c r="C49" s="301"/>
      <c r="D49" s="301"/>
      <c r="E49" s="301"/>
      <c r="F49" s="301"/>
      <c r="G49" s="301"/>
      <c r="H49" s="31">
        <v>160</v>
      </c>
      <c r="I49" s="29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2">
        <v>0</v>
      </c>
    </row>
    <row r="50" spans="1:22" ht="21" customHeight="1">
      <c r="A50" s="48" t="s">
        <v>40</v>
      </c>
      <c r="B50" s="483" t="s">
        <v>166</v>
      </c>
      <c r="C50" s="484"/>
      <c r="D50" s="484"/>
      <c r="E50" s="484"/>
      <c r="F50" s="484"/>
      <c r="G50" s="485"/>
      <c r="H50" s="61">
        <v>150</v>
      </c>
      <c r="I50" s="57" t="s">
        <v>158</v>
      </c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3">
        <v>230</v>
      </c>
    </row>
    <row r="51" spans="1:22" ht="8.25" customHeight="1">
      <c r="A51" s="438" t="s">
        <v>59</v>
      </c>
      <c r="B51" s="486" t="s">
        <v>167</v>
      </c>
      <c r="C51" s="487"/>
      <c r="D51" s="487"/>
      <c r="E51" s="487"/>
      <c r="F51" s="487"/>
      <c r="G51" s="488"/>
      <c r="H51" s="492">
        <v>350</v>
      </c>
      <c r="I51" s="432" t="s">
        <v>207</v>
      </c>
      <c r="J51" s="494"/>
      <c r="K51" s="494"/>
      <c r="L51" s="494"/>
      <c r="M51" s="494"/>
      <c r="N51" s="494"/>
      <c r="O51" s="494"/>
      <c r="P51" s="494"/>
      <c r="Q51" s="494"/>
      <c r="R51" s="494"/>
      <c r="S51" s="494"/>
      <c r="T51" s="494"/>
      <c r="U51" s="494"/>
      <c r="V51" s="492">
        <f>260+450+100+70</f>
        <v>880</v>
      </c>
    </row>
    <row r="52" spans="1:22" ht="29.25" customHeight="1">
      <c r="A52" s="439"/>
      <c r="B52" s="489"/>
      <c r="C52" s="490"/>
      <c r="D52" s="490"/>
      <c r="E52" s="490"/>
      <c r="F52" s="490"/>
      <c r="G52" s="491"/>
      <c r="H52" s="493"/>
      <c r="I52" s="495"/>
      <c r="J52" s="496"/>
      <c r="K52" s="496"/>
      <c r="L52" s="496"/>
      <c r="M52" s="496"/>
      <c r="N52" s="496"/>
      <c r="O52" s="496"/>
      <c r="P52" s="496"/>
      <c r="Q52" s="496"/>
      <c r="R52" s="496"/>
      <c r="S52" s="496"/>
      <c r="T52" s="496"/>
      <c r="U52" s="496"/>
      <c r="V52" s="493"/>
    </row>
    <row r="53" spans="1:22" s="281" customFormat="1" ht="12.75" customHeight="1">
      <c r="A53" s="497" t="s">
        <v>100</v>
      </c>
      <c r="B53" s="499" t="s">
        <v>168</v>
      </c>
      <c r="C53" s="500"/>
      <c r="D53" s="500"/>
      <c r="E53" s="500"/>
      <c r="F53" s="500"/>
      <c r="G53" s="501"/>
      <c r="H53" s="505">
        <v>700</v>
      </c>
      <c r="I53" s="507"/>
      <c r="J53" s="508"/>
      <c r="K53" s="508"/>
      <c r="L53" s="508"/>
      <c r="M53" s="508"/>
      <c r="N53" s="508"/>
      <c r="O53" s="508"/>
      <c r="P53" s="508"/>
      <c r="Q53" s="508"/>
      <c r="R53" s="508"/>
      <c r="S53" s="508"/>
      <c r="T53" s="508"/>
      <c r="U53" s="509"/>
      <c r="V53" s="513">
        <v>0</v>
      </c>
    </row>
    <row r="54" spans="1:22" s="281" customFormat="1" ht="12.75" customHeight="1">
      <c r="A54" s="498"/>
      <c r="B54" s="502"/>
      <c r="C54" s="503"/>
      <c r="D54" s="503"/>
      <c r="E54" s="503"/>
      <c r="F54" s="503"/>
      <c r="G54" s="504"/>
      <c r="H54" s="506"/>
      <c r="I54" s="510"/>
      <c r="J54" s="511"/>
      <c r="K54" s="511"/>
      <c r="L54" s="511"/>
      <c r="M54" s="511"/>
      <c r="N54" s="511"/>
      <c r="O54" s="511"/>
      <c r="P54" s="511"/>
      <c r="Q54" s="511"/>
      <c r="R54" s="511"/>
      <c r="S54" s="511"/>
      <c r="T54" s="511"/>
      <c r="U54" s="512"/>
      <c r="V54" s="514"/>
    </row>
    <row r="55" spans="1:22" s="281" customFormat="1" ht="72.75" customHeight="1">
      <c r="A55" s="283" t="s">
        <v>50</v>
      </c>
      <c r="B55" s="515" t="s">
        <v>169</v>
      </c>
      <c r="C55" s="516"/>
      <c r="D55" s="516"/>
      <c r="E55" s="516"/>
      <c r="F55" s="516"/>
      <c r="G55" s="516"/>
      <c r="H55" s="284">
        <f>1031+344+31+180+230+20+60</f>
        <v>1896</v>
      </c>
      <c r="I55" s="517" t="s">
        <v>192</v>
      </c>
      <c r="J55" s="517"/>
      <c r="K55" s="517"/>
      <c r="L55" s="517"/>
      <c r="M55" s="517"/>
      <c r="N55" s="517"/>
      <c r="O55" s="517"/>
      <c r="P55" s="517"/>
      <c r="Q55" s="517"/>
      <c r="R55" s="517"/>
      <c r="S55" s="517"/>
      <c r="T55" s="517"/>
      <c r="U55" s="518"/>
      <c r="V55" s="285">
        <v>1400</v>
      </c>
    </row>
    <row r="56" spans="1:22" s="33" customFormat="1" ht="6" customHeight="1">
      <c r="A56" s="438" t="s">
        <v>95</v>
      </c>
      <c r="B56" s="440" t="s">
        <v>175</v>
      </c>
      <c r="C56" s="467"/>
      <c r="D56" s="467"/>
      <c r="E56" s="467"/>
      <c r="F56" s="467"/>
      <c r="G56" s="468"/>
      <c r="H56" s="446">
        <f>1000+90+60+200+140+60+380+560+70+115</f>
        <v>2675</v>
      </c>
      <c r="I56" s="440" t="s">
        <v>176</v>
      </c>
      <c r="J56" s="441"/>
      <c r="K56" s="441"/>
      <c r="L56" s="441"/>
      <c r="M56" s="441"/>
      <c r="N56" s="441"/>
      <c r="O56" s="441"/>
      <c r="P56" s="441"/>
      <c r="Q56" s="441"/>
      <c r="R56" s="441"/>
      <c r="S56" s="441"/>
      <c r="T56" s="441"/>
      <c r="U56" s="442"/>
      <c r="V56" s="446">
        <f>500+45+180</f>
        <v>725</v>
      </c>
    </row>
    <row r="57" spans="1:22" s="33" customFormat="1" ht="118.5" customHeight="1">
      <c r="A57" s="439"/>
      <c r="B57" s="469"/>
      <c r="C57" s="470"/>
      <c r="D57" s="470"/>
      <c r="E57" s="470"/>
      <c r="F57" s="470"/>
      <c r="G57" s="471"/>
      <c r="H57" s="447"/>
      <c r="I57" s="443"/>
      <c r="J57" s="444"/>
      <c r="K57" s="444"/>
      <c r="L57" s="444"/>
      <c r="M57" s="444"/>
      <c r="N57" s="444"/>
      <c r="O57" s="444"/>
      <c r="P57" s="444"/>
      <c r="Q57" s="444"/>
      <c r="R57" s="444"/>
      <c r="S57" s="444"/>
      <c r="T57" s="444"/>
      <c r="U57" s="445"/>
      <c r="V57" s="465"/>
    </row>
    <row r="58" spans="1:22" ht="7.5" customHeight="1">
      <c r="A58" s="438" t="s">
        <v>96</v>
      </c>
      <c r="B58" s="519"/>
      <c r="C58" s="520"/>
      <c r="D58" s="520"/>
      <c r="E58" s="520"/>
      <c r="F58" s="520"/>
      <c r="G58" s="521"/>
      <c r="H58" s="525">
        <v>0</v>
      </c>
      <c r="I58" s="440" t="s">
        <v>177</v>
      </c>
      <c r="J58" s="441"/>
      <c r="K58" s="441"/>
      <c r="L58" s="441"/>
      <c r="M58" s="441"/>
      <c r="N58" s="441"/>
      <c r="O58" s="441"/>
      <c r="P58" s="441"/>
      <c r="Q58" s="441"/>
      <c r="R58" s="441"/>
      <c r="S58" s="441"/>
      <c r="T58" s="441"/>
      <c r="U58" s="442"/>
      <c r="V58" s="525">
        <f>57+140+280+110+130+180</f>
        <v>897</v>
      </c>
    </row>
    <row r="59" spans="1:22" ht="42.75" customHeight="1">
      <c r="A59" s="439"/>
      <c r="B59" s="522"/>
      <c r="C59" s="523"/>
      <c r="D59" s="523"/>
      <c r="E59" s="523"/>
      <c r="F59" s="523"/>
      <c r="G59" s="524"/>
      <c r="H59" s="526"/>
      <c r="I59" s="443"/>
      <c r="J59" s="444"/>
      <c r="K59" s="444"/>
      <c r="L59" s="444"/>
      <c r="M59" s="444"/>
      <c r="N59" s="444"/>
      <c r="O59" s="444"/>
      <c r="P59" s="444"/>
      <c r="Q59" s="444"/>
      <c r="R59" s="444"/>
      <c r="S59" s="444"/>
      <c r="T59" s="444"/>
      <c r="U59" s="445"/>
      <c r="V59" s="465"/>
    </row>
    <row r="60" spans="1:22" s="33" customFormat="1" ht="21.75" customHeight="1">
      <c r="A60" s="42" t="s">
        <v>97</v>
      </c>
      <c r="B60" s="527"/>
      <c r="C60" s="481"/>
      <c r="D60" s="481"/>
      <c r="E60" s="481"/>
      <c r="F60" s="481"/>
      <c r="G60" s="482"/>
      <c r="H60" s="59">
        <v>0</v>
      </c>
      <c r="I60" s="57" t="s">
        <v>172</v>
      </c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1">
        <v>550</v>
      </c>
    </row>
    <row r="61" spans="1:22" s="33" customFormat="1" ht="42.75" customHeight="1">
      <c r="A61" s="24" t="s">
        <v>101</v>
      </c>
      <c r="B61" s="423" t="s">
        <v>178</v>
      </c>
      <c r="C61" s="424"/>
      <c r="D61" s="424"/>
      <c r="E61" s="424"/>
      <c r="F61" s="424"/>
      <c r="G61" s="425"/>
      <c r="H61" s="31">
        <v>150</v>
      </c>
      <c r="I61" s="429" t="s">
        <v>208</v>
      </c>
      <c r="J61" s="528"/>
      <c r="K61" s="528"/>
      <c r="L61" s="528"/>
      <c r="M61" s="528"/>
      <c r="N61" s="528"/>
      <c r="O61" s="528"/>
      <c r="P61" s="528"/>
      <c r="Q61" s="528"/>
      <c r="R61" s="528"/>
      <c r="S61" s="528"/>
      <c r="T61" s="528"/>
      <c r="U61" s="529"/>
      <c r="V61" s="32">
        <f>150+70+80+100+100+100</f>
        <v>600</v>
      </c>
    </row>
    <row r="62" spans="1:22" s="76" customFormat="1" ht="12.75" customHeight="1">
      <c r="A62" s="530" t="s">
        <v>98</v>
      </c>
      <c r="B62" s="532"/>
      <c r="C62" s="533"/>
      <c r="D62" s="533"/>
      <c r="E62" s="533"/>
      <c r="F62" s="533"/>
      <c r="G62" s="534"/>
      <c r="H62" s="538">
        <v>0</v>
      </c>
      <c r="I62" s="540" t="s">
        <v>159</v>
      </c>
      <c r="J62" s="541"/>
      <c r="K62" s="541"/>
      <c r="L62" s="541"/>
      <c r="M62" s="541"/>
      <c r="N62" s="541"/>
      <c r="O62" s="541"/>
      <c r="P62" s="541"/>
      <c r="Q62" s="541"/>
      <c r="R62" s="541"/>
      <c r="S62" s="541"/>
      <c r="T62" s="541"/>
      <c r="U62" s="542"/>
      <c r="V62" s="546">
        <v>350</v>
      </c>
    </row>
    <row r="63" spans="1:22" s="76" customFormat="1" ht="14.25" customHeight="1">
      <c r="A63" s="531"/>
      <c r="B63" s="535"/>
      <c r="C63" s="536"/>
      <c r="D63" s="536"/>
      <c r="E63" s="536"/>
      <c r="F63" s="536"/>
      <c r="G63" s="537"/>
      <c r="H63" s="539"/>
      <c r="I63" s="543"/>
      <c r="J63" s="544"/>
      <c r="K63" s="544"/>
      <c r="L63" s="544"/>
      <c r="M63" s="544"/>
      <c r="N63" s="544"/>
      <c r="O63" s="544"/>
      <c r="P63" s="544"/>
      <c r="Q63" s="544"/>
      <c r="R63" s="544"/>
      <c r="S63" s="544"/>
      <c r="T63" s="544"/>
      <c r="U63" s="545"/>
      <c r="V63" s="547"/>
    </row>
    <row r="64" spans="1:22" s="33" customFormat="1" ht="23.25" thickBot="1">
      <c r="A64" s="24" t="s">
        <v>99</v>
      </c>
      <c r="B64" s="29"/>
      <c r="C64" s="30"/>
      <c r="D64" s="30"/>
      <c r="E64" s="30"/>
      <c r="F64" s="30"/>
      <c r="G64" s="30"/>
      <c r="H64" s="31">
        <v>0</v>
      </c>
      <c r="I64" s="29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2">
        <v>0</v>
      </c>
    </row>
    <row r="65" spans="1:22" ht="13.5" thickBot="1">
      <c r="A65" s="19" t="s">
        <v>17</v>
      </c>
      <c r="B65" s="20"/>
      <c r="C65" s="21"/>
      <c r="D65" s="21"/>
      <c r="E65" s="21"/>
      <c r="F65" s="21"/>
      <c r="G65" s="21"/>
      <c r="H65" s="22">
        <f>SUM(H66:H85)</f>
        <v>7270</v>
      </c>
      <c r="I65" s="23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2">
        <f>SUM(V66:V85)</f>
        <v>12039</v>
      </c>
    </row>
    <row r="66" spans="1:22" s="33" customFormat="1" ht="4.5" customHeight="1">
      <c r="A66" s="454" t="s">
        <v>51</v>
      </c>
      <c r="B66" s="455"/>
      <c r="C66" s="456"/>
      <c r="D66" s="456"/>
      <c r="E66" s="456"/>
      <c r="F66" s="456"/>
      <c r="G66" s="457"/>
      <c r="H66" s="551">
        <v>0</v>
      </c>
      <c r="I66" s="455" t="s">
        <v>128</v>
      </c>
      <c r="J66" s="456"/>
      <c r="K66" s="456"/>
      <c r="L66" s="456"/>
      <c r="M66" s="456"/>
      <c r="N66" s="456"/>
      <c r="O66" s="456"/>
      <c r="P66" s="456"/>
      <c r="Q66" s="456"/>
      <c r="R66" s="456"/>
      <c r="S66" s="456"/>
      <c r="T66" s="456"/>
      <c r="U66" s="457"/>
      <c r="V66" s="553">
        <f>250+350</f>
        <v>600</v>
      </c>
    </row>
    <row r="67" spans="1:22" s="33" customFormat="1" ht="15.75" customHeight="1">
      <c r="A67" s="439"/>
      <c r="B67" s="548"/>
      <c r="C67" s="549"/>
      <c r="D67" s="549"/>
      <c r="E67" s="549"/>
      <c r="F67" s="549"/>
      <c r="G67" s="550"/>
      <c r="H67" s="552"/>
      <c r="I67" s="443"/>
      <c r="J67" s="444"/>
      <c r="K67" s="444"/>
      <c r="L67" s="444"/>
      <c r="M67" s="444"/>
      <c r="N67" s="444"/>
      <c r="O67" s="444"/>
      <c r="P67" s="444"/>
      <c r="Q67" s="444"/>
      <c r="R67" s="444"/>
      <c r="S67" s="444"/>
      <c r="T67" s="444"/>
      <c r="U67" s="445"/>
      <c r="V67" s="554"/>
    </row>
    <row r="68" spans="1:22" s="33" customFormat="1" ht="21" customHeight="1">
      <c r="A68" s="121" t="s">
        <v>60</v>
      </c>
      <c r="B68" s="423" t="s">
        <v>152</v>
      </c>
      <c r="C68" s="424"/>
      <c r="D68" s="424"/>
      <c r="E68" s="424"/>
      <c r="F68" s="424"/>
      <c r="G68" s="425"/>
      <c r="H68" s="59">
        <v>900</v>
      </c>
      <c r="I68" s="429"/>
      <c r="J68" s="528"/>
      <c r="K68" s="528"/>
      <c r="L68" s="528"/>
      <c r="M68" s="528"/>
      <c r="N68" s="528"/>
      <c r="O68" s="528"/>
      <c r="P68" s="528"/>
      <c r="Q68" s="528"/>
      <c r="R68" s="528"/>
      <c r="S68" s="528"/>
      <c r="T68" s="528"/>
      <c r="U68" s="529"/>
      <c r="V68" s="51">
        <v>0</v>
      </c>
    </row>
    <row r="69" spans="1:22" s="281" customFormat="1" ht="12.75" customHeight="1">
      <c r="A69" s="497" t="s">
        <v>70</v>
      </c>
      <c r="B69" s="499" t="s">
        <v>209</v>
      </c>
      <c r="C69" s="556"/>
      <c r="D69" s="556"/>
      <c r="E69" s="556"/>
      <c r="F69" s="556"/>
      <c r="G69" s="557"/>
      <c r="H69" s="564">
        <v>500</v>
      </c>
      <c r="I69" s="567" t="s">
        <v>210</v>
      </c>
      <c r="J69" s="568"/>
      <c r="K69" s="568"/>
      <c r="L69" s="568"/>
      <c r="M69" s="568"/>
      <c r="N69" s="568"/>
      <c r="O69" s="568"/>
      <c r="P69" s="568"/>
      <c r="Q69" s="568"/>
      <c r="R69" s="568"/>
      <c r="S69" s="568"/>
      <c r="T69" s="568"/>
      <c r="U69" s="569"/>
      <c r="V69" s="564">
        <f>300+400</f>
        <v>700</v>
      </c>
    </row>
    <row r="70" spans="1:22" s="281" customFormat="1" ht="12.75" customHeight="1">
      <c r="A70" s="555"/>
      <c r="B70" s="558"/>
      <c r="C70" s="559"/>
      <c r="D70" s="559"/>
      <c r="E70" s="559"/>
      <c r="F70" s="559"/>
      <c r="G70" s="560"/>
      <c r="H70" s="565"/>
      <c r="I70" s="570"/>
      <c r="J70" s="571"/>
      <c r="K70" s="571"/>
      <c r="L70" s="571"/>
      <c r="M70" s="571"/>
      <c r="N70" s="571"/>
      <c r="O70" s="571"/>
      <c r="P70" s="571"/>
      <c r="Q70" s="571"/>
      <c r="R70" s="571"/>
      <c r="S70" s="571"/>
      <c r="T70" s="571"/>
      <c r="U70" s="572"/>
      <c r="V70" s="565"/>
    </row>
    <row r="71" spans="1:22" s="281" customFormat="1" ht="32.25" customHeight="1">
      <c r="A71" s="498"/>
      <c r="B71" s="561"/>
      <c r="C71" s="562"/>
      <c r="D71" s="562"/>
      <c r="E71" s="562"/>
      <c r="F71" s="562"/>
      <c r="G71" s="563"/>
      <c r="H71" s="566"/>
      <c r="I71" s="573"/>
      <c r="J71" s="574"/>
      <c r="K71" s="574"/>
      <c r="L71" s="574"/>
      <c r="M71" s="574"/>
      <c r="N71" s="574"/>
      <c r="O71" s="574"/>
      <c r="P71" s="574"/>
      <c r="Q71" s="574"/>
      <c r="R71" s="574"/>
      <c r="S71" s="574"/>
      <c r="T71" s="574"/>
      <c r="U71" s="575"/>
      <c r="V71" s="566"/>
    </row>
    <row r="72" spans="1:22" ht="24.75" customHeight="1">
      <c r="A72" s="263" t="s">
        <v>30</v>
      </c>
      <c r="B72" s="469"/>
      <c r="C72" s="444"/>
      <c r="D72" s="444"/>
      <c r="E72" s="444"/>
      <c r="F72" s="444"/>
      <c r="G72" s="445"/>
      <c r="H72" s="51">
        <v>0</v>
      </c>
      <c r="I72" s="576" t="s">
        <v>129</v>
      </c>
      <c r="J72" s="496"/>
      <c r="K72" s="496"/>
      <c r="L72" s="496"/>
      <c r="M72" s="496"/>
      <c r="N72" s="496"/>
      <c r="O72" s="496"/>
      <c r="P72" s="496"/>
      <c r="Q72" s="496"/>
      <c r="R72" s="496"/>
      <c r="S72" s="496"/>
      <c r="T72" s="496"/>
      <c r="U72" s="577"/>
      <c r="V72" s="61">
        <f>260+70</f>
        <v>330</v>
      </c>
    </row>
    <row r="73" spans="1:22" s="33" customFormat="1" ht="12.75" customHeight="1">
      <c r="A73" s="121" t="s">
        <v>64</v>
      </c>
      <c r="B73" s="527" t="s">
        <v>142</v>
      </c>
      <c r="C73" s="481"/>
      <c r="D73" s="481"/>
      <c r="E73" s="481"/>
      <c r="F73" s="481"/>
      <c r="G73" s="482"/>
      <c r="H73" s="59">
        <v>200</v>
      </c>
      <c r="I73" s="578"/>
      <c r="J73" s="579"/>
      <c r="K73" s="579"/>
      <c r="L73" s="579"/>
      <c r="M73" s="579"/>
      <c r="N73" s="579"/>
      <c r="O73" s="579"/>
      <c r="P73" s="579"/>
      <c r="Q73" s="579"/>
      <c r="R73" s="579"/>
      <c r="S73" s="579"/>
      <c r="T73" s="579"/>
      <c r="U73" s="580"/>
      <c r="V73" s="126">
        <v>0</v>
      </c>
    </row>
    <row r="74" spans="1:22" s="33" customFormat="1" ht="37.5" customHeight="1">
      <c r="A74" s="121" t="s">
        <v>211</v>
      </c>
      <c r="B74" s="423"/>
      <c r="C74" s="581"/>
      <c r="D74" s="581"/>
      <c r="E74" s="581"/>
      <c r="F74" s="581"/>
      <c r="G74" s="582"/>
      <c r="H74" s="31">
        <v>0</v>
      </c>
      <c r="I74" s="423" t="s">
        <v>179</v>
      </c>
      <c r="J74" s="581"/>
      <c r="K74" s="581"/>
      <c r="L74" s="581"/>
      <c r="M74" s="581"/>
      <c r="N74" s="581"/>
      <c r="O74" s="581"/>
      <c r="P74" s="581"/>
      <c r="Q74" s="581"/>
      <c r="R74" s="581"/>
      <c r="S74" s="581"/>
      <c r="T74" s="581"/>
      <c r="U74" s="582"/>
      <c r="V74" s="32">
        <f>420+100</f>
        <v>520</v>
      </c>
    </row>
    <row r="75" spans="1:22" s="76" customFormat="1" ht="44.25" customHeight="1">
      <c r="A75" s="73" t="s">
        <v>31</v>
      </c>
      <c r="B75" s="583" t="s">
        <v>180</v>
      </c>
      <c r="C75" s="584"/>
      <c r="D75" s="584"/>
      <c r="E75" s="584"/>
      <c r="F75" s="584"/>
      <c r="G75" s="585"/>
      <c r="H75" s="74">
        <f>160+100+120+1200</f>
        <v>1580</v>
      </c>
      <c r="I75" s="583" t="s">
        <v>181</v>
      </c>
      <c r="J75" s="586"/>
      <c r="K75" s="586"/>
      <c r="L75" s="586"/>
      <c r="M75" s="586"/>
      <c r="N75" s="586"/>
      <c r="O75" s="586"/>
      <c r="P75" s="586"/>
      <c r="Q75" s="586"/>
      <c r="R75" s="586"/>
      <c r="S75" s="586"/>
      <c r="T75" s="586"/>
      <c r="U75" s="587"/>
      <c r="V75" s="75">
        <f>100+2400+100</f>
        <v>2600</v>
      </c>
    </row>
    <row r="76" spans="1:22" s="33" customFormat="1" ht="15" customHeight="1">
      <c r="A76" s="24" t="s">
        <v>32</v>
      </c>
      <c r="B76" s="29" t="s">
        <v>130</v>
      </c>
      <c r="C76" s="30"/>
      <c r="D76" s="30"/>
      <c r="E76" s="30"/>
      <c r="F76" s="30"/>
      <c r="G76" s="30"/>
      <c r="H76" s="31">
        <v>630</v>
      </c>
      <c r="I76" s="423" t="s">
        <v>131</v>
      </c>
      <c r="J76" s="424"/>
      <c r="K76" s="424"/>
      <c r="L76" s="424"/>
      <c r="M76" s="424"/>
      <c r="N76" s="424"/>
      <c r="O76" s="424"/>
      <c r="P76" s="424"/>
      <c r="Q76" s="424"/>
      <c r="R76" s="424"/>
      <c r="S76" s="424"/>
      <c r="T76" s="424"/>
      <c r="U76" s="30"/>
      <c r="V76" s="32">
        <v>120</v>
      </c>
    </row>
    <row r="77" spans="1:22" s="76" customFormat="1" ht="69.75" customHeight="1">
      <c r="A77" s="180" t="s">
        <v>160</v>
      </c>
      <c r="B77" s="583" t="s">
        <v>195</v>
      </c>
      <c r="C77" s="584"/>
      <c r="D77" s="584"/>
      <c r="E77" s="584"/>
      <c r="F77" s="584"/>
      <c r="G77" s="585"/>
      <c r="H77" s="74">
        <f>1200+910+100</f>
        <v>2210</v>
      </c>
      <c r="I77" s="583" t="s">
        <v>194</v>
      </c>
      <c r="J77" s="588"/>
      <c r="K77" s="588"/>
      <c r="L77" s="588"/>
      <c r="M77" s="588"/>
      <c r="N77" s="588"/>
      <c r="O77" s="588"/>
      <c r="P77" s="588"/>
      <c r="Q77" s="588"/>
      <c r="R77" s="588"/>
      <c r="S77" s="588"/>
      <c r="T77" s="588"/>
      <c r="U77" s="589"/>
      <c r="V77" s="75">
        <f>300+230+400+2400</f>
        <v>3330</v>
      </c>
    </row>
    <row r="78" spans="1:22" s="33" customFormat="1" ht="34.5" customHeight="1">
      <c r="A78" s="24" t="s">
        <v>66</v>
      </c>
      <c r="B78" s="423" t="s">
        <v>182</v>
      </c>
      <c r="C78" s="424"/>
      <c r="D78" s="424"/>
      <c r="E78" s="424"/>
      <c r="F78" s="424"/>
      <c r="G78" s="425"/>
      <c r="H78" s="31">
        <v>300</v>
      </c>
      <c r="I78" s="429" t="s">
        <v>183</v>
      </c>
      <c r="J78" s="590"/>
      <c r="K78" s="590"/>
      <c r="L78" s="590"/>
      <c r="M78" s="590"/>
      <c r="N78" s="590"/>
      <c r="O78" s="590"/>
      <c r="P78" s="590"/>
      <c r="Q78" s="590"/>
      <c r="R78" s="590"/>
      <c r="S78" s="590"/>
      <c r="T78" s="590"/>
      <c r="U78" s="591"/>
      <c r="V78" s="32">
        <v>550</v>
      </c>
    </row>
    <row r="79" spans="1:22" s="33" customFormat="1" ht="19.5" customHeight="1">
      <c r="A79" s="111" t="s">
        <v>33</v>
      </c>
      <c r="B79" s="583"/>
      <c r="C79" s="586"/>
      <c r="D79" s="586"/>
      <c r="E79" s="586"/>
      <c r="F79" s="586"/>
      <c r="G79" s="587"/>
      <c r="H79" s="74">
        <v>0</v>
      </c>
      <c r="I79" s="29" t="s">
        <v>132</v>
      </c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2">
        <f>250+125+68</f>
        <v>443</v>
      </c>
    </row>
    <row r="80" spans="1:22" s="33" customFormat="1" ht="21" customHeight="1">
      <c r="A80" s="42" t="s">
        <v>52</v>
      </c>
      <c r="B80" s="57"/>
      <c r="C80" s="58"/>
      <c r="D80" s="58"/>
      <c r="E80" s="58"/>
      <c r="F80" s="58"/>
      <c r="G80" s="58"/>
      <c r="H80" s="59">
        <v>0</v>
      </c>
      <c r="I80" s="576" t="s">
        <v>184</v>
      </c>
      <c r="J80" s="592"/>
      <c r="K80" s="592"/>
      <c r="L80" s="592"/>
      <c r="M80" s="592"/>
      <c r="N80" s="592"/>
      <c r="O80" s="592"/>
      <c r="P80" s="592"/>
      <c r="Q80" s="592"/>
      <c r="R80" s="592"/>
      <c r="S80" s="592"/>
      <c r="T80" s="592"/>
      <c r="U80" s="593"/>
      <c r="V80" s="51">
        <f>365+96+1200</f>
        <v>1661</v>
      </c>
    </row>
    <row r="81" spans="1:22" s="33" customFormat="1" ht="38.25" customHeight="1">
      <c r="A81" s="47" t="s">
        <v>34</v>
      </c>
      <c r="B81" s="423" t="s">
        <v>133</v>
      </c>
      <c r="C81" s="424"/>
      <c r="D81" s="424"/>
      <c r="E81" s="424"/>
      <c r="F81" s="424"/>
      <c r="G81" s="425"/>
      <c r="H81" s="31">
        <f>50+100+50</f>
        <v>200</v>
      </c>
      <c r="I81" s="594" t="s">
        <v>185</v>
      </c>
      <c r="J81" s="595"/>
      <c r="K81" s="595"/>
      <c r="L81" s="595"/>
      <c r="M81" s="595"/>
      <c r="N81" s="595"/>
      <c r="O81" s="595"/>
      <c r="P81" s="595"/>
      <c r="Q81" s="595"/>
      <c r="R81" s="595"/>
      <c r="S81" s="595"/>
      <c r="T81" s="595"/>
      <c r="U81" s="596"/>
      <c r="V81" s="32">
        <f>380+80+80</f>
        <v>540</v>
      </c>
    </row>
    <row r="82" spans="1:22" s="33" customFormat="1" ht="12.75" customHeight="1">
      <c r="A82" s="438" t="s">
        <v>35</v>
      </c>
      <c r="B82" s="440" t="s">
        <v>186</v>
      </c>
      <c r="C82" s="467"/>
      <c r="D82" s="467"/>
      <c r="E82" s="467"/>
      <c r="F82" s="467"/>
      <c r="G82" s="468"/>
      <c r="H82" s="446">
        <f>150+300</f>
        <v>450</v>
      </c>
      <c r="I82" s="567" t="s">
        <v>134</v>
      </c>
      <c r="J82" s="597"/>
      <c r="K82" s="597"/>
      <c r="L82" s="597"/>
      <c r="M82" s="597"/>
      <c r="N82" s="597"/>
      <c r="O82" s="597"/>
      <c r="P82" s="597"/>
      <c r="Q82" s="597"/>
      <c r="R82" s="597"/>
      <c r="S82" s="597"/>
      <c r="T82" s="597"/>
      <c r="U82" s="598"/>
      <c r="V82" s="446">
        <v>120</v>
      </c>
    </row>
    <row r="83" spans="1:22" s="33" customFormat="1" ht="12.75" customHeight="1">
      <c r="A83" s="439"/>
      <c r="B83" s="469"/>
      <c r="C83" s="470"/>
      <c r="D83" s="470"/>
      <c r="E83" s="470"/>
      <c r="F83" s="470"/>
      <c r="G83" s="471"/>
      <c r="H83" s="447"/>
      <c r="I83" s="599"/>
      <c r="J83" s="600"/>
      <c r="K83" s="600"/>
      <c r="L83" s="600"/>
      <c r="M83" s="600"/>
      <c r="N83" s="600"/>
      <c r="O83" s="600"/>
      <c r="P83" s="600"/>
      <c r="Q83" s="600"/>
      <c r="R83" s="600"/>
      <c r="S83" s="600"/>
      <c r="T83" s="600"/>
      <c r="U83" s="601"/>
      <c r="V83" s="447"/>
    </row>
    <row r="84" spans="1:22" s="33" customFormat="1" ht="36.75" customHeight="1">
      <c r="A84" s="122" t="s">
        <v>68</v>
      </c>
      <c r="B84" s="423" t="s">
        <v>153</v>
      </c>
      <c r="C84" s="581"/>
      <c r="D84" s="581"/>
      <c r="E84" s="581"/>
      <c r="F84" s="581"/>
      <c r="G84" s="582"/>
      <c r="H84" s="31">
        <v>300</v>
      </c>
      <c r="I84" s="423" t="s">
        <v>187</v>
      </c>
      <c r="J84" s="581"/>
      <c r="K84" s="581"/>
      <c r="L84" s="581"/>
      <c r="M84" s="581"/>
      <c r="N84" s="581"/>
      <c r="O84" s="581"/>
      <c r="P84" s="581"/>
      <c r="Q84" s="581"/>
      <c r="R84" s="581"/>
      <c r="S84" s="581"/>
      <c r="T84" s="581"/>
      <c r="U84" s="582"/>
      <c r="V84" s="32">
        <f>135+90</f>
        <v>225</v>
      </c>
    </row>
    <row r="85" spans="1:22" s="33" customFormat="1" ht="22.5" customHeight="1" thickBot="1">
      <c r="A85" s="154" t="s">
        <v>69</v>
      </c>
      <c r="B85" s="602"/>
      <c r="C85" s="603"/>
      <c r="D85" s="603"/>
      <c r="E85" s="603"/>
      <c r="F85" s="603"/>
      <c r="G85" s="604"/>
      <c r="H85" s="31">
        <v>0</v>
      </c>
      <c r="I85" s="451" t="s">
        <v>188</v>
      </c>
      <c r="J85" s="605"/>
      <c r="K85" s="605"/>
      <c r="L85" s="605"/>
      <c r="M85" s="605"/>
      <c r="N85" s="605"/>
      <c r="O85" s="605"/>
      <c r="P85" s="605"/>
      <c r="Q85" s="605"/>
      <c r="R85" s="605"/>
      <c r="S85" s="605"/>
      <c r="T85" s="605"/>
      <c r="U85" s="606"/>
      <c r="V85" s="32">
        <f>100+60+140</f>
        <v>300</v>
      </c>
    </row>
    <row r="86" spans="1:22" s="33" customFormat="1" ht="16.5" customHeight="1" thickBot="1">
      <c r="A86" s="19" t="s">
        <v>36</v>
      </c>
      <c r="B86" s="77"/>
      <c r="C86" s="78"/>
      <c r="D86" s="78"/>
      <c r="E86" s="78"/>
      <c r="F86" s="78"/>
      <c r="G86" s="78"/>
      <c r="H86" s="22">
        <f>SUM(H87)</f>
        <v>0</v>
      </c>
      <c r="I86" s="77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9"/>
      <c r="V86" s="22">
        <f>SUM(V87)</f>
        <v>500</v>
      </c>
    </row>
    <row r="87" spans="1:22" s="33" customFormat="1" ht="23.25" customHeight="1" thickBot="1">
      <c r="A87" s="80" t="s">
        <v>103</v>
      </c>
      <c r="B87" s="81"/>
      <c r="C87" s="82"/>
      <c r="D87" s="82"/>
      <c r="E87" s="82"/>
      <c r="F87" s="82"/>
      <c r="G87" s="82"/>
      <c r="H87" s="83">
        <v>0</v>
      </c>
      <c r="I87" s="607" t="s">
        <v>189</v>
      </c>
      <c r="J87" s="608"/>
      <c r="K87" s="608"/>
      <c r="L87" s="608"/>
      <c r="M87" s="608"/>
      <c r="N87" s="608"/>
      <c r="O87" s="608"/>
      <c r="P87" s="608"/>
      <c r="Q87" s="608"/>
      <c r="R87" s="608"/>
      <c r="S87" s="608"/>
      <c r="T87" s="608"/>
      <c r="U87" s="82"/>
      <c r="V87" s="83">
        <v>500</v>
      </c>
    </row>
    <row r="88" spans="1:22" ht="15.75" customHeight="1" thickBot="1">
      <c r="A88" s="84" t="s">
        <v>18</v>
      </c>
      <c r="B88" s="81"/>
      <c r="C88" s="82"/>
      <c r="D88" s="82"/>
      <c r="E88" s="82"/>
      <c r="F88" s="82"/>
      <c r="G88" s="82"/>
      <c r="H88" s="85">
        <f>SUM(H89+H91)</f>
        <v>2600</v>
      </c>
      <c r="I88" s="81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5">
        <f>SUM(V89)</f>
        <v>8400</v>
      </c>
    </row>
    <row r="89" spans="1:22" ht="3.75" customHeight="1">
      <c r="A89" s="609" t="s">
        <v>53</v>
      </c>
      <c r="B89" s="612" t="s">
        <v>190</v>
      </c>
      <c r="C89" s="613"/>
      <c r="D89" s="613"/>
      <c r="E89" s="613"/>
      <c r="F89" s="613"/>
      <c r="G89" s="614"/>
      <c r="H89" s="621">
        <f>200+180+50+90+280+800+550+450</f>
        <v>2600</v>
      </c>
      <c r="I89" s="624" t="s">
        <v>191</v>
      </c>
      <c r="J89" s="625"/>
      <c r="K89" s="625"/>
      <c r="L89" s="625"/>
      <c r="M89" s="625"/>
      <c r="N89" s="625"/>
      <c r="O89" s="625"/>
      <c r="P89" s="625"/>
      <c r="Q89" s="625"/>
      <c r="R89" s="625"/>
      <c r="S89" s="625"/>
      <c r="T89" s="625"/>
      <c r="U89" s="626"/>
      <c r="V89" s="621">
        <f>2500+3300+1200+1000+200+200</f>
        <v>8400</v>
      </c>
    </row>
    <row r="90" spans="1:22" ht="12.75" customHeight="1" hidden="1">
      <c r="A90" s="610"/>
      <c r="B90" s="615"/>
      <c r="C90" s="616"/>
      <c r="D90" s="616"/>
      <c r="E90" s="616"/>
      <c r="F90" s="616"/>
      <c r="G90" s="617"/>
      <c r="H90" s="622"/>
      <c r="I90" s="627"/>
      <c r="J90" s="628"/>
      <c r="K90" s="628"/>
      <c r="L90" s="628"/>
      <c r="M90" s="628"/>
      <c r="N90" s="628"/>
      <c r="O90" s="628"/>
      <c r="P90" s="628"/>
      <c r="Q90" s="628"/>
      <c r="R90" s="628"/>
      <c r="S90" s="628"/>
      <c r="T90" s="628"/>
      <c r="U90" s="629"/>
      <c r="V90" s="622"/>
    </row>
    <row r="91" spans="1:22" ht="57.75" customHeight="1" thickBot="1">
      <c r="A91" s="611"/>
      <c r="B91" s="618"/>
      <c r="C91" s="619"/>
      <c r="D91" s="619"/>
      <c r="E91" s="619"/>
      <c r="F91" s="619"/>
      <c r="G91" s="620"/>
      <c r="H91" s="623"/>
      <c r="I91" s="630"/>
      <c r="J91" s="631"/>
      <c r="K91" s="631"/>
      <c r="L91" s="631"/>
      <c r="M91" s="631"/>
      <c r="N91" s="631"/>
      <c r="O91" s="631"/>
      <c r="P91" s="631"/>
      <c r="Q91" s="631"/>
      <c r="R91" s="631"/>
      <c r="S91" s="631"/>
      <c r="T91" s="631"/>
      <c r="U91" s="632"/>
      <c r="V91" s="447"/>
    </row>
    <row r="92" spans="1:22" ht="12.75" customHeight="1" thickBot="1">
      <c r="A92" s="19" t="s">
        <v>19</v>
      </c>
      <c r="B92" s="20"/>
      <c r="C92" s="21"/>
      <c r="D92" s="21"/>
      <c r="E92" s="21"/>
      <c r="F92" s="21"/>
      <c r="G92" s="21"/>
      <c r="H92" s="22">
        <f>SUM(H93+H94+H95+H96+H97)</f>
        <v>0</v>
      </c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2">
        <f>SUM(V93+V94+V95+V96+V97)</f>
        <v>70</v>
      </c>
    </row>
    <row r="93" spans="1:22" ht="15" customHeight="1">
      <c r="A93" s="88" t="s">
        <v>105</v>
      </c>
      <c r="B93" s="89"/>
      <c r="C93" s="89"/>
      <c r="D93" s="89"/>
      <c r="E93" s="89"/>
      <c r="F93" s="89"/>
      <c r="G93" s="89"/>
      <c r="H93" s="90">
        <v>0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72">
        <v>0</v>
      </c>
    </row>
    <row r="94" spans="1:22" ht="15" customHeight="1">
      <c r="A94" s="91" t="s">
        <v>20</v>
      </c>
      <c r="B94" s="92"/>
      <c r="C94" s="93"/>
      <c r="D94" s="93"/>
      <c r="E94" s="93"/>
      <c r="F94" s="93"/>
      <c r="G94" s="93"/>
      <c r="H94" s="28">
        <v>0</v>
      </c>
      <c r="I94" s="94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6">
        <v>0</v>
      </c>
    </row>
    <row r="95" spans="1:22" s="70" customFormat="1" ht="15" customHeight="1">
      <c r="A95" s="97" t="s">
        <v>21</v>
      </c>
      <c r="B95" s="98"/>
      <c r="C95" s="99"/>
      <c r="D95" s="99"/>
      <c r="E95" s="99"/>
      <c r="F95" s="99"/>
      <c r="G95" s="99"/>
      <c r="H95" s="59">
        <v>0</v>
      </c>
      <c r="I95" s="100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51">
        <v>0</v>
      </c>
    </row>
    <row r="96" spans="1:22" ht="15" customHeight="1">
      <c r="A96" s="102" t="s">
        <v>22</v>
      </c>
      <c r="B96" s="103"/>
      <c r="C96" s="66"/>
      <c r="D96" s="66"/>
      <c r="E96" s="66"/>
      <c r="F96" s="66"/>
      <c r="G96" s="66"/>
      <c r="H96" s="67">
        <v>0</v>
      </c>
      <c r="I96" s="423" t="s">
        <v>147</v>
      </c>
      <c r="J96" s="424"/>
      <c r="K96" s="424"/>
      <c r="L96" s="424"/>
      <c r="M96" s="424"/>
      <c r="N96" s="424"/>
      <c r="O96" s="424"/>
      <c r="P96" s="424"/>
      <c r="Q96" s="424"/>
      <c r="R96" s="424"/>
      <c r="S96" s="424"/>
      <c r="T96" s="424"/>
      <c r="U96" s="66"/>
      <c r="V96" s="61">
        <v>70</v>
      </c>
    </row>
    <row r="97" spans="1:22" ht="15" customHeight="1" thickBot="1">
      <c r="A97" s="104" t="s">
        <v>29</v>
      </c>
      <c r="B97" s="86"/>
      <c r="C97" s="87"/>
      <c r="D97" s="87"/>
      <c r="E97" s="87"/>
      <c r="F97" s="87"/>
      <c r="G97" s="87"/>
      <c r="H97" s="105">
        <v>0</v>
      </c>
      <c r="I97" s="106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68">
        <v>0</v>
      </c>
    </row>
    <row r="98" spans="1:22" ht="13.5" thickBot="1">
      <c r="A98" s="19" t="s">
        <v>23</v>
      </c>
      <c r="B98" s="20"/>
      <c r="C98" s="21"/>
      <c r="D98" s="21"/>
      <c r="E98" s="21"/>
      <c r="F98" s="21"/>
      <c r="G98" s="21"/>
      <c r="H98" s="22">
        <f>SUM(H99:H99)</f>
        <v>260</v>
      </c>
      <c r="I98" s="20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2">
        <f>SUM(V99:V99)</f>
        <v>85</v>
      </c>
    </row>
    <row r="99" spans="1:22" ht="35.25" customHeight="1" thickBot="1">
      <c r="A99" s="345" t="s">
        <v>102</v>
      </c>
      <c r="B99" s="612" t="s">
        <v>173</v>
      </c>
      <c r="C99" s="613"/>
      <c r="D99" s="613"/>
      <c r="E99" s="613"/>
      <c r="F99" s="613"/>
      <c r="G99" s="614"/>
      <c r="H99" s="346">
        <v>260</v>
      </c>
      <c r="I99" s="633" t="s">
        <v>151</v>
      </c>
      <c r="J99" s="456"/>
      <c r="K99" s="456"/>
      <c r="L99" s="456"/>
      <c r="M99" s="456"/>
      <c r="N99" s="456"/>
      <c r="O99" s="456"/>
      <c r="P99" s="456"/>
      <c r="Q99" s="456"/>
      <c r="R99" s="456"/>
      <c r="S99" s="456"/>
      <c r="T99" s="456"/>
      <c r="U99" s="457"/>
      <c r="V99" s="342">
        <v>85</v>
      </c>
    </row>
    <row r="100" spans="1:22" s="33" customFormat="1" ht="13.5" thickBot="1">
      <c r="A100" s="113" t="s">
        <v>39</v>
      </c>
      <c r="B100" s="114"/>
      <c r="C100" s="115"/>
      <c r="D100" s="115"/>
      <c r="E100" s="115"/>
      <c r="F100" s="115"/>
      <c r="G100" s="115"/>
      <c r="H100" s="85">
        <f>SUM(H101)</f>
        <v>0</v>
      </c>
      <c r="I100" s="114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85">
        <f>SUM(V101)</f>
        <v>0</v>
      </c>
    </row>
    <row r="101" spans="1:22" s="33" customFormat="1" ht="33.75" customHeight="1" thickBot="1">
      <c r="A101" s="104" t="s">
        <v>212</v>
      </c>
      <c r="B101" s="64"/>
      <c r="C101" s="65"/>
      <c r="D101" s="65"/>
      <c r="E101" s="65"/>
      <c r="F101" s="65"/>
      <c r="G101" s="65"/>
      <c r="H101" s="107">
        <v>0</v>
      </c>
      <c r="I101" s="64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108">
        <v>0</v>
      </c>
    </row>
    <row r="102" spans="1:22" ht="13.5" thickBot="1">
      <c r="A102" s="113" t="s">
        <v>24</v>
      </c>
      <c r="B102" s="20"/>
      <c r="C102" s="21"/>
      <c r="D102" s="21"/>
      <c r="E102" s="21"/>
      <c r="F102" s="21"/>
      <c r="G102" s="21"/>
      <c r="H102" s="22">
        <f>SUM(H103:H111)</f>
        <v>390</v>
      </c>
      <c r="I102" s="116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2">
        <f>SUM(V103:V111)</f>
        <v>1080</v>
      </c>
    </row>
    <row r="103" spans="1:22" s="33" customFormat="1" ht="15" customHeight="1">
      <c r="A103" s="110" t="s">
        <v>106</v>
      </c>
      <c r="B103" s="420"/>
      <c r="C103" s="421"/>
      <c r="D103" s="421"/>
      <c r="E103" s="421"/>
      <c r="F103" s="421"/>
      <c r="G103" s="422"/>
      <c r="H103" s="59">
        <v>0</v>
      </c>
      <c r="I103" s="57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1">
        <v>0</v>
      </c>
    </row>
    <row r="104" spans="1:22" s="33" customFormat="1" ht="15" customHeight="1">
      <c r="A104" s="111" t="s">
        <v>107</v>
      </c>
      <c r="B104" s="29"/>
      <c r="C104" s="30"/>
      <c r="D104" s="30"/>
      <c r="E104" s="30"/>
      <c r="F104" s="30"/>
      <c r="G104" s="30"/>
      <c r="H104" s="31">
        <v>0</v>
      </c>
      <c r="I104" s="29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2">
        <v>0</v>
      </c>
    </row>
    <row r="105" spans="1:22" s="33" customFormat="1" ht="15" customHeight="1">
      <c r="A105" s="24" t="s">
        <v>108</v>
      </c>
      <c r="B105" s="57" t="s">
        <v>149</v>
      </c>
      <c r="C105" s="58"/>
      <c r="D105" s="58"/>
      <c r="E105" s="58"/>
      <c r="F105" s="58"/>
      <c r="G105" s="58"/>
      <c r="H105" s="59">
        <v>120</v>
      </c>
      <c r="I105" s="423" t="s">
        <v>148</v>
      </c>
      <c r="J105" s="424"/>
      <c r="K105" s="424"/>
      <c r="L105" s="424"/>
      <c r="M105" s="424"/>
      <c r="N105" s="424"/>
      <c r="O105" s="424"/>
      <c r="P105" s="424"/>
      <c r="Q105" s="424"/>
      <c r="R105" s="424"/>
      <c r="S105" s="424"/>
      <c r="T105" s="424"/>
      <c r="U105" s="58"/>
      <c r="V105" s="51">
        <v>100</v>
      </c>
    </row>
    <row r="106" spans="1:22" s="33" customFormat="1" ht="15" customHeight="1">
      <c r="A106" s="110" t="s">
        <v>109</v>
      </c>
      <c r="B106" s="29"/>
      <c r="C106" s="30"/>
      <c r="D106" s="30"/>
      <c r="E106" s="30"/>
      <c r="F106" s="30"/>
      <c r="G106" s="30"/>
      <c r="H106" s="31">
        <v>0</v>
      </c>
      <c r="I106" s="634" t="s">
        <v>213</v>
      </c>
      <c r="J106" s="424"/>
      <c r="K106" s="424"/>
      <c r="L106" s="424"/>
      <c r="M106" s="424"/>
      <c r="N106" s="424"/>
      <c r="O106" s="424"/>
      <c r="P106" s="424"/>
      <c r="Q106" s="424"/>
      <c r="R106" s="424"/>
      <c r="S106" s="424"/>
      <c r="T106" s="424"/>
      <c r="U106" s="30"/>
      <c r="V106" s="32">
        <v>380</v>
      </c>
    </row>
    <row r="107" spans="1:22" s="33" customFormat="1" ht="15" customHeight="1">
      <c r="A107" s="47" t="s">
        <v>110</v>
      </c>
      <c r="B107" s="583" t="s">
        <v>174</v>
      </c>
      <c r="C107" s="586"/>
      <c r="D107" s="586"/>
      <c r="E107" s="586"/>
      <c r="F107" s="586"/>
      <c r="G107" s="587"/>
      <c r="H107" s="60">
        <v>270</v>
      </c>
      <c r="I107" s="40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50">
        <v>0</v>
      </c>
    </row>
    <row r="108" spans="1:22" ht="15" customHeight="1">
      <c r="A108" s="111" t="s">
        <v>111</v>
      </c>
      <c r="B108" s="423"/>
      <c r="C108" s="581"/>
      <c r="D108" s="581"/>
      <c r="E108" s="581"/>
      <c r="F108" s="581"/>
      <c r="G108" s="582"/>
      <c r="H108" s="27">
        <v>0</v>
      </c>
      <c r="I108" s="43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8">
        <v>0</v>
      </c>
    </row>
    <row r="109" spans="1:22" s="33" customFormat="1" ht="15" customHeight="1">
      <c r="A109" s="123" t="s">
        <v>112</v>
      </c>
      <c r="B109" s="423"/>
      <c r="C109" s="581"/>
      <c r="D109" s="581"/>
      <c r="E109" s="581"/>
      <c r="F109" s="581"/>
      <c r="G109" s="582"/>
      <c r="H109" s="31">
        <v>0</v>
      </c>
      <c r="I109" s="29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2">
        <v>0</v>
      </c>
    </row>
    <row r="110" spans="1:22" ht="15" customHeight="1">
      <c r="A110" s="124" t="s">
        <v>113</v>
      </c>
      <c r="B110" s="112"/>
      <c r="C110" s="38"/>
      <c r="D110" s="38"/>
      <c r="E110" s="38"/>
      <c r="F110" s="38"/>
      <c r="G110" s="38"/>
      <c r="H110" s="39">
        <v>0</v>
      </c>
      <c r="I110" s="423" t="s">
        <v>150</v>
      </c>
      <c r="J110" s="424"/>
      <c r="K110" s="424"/>
      <c r="L110" s="424"/>
      <c r="M110" s="424"/>
      <c r="N110" s="424"/>
      <c r="O110" s="424"/>
      <c r="P110" s="424"/>
      <c r="Q110" s="424"/>
      <c r="R110" s="424"/>
      <c r="S110" s="424"/>
      <c r="T110" s="424"/>
      <c r="U110" s="38"/>
      <c r="V110" s="41">
        <v>600</v>
      </c>
    </row>
    <row r="111" spans="1:22" s="33" customFormat="1" ht="15" customHeight="1" thickBot="1">
      <c r="A111" s="117" t="s">
        <v>114</v>
      </c>
      <c r="B111" s="53"/>
      <c r="C111" s="54"/>
      <c r="D111" s="54"/>
      <c r="E111" s="54"/>
      <c r="F111" s="54"/>
      <c r="G111" s="54"/>
      <c r="H111" s="55">
        <v>0</v>
      </c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6">
        <v>0</v>
      </c>
    </row>
    <row r="112" spans="1:22" ht="12" customHeight="1">
      <c r="A112" s="118"/>
      <c r="B112" s="87"/>
      <c r="C112" s="87"/>
      <c r="E112" s="87"/>
      <c r="F112" s="87"/>
      <c r="G112" s="69"/>
      <c r="H112" s="109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109"/>
    </row>
  </sheetData>
  <sheetProtection/>
  <mergeCells count="134">
    <mergeCell ref="B108:G108"/>
    <mergeCell ref="B109:G109"/>
    <mergeCell ref="I110:T110"/>
    <mergeCell ref="B99:G99"/>
    <mergeCell ref="I99:U99"/>
    <mergeCell ref="B103:G103"/>
    <mergeCell ref="I105:T105"/>
    <mergeCell ref="I106:T106"/>
    <mergeCell ref="B107:G107"/>
    <mergeCell ref="A89:A91"/>
    <mergeCell ref="B89:G91"/>
    <mergeCell ref="H89:H91"/>
    <mergeCell ref="I89:U91"/>
    <mergeCell ref="V89:V91"/>
    <mergeCell ref="I96:T96"/>
    <mergeCell ref="V82:V83"/>
    <mergeCell ref="B84:G84"/>
    <mergeCell ref="I84:U84"/>
    <mergeCell ref="B85:G85"/>
    <mergeCell ref="I85:U85"/>
    <mergeCell ref="I87:T87"/>
    <mergeCell ref="B79:G79"/>
    <mergeCell ref="I80:U80"/>
    <mergeCell ref="B81:G81"/>
    <mergeCell ref="I81:U81"/>
    <mergeCell ref="A82:A83"/>
    <mergeCell ref="B82:G83"/>
    <mergeCell ref="H82:H83"/>
    <mergeCell ref="I82:U83"/>
    <mergeCell ref="B75:G75"/>
    <mergeCell ref="I75:U75"/>
    <mergeCell ref="I76:T76"/>
    <mergeCell ref="B77:G77"/>
    <mergeCell ref="I77:U77"/>
    <mergeCell ref="B78:G78"/>
    <mergeCell ref="I78:U78"/>
    <mergeCell ref="V69:V71"/>
    <mergeCell ref="B72:G72"/>
    <mergeCell ref="I72:U72"/>
    <mergeCell ref="B73:G73"/>
    <mergeCell ref="I73:U73"/>
    <mergeCell ref="B74:G74"/>
    <mergeCell ref="I74:U74"/>
    <mergeCell ref="B68:G68"/>
    <mergeCell ref="I68:U68"/>
    <mergeCell ref="A69:A71"/>
    <mergeCell ref="B69:G71"/>
    <mergeCell ref="H69:H71"/>
    <mergeCell ref="I69:U71"/>
    <mergeCell ref="V62:V63"/>
    <mergeCell ref="A66:A67"/>
    <mergeCell ref="B66:G67"/>
    <mergeCell ref="H66:H67"/>
    <mergeCell ref="I66:U67"/>
    <mergeCell ref="V66:V67"/>
    <mergeCell ref="B60:G60"/>
    <mergeCell ref="B61:G61"/>
    <mergeCell ref="I61:U61"/>
    <mergeCell ref="A62:A63"/>
    <mergeCell ref="B62:G63"/>
    <mergeCell ref="H62:H63"/>
    <mergeCell ref="I62:U63"/>
    <mergeCell ref="A56:A57"/>
    <mergeCell ref="B56:G57"/>
    <mergeCell ref="H56:H57"/>
    <mergeCell ref="I56:U57"/>
    <mergeCell ref="V56:V57"/>
    <mergeCell ref="A58:A59"/>
    <mergeCell ref="B58:G59"/>
    <mergeCell ref="H58:H59"/>
    <mergeCell ref="I58:U59"/>
    <mergeCell ref="V58:V59"/>
    <mergeCell ref="A53:A54"/>
    <mergeCell ref="B53:G54"/>
    <mergeCell ref="H53:H54"/>
    <mergeCell ref="I53:U54"/>
    <mergeCell ref="V53:V54"/>
    <mergeCell ref="B55:G55"/>
    <mergeCell ref="I55:U55"/>
    <mergeCell ref="B50:G50"/>
    <mergeCell ref="A51:A52"/>
    <mergeCell ref="B51:G52"/>
    <mergeCell ref="H51:H52"/>
    <mergeCell ref="I51:U52"/>
    <mergeCell ref="V51:V52"/>
    <mergeCell ref="A45:A46"/>
    <mergeCell ref="B45:G46"/>
    <mergeCell ref="H45:H46"/>
    <mergeCell ref="I45:U46"/>
    <mergeCell ref="V45:V46"/>
    <mergeCell ref="A47:A48"/>
    <mergeCell ref="B47:G48"/>
    <mergeCell ref="H47:H48"/>
    <mergeCell ref="I47:U48"/>
    <mergeCell ref="V47:V48"/>
    <mergeCell ref="V35:V36"/>
    <mergeCell ref="B37:G37"/>
    <mergeCell ref="I38:U38"/>
    <mergeCell ref="A40:A41"/>
    <mergeCell ref="B40:G41"/>
    <mergeCell ref="H40:H41"/>
    <mergeCell ref="I40:U41"/>
    <mergeCell ref="V40:V41"/>
    <mergeCell ref="B33:G33"/>
    <mergeCell ref="B34:G34"/>
    <mergeCell ref="I34:U34"/>
    <mergeCell ref="A35:A36"/>
    <mergeCell ref="B35:G36"/>
    <mergeCell ref="H35:H36"/>
    <mergeCell ref="I35:U36"/>
    <mergeCell ref="I30:U30"/>
    <mergeCell ref="A31:A32"/>
    <mergeCell ref="B31:G32"/>
    <mergeCell ref="H31:H32"/>
    <mergeCell ref="I31:U32"/>
    <mergeCell ref="V31:V32"/>
    <mergeCell ref="B27:G27"/>
    <mergeCell ref="I27:U27"/>
    <mergeCell ref="B28:G28"/>
    <mergeCell ref="I28:U28"/>
    <mergeCell ref="B29:G29"/>
    <mergeCell ref="I29:U29"/>
    <mergeCell ref="B24:G24"/>
    <mergeCell ref="I24:U24"/>
    <mergeCell ref="B25:G25"/>
    <mergeCell ref="I25:U25"/>
    <mergeCell ref="B26:G26"/>
    <mergeCell ref="I26:U26"/>
    <mergeCell ref="S2:V2"/>
    <mergeCell ref="A3:V3"/>
    <mergeCell ref="A4:A5"/>
    <mergeCell ref="I4:U5"/>
    <mergeCell ref="B23:G23"/>
    <mergeCell ref="I23:U23"/>
  </mergeCells>
  <printOptions horizontalCentered="1"/>
  <pageMargins left="0.2755905511811024" right="0.2755905511811024" top="0.3937007874015748" bottom="0.35433070866141736" header="0.11811023622047245" footer="0.11811023622047245"/>
  <pageSetup firstPageNumber="1" useFirstPageNumber="1" fitToHeight="4" horizontalDpi="600" verticalDpi="600" orientation="landscape" paperSize="9" scale="70" r:id="rId1"/>
  <headerFooter alignWithMargins="0">
    <oddFooter>&amp;C&amp;P</oddFooter>
  </headerFooter>
  <rowBreaks count="1" manualBreakCount="1">
    <brk id="68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PageLayoutView="0" workbookViewId="0" topLeftCell="A1">
      <selection activeCell="L2" sqref="L2"/>
    </sheetView>
  </sheetViews>
  <sheetFormatPr defaultColWidth="9.00390625" defaultRowHeight="12.75"/>
  <cols>
    <col min="1" max="1" width="11.125" style="0" bestFit="1" customWidth="1"/>
    <col min="2" max="2" width="47.625" style="0" customWidth="1"/>
    <col min="3" max="16" width="8.75390625" style="0" customWidth="1"/>
  </cols>
  <sheetData>
    <row r="1" spans="14:16" ht="15">
      <c r="N1" s="675" t="s">
        <v>235</v>
      </c>
      <c r="O1" s="676"/>
      <c r="P1" s="676"/>
    </row>
    <row r="2" spans="2:16" s="259" customFormat="1" ht="15">
      <c r="B2" s="143"/>
      <c r="C2" s="143"/>
      <c r="D2" s="143"/>
      <c r="E2" s="143"/>
      <c r="F2" s="143"/>
      <c r="G2" s="143"/>
      <c r="H2" s="143"/>
      <c r="I2" s="143"/>
      <c r="N2" s="677" t="s">
        <v>227</v>
      </c>
      <c r="O2" s="678"/>
      <c r="P2" s="678"/>
    </row>
    <row r="3" spans="1:16" ht="20.25" customHeight="1">
      <c r="A3" s="679" t="s">
        <v>226</v>
      </c>
      <c r="B3" s="679"/>
      <c r="C3" s="679"/>
      <c r="D3" s="679"/>
      <c r="E3" s="679"/>
      <c r="F3" s="679"/>
      <c r="G3" s="679"/>
      <c r="H3" s="679"/>
      <c r="I3" s="679"/>
      <c r="J3" s="679"/>
      <c r="K3" s="679"/>
      <c r="L3" s="679"/>
      <c r="M3" s="679"/>
      <c r="N3" s="679"/>
      <c r="O3" s="679"/>
      <c r="P3" s="679"/>
    </row>
    <row r="4" spans="3:16" ht="10.5" customHeight="1" thickBot="1">
      <c r="C4" s="369"/>
      <c r="D4" s="369"/>
      <c r="E4" s="369"/>
      <c r="F4" s="369"/>
      <c r="G4" s="369"/>
      <c r="H4" s="369"/>
      <c r="I4" s="369"/>
      <c r="P4" s="368" t="s">
        <v>48</v>
      </c>
    </row>
    <row r="5" spans="1:16" ht="39" customHeight="1" thickBot="1">
      <c r="A5" s="680" t="s">
        <v>225</v>
      </c>
      <c r="B5" s="681"/>
      <c r="C5" s="686" t="s">
        <v>224</v>
      </c>
      <c r="D5" s="687"/>
      <c r="E5" s="687"/>
      <c r="F5" s="687"/>
      <c r="G5" s="687"/>
      <c r="H5" s="687"/>
      <c r="I5" s="688"/>
      <c r="J5" s="689" t="s">
        <v>223</v>
      </c>
      <c r="K5" s="689"/>
      <c r="L5" s="689"/>
      <c r="M5" s="689"/>
      <c r="N5" s="689"/>
      <c r="O5" s="689"/>
      <c r="P5" s="690"/>
    </row>
    <row r="6" spans="1:16" ht="12.75">
      <c r="A6" s="682"/>
      <c r="B6" s="683"/>
      <c r="C6" s="691" t="s">
        <v>228</v>
      </c>
      <c r="D6" s="665" t="s">
        <v>222</v>
      </c>
      <c r="E6" s="668" t="s">
        <v>14</v>
      </c>
      <c r="F6" s="669"/>
      <c r="G6" s="669"/>
      <c r="H6" s="670"/>
      <c r="I6" s="694" t="s">
        <v>229</v>
      </c>
      <c r="J6" s="662" t="s">
        <v>228</v>
      </c>
      <c r="K6" s="665" t="s">
        <v>222</v>
      </c>
      <c r="L6" s="668" t="s">
        <v>14</v>
      </c>
      <c r="M6" s="669"/>
      <c r="N6" s="669"/>
      <c r="O6" s="670"/>
      <c r="P6" s="671" t="s">
        <v>230</v>
      </c>
    </row>
    <row r="7" spans="1:16" ht="23.25" customHeight="1">
      <c r="A7" s="682"/>
      <c r="B7" s="683"/>
      <c r="C7" s="692"/>
      <c r="D7" s="666"/>
      <c r="E7" s="674" t="s">
        <v>63</v>
      </c>
      <c r="F7" s="674" t="s">
        <v>221</v>
      </c>
      <c r="G7" s="674" t="s">
        <v>45</v>
      </c>
      <c r="H7" s="674" t="s">
        <v>55</v>
      </c>
      <c r="I7" s="695"/>
      <c r="J7" s="663"/>
      <c r="K7" s="666"/>
      <c r="L7" s="674" t="s">
        <v>63</v>
      </c>
      <c r="M7" s="674" t="s">
        <v>221</v>
      </c>
      <c r="N7" s="674" t="s">
        <v>45</v>
      </c>
      <c r="O7" s="674" t="s">
        <v>55</v>
      </c>
      <c r="P7" s="672"/>
    </row>
    <row r="8" spans="1:16" ht="47.25" customHeight="1" thickBot="1">
      <c r="A8" s="684"/>
      <c r="B8" s="685"/>
      <c r="C8" s="693"/>
      <c r="D8" s="667"/>
      <c r="E8" s="667"/>
      <c r="F8" s="667"/>
      <c r="G8" s="667"/>
      <c r="H8" s="667"/>
      <c r="I8" s="696"/>
      <c r="J8" s="664"/>
      <c r="K8" s="667"/>
      <c r="L8" s="667"/>
      <c r="M8" s="667"/>
      <c r="N8" s="667"/>
      <c r="O8" s="667"/>
      <c r="P8" s="673"/>
    </row>
    <row r="9" spans="1:17" ht="30.75" customHeight="1">
      <c r="A9" s="640" t="s">
        <v>33</v>
      </c>
      <c r="B9" s="641"/>
      <c r="C9" s="374">
        <v>751</v>
      </c>
      <c r="D9" s="375">
        <v>1070</v>
      </c>
      <c r="E9" s="375">
        <f>172+42</f>
        <v>214</v>
      </c>
      <c r="F9" s="375">
        <v>0</v>
      </c>
      <c r="G9" s="375">
        <v>100</v>
      </c>
      <c r="H9" s="375">
        <f>172+586+100+42</f>
        <v>900</v>
      </c>
      <c r="I9" s="376">
        <f>C9+D9-H9</f>
        <v>921</v>
      </c>
      <c r="J9" s="374">
        <v>751</v>
      </c>
      <c r="K9" s="375">
        <f>1070+194</f>
        <v>1264</v>
      </c>
      <c r="L9" s="375">
        <v>214</v>
      </c>
      <c r="M9" s="375">
        <f>90+194</f>
        <v>284</v>
      </c>
      <c r="N9" s="375">
        <v>100</v>
      </c>
      <c r="O9" s="375">
        <f>990+194</f>
        <v>1184</v>
      </c>
      <c r="P9" s="376">
        <f>J9+K9-O9</f>
        <v>831</v>
      </c>
      <c r="Q9" s="367"/>
    </row>
    <row r="10" spans="1:17" ht="30.75" customHeight="1" thickBot="1">
      <c r="A10" s="635" t="s">
        <v>232</v>
      </c>
      <c r="B10" s="636"/>
      <c r="C10" s="371">
        <v>2062</v>
      </c>
      <c r="D10" s="372">
        <v>1474</v>
      </c>
      <c r="E10" s="372">
        <v>120</v>
      </c>
      <c r="F10" s="372">
        <v>150</v>
      </c>
      <c r="G10" s="372">
        <v>300</v>
      </c>
      <c r="H10" s="372">
        <v>1280</v>
      </c>
      <c r="I10" s="373">
        <f>C10+D10-H10</f>
        <v>2256</v>
      </c>
      <c r="J10" s="371">
        <v>2062</v>
      </c>
      <c r="K10" s="372">
        <v>1474</v>
      </c>
      <c r="L10" s="372">
        <v>120</v>
      </c>
      <c r="M10" s="372">
        <f>150+1900</f>
        <v>2050</v>
      </c>
      <c r="N10" s="372">
        <v>300</v>
      </c>
      <c r="O10" s="372">
        <f>710+L10+M10+N10</f>
        <v>3180</v>
      </c>
      <c r="P10" s="373">
        <f>J10+K10-O10</f>
        <v>356</v>
      </c>
      <c r="Q10" s="367"/>
    </row>
    <row r="11" spans="1:16" s="259" customFormat="1" ht="21" customHeight="1">
      <c r="A11" s="366"/>
      <c r="B11" s="366"/>
      <c r="C11" s="170"/>
      <c r="D11" s="170"/>
      <c r="E11" s="170"/>
      <c r="F11" s="170"/>
      <c r="G11" s="170"/>
      <c r="H11" s="170"/>
      <c r="I11" s="170"/>
      <c r="J11" s="170"/>
      <c r="K11" s="370"/>
      <c r="L11" s="370"/>
      <c r="M11" s="370"/>
      <c r="N11" s="370"/>
      <c r="O11" s="370"/>
      <c r="P11" s="370"/>
    </row>
    <row r="12" spans="1:16" s="259" customFormat="1" ht="21" customHeight="1">
      <c r="A12" s="366"/>
      <c r="B12" s="366"/>
      <c r="C12" s="170"/>
      <c r="D12" s="170"/>
      <c r="E12" s="170"/>
      <c r="F12" s="170"/>
      <c r="G12" s="170"/>
      <c r="H12" s="170"/>
      <c r="I12" s="170"/>
      <c r="J12" s="170"/>
      <c r="K12" s="370"/>
      <c r="L12" s="370"/>
      <c r="M12" s="370"/>
      <c r="N12" s="370"/>
      <c r="O12" s="370"/>
      <c r="P12" s="370"/>
    </row>
    <row r="13" spans="1:18" ht="9.75" customHeight="1">
      <c r="A13" s="365"/>
      <c r="B13" s="364"/>
      <c r="C13" s="660"/>
      <c r="D13" s="661"/>
      <c r="E13" s="661"/>
      <c r="F13" s="661"/>
      <c r="G13" s="661"/>
      <c r="H13" s="661"/>
      <c r="I13" s="661"/>
      <c r="J13" s="661"/>
      <c r="K13" s="661"/>
      <c r="L13" s="661"/>
      <c r="M13" s="661"/>
      <c r="N13" s="661"/>
      <c r="O13" s="661"/>
      <c r="P13" s="661"/>
      <c r="R13" s="363"/>
    </row>
    <row r="14" spans="1:16" ht="18">
      <c r="A14" s="645" t="s">
        <v>220</v>
      </c>
      <c r="B14" s="646"/>
      <c r="C14" s="646"/>
      <c r="D14" s="646"/>
      <c r="E14" s="646"/>
      <c r="F14" s="646"/>
      <c r="G14" s="646"/>
      <c r="H14" s="646"/>
      <c r="I14" s="646"/>
      <c r="J14" s="646"/>
      <c r="K14" s="646"/>
      <c r="L14" s="646"/>
      <c r="M14" s="646"/>
      <c r="N14" s="646"/>
      <c r="O14" s="646"/>
      <c r="P14" s="646"/>
    </row>
    <row r="15" spans="1:16" ht="16.5" customHeight="1" thickBot="1">
      <c r="A15" s="647"/>
      <c r="B15" s="647"/>
      <c r="C15" s="647"/>
      <c r="D15" s="647"/>
      <c r="E15" s="647"/>
      <c r="F15" s="647"/>
      <c r="G15" s="647"/>
      <c r="H15" s="647"/>
      <c r="I15" s="647"/>
      <c r="J15" s="647"/>
      <c r="K15" s="647"/>
      <c r="L15" s="647"/>
      <c r="M15" s="647"/>
      <c r="N15" s="647"/>
      <c r="O15" s="647"/>
      <c r="P15" s="647"/>
    </row>
    <row r="16" spans="1:16" ht="30.75" customHeight="1">
      <c r="A16" s="648" t="s">
        <v>3</v>
      </c>
      <c r="B16" s="649"/>
      <c r="C16" s="652" t="s">
        <v>62</v>
      </c>
      <c r="D16" s="653"/>
      <c r="E16" s="653"/>
      <c r="F16" s="653"/>
      <c r="G16" s="654"/>
      <c r="H16" s="362" t="s">
        <v>25</v>
      </c>
      <c r="I16" s="655" t="s">
        <v>61</v>
      </c>
      <c r="J16" s="655"/>
      <c r="K16" s="655"/>
      <c r="L16" s="655"/>
      <c r="M16" s="655"/>
      <c r="N16" s="655"/>
      <c r="O16" s="655"/>
      <c r="P16" s="362" t="s">
        <v>25</v>
      </c>
    </row>
    <row r="17" spans="1:16" ht="20.25" customHeight="1" thickBot="1">
      <c r="A17" s="650"/>
      <c r="B17" s="651"/>
      <c r="C17" s="657" t="s">
        <v>219</v>
      </c>
      <c r="D17" s="658"/>
      <c r="E17" s="658"/>
      <c r="F17" s="658"/>
      <c r="G17" s="659"/>
      <c r="H17" s="361" t="s">
        <v>48</v>
      </c>
      <c r="I17" s="656"/>
      <c r="J17" s="656"/>
      <c r="K17" s="656"/>
      <c r="L17" s="656"/>
      <c r="M17" s="656"/>
      <c r="N17" s="656"/>
      <c r="O17" s="656"/>
      <c r="P17" s="361" t="s">
        <v>48</v>
      </c>
    </row>
    <row r="18" spans="1:17" s="359" customFormat="1" ht="54.75" customHeight="1">
      <c r="A18" s="640" t="s">
        <v>33</v>
      </c>
      <c r="B18" s="641"/>
      <c r="C18" s="642" t="s">
        <v>234</v>
      </c>
      <c r="D18" s="643"/>
      <c r="E18" s="643"/>
      <c r="F18" s="643"/>
      <c r="G18" s="644"/>
      <c r="H18" s="379">
        <v>384</v>
      </c>
      <c r="I18" s="642" t="s">
        <v>231</v>
      </c>
      <c r="J18" s="643"/>
      <c r="K18" s="643"/>
      <c r="L18" s="643"/>
      <c r="M18" s="643"/>
      <c r="N18" s="643"/>
      <c r="O18" s="644"/>
      <c r="P18" s="380">
        <f>172+42</f>
        <v>214</v>
      </c>
      <c r="Q18" s="360"/>
    </row>
    <row r="19" spans="1:17" s="359" customFormat="1" ht="54.75" customHeight="1" thickBot="1">
      <c r="A19" s="635" t="s">
        <v>232</v>
      </c>
      <c r="B19" s="636"/>
      <c r="C19" s="637" t="s">
        <v>233</v>
      </c>
      <c r="D19" s="638"/>
      <c r="E19" s="638"/>
      <c r="F19" s="638"/>
      <c r="G19" s="639"/>
      <c r="H19" s="377">
        <f>150+300+1900</f>
        <v>2350</v>
      </c>
      <c r="I19" s="637" t="s">
        <v>134</v>
      </c>
      <c r="J19" s="638"/>
      <c r="K19" s="638"/>
      <c r="L19" s="638"/>
      <c r="M19" s="638"/>
      <c r="N19" s="638"/>
      <c r="O19" s="639"/>
      <c r="P19" s="378">
        <v>120</v>
      </c>
      <c r="Q19" s="360"/>
    </row>
    <row r="20" spans="1:16" ht="31.5" customHeight="1">
      <c r="A20" s="344"/>
      <c r="B20" s="358"/>
      <c r="C20" s="357"/>
      <c r="D20" s="356"/>
      <c r="E20" s="356"/>
      <c r="F20" s="356"/>
      <c r="G20" s="356"/>
      <c r="H20" s="353"/>
      <c r="I20" s="355"/>
      <c r="J20" s="354"/>
      <c r="K20" s="354"/>
      <c r="L20" s="354"/>
      <c r="M20" s="354"/>
      <c r="N20" s="354"/>
      <c r="O20" s="354"/>
      <c r="P20" s="353"/>
    </row>
    <row r="21" spans="1:16" ht="12.75">
      <c r="A21" s="352" t="s">
        <v>218</v>
      </c>
      <c r="B21" s="352" t="s">
        <v>215</v>
      </c>
      <c r="C21" s="352" t="s">
        <v>217</v>
      </c>
      <c r="D21" s="349"/>
      <c r="E21" s="349"/>
      <c r="F21" s="349"/>
      <c r="G21" s="349"/>
      <c r="H21" s="349"/>
      <c r="I21" s="349"/>
      <c r="J21" s="349"/>
      <c r="K21" s="350"/>
      <c r="L21" s="349"/>
      <c r="M21" s="349"/>
      <c r="N21" s="349"/>
      <c r="O21" s="349"/>
      <c r="P21" s="349"/>
    </row>
    <row r="22" spans="1:16" ht="12.75">
      <c r="A22" s="349"/>
      <c r="B22" s="351" t="s">
        <v>215</v>
      </c>
      <c r="C22" s="349" t="s">
        <v>216</v>
      </c>
      <c r="D22" s="349"/>
      <c r="E22" s="349"/>
      <c r="F22" s="349"/>
      <c r="G22" s="349"/>
      <c r="H22" s="349"/>
      <c r="I22" s="349"/>
      <c r="J22" s="349"/>
      <c r="K22" s="350"/>
      <c r="L22" s="349" t="s">
        <v>15</v>
      </c>
      <c r="M22" s="349"/>
      <c r="N22" s="349"/>
      <c r="O22" s="349"/>
      <c r="P22" s="349"/>
    </row>
    <row r="23" spans="1:16" ht="12.75">
      <c r="A23" s="349"/>
      <c r="B23" s="349" t="s">
        <v>215</v>
      </c>
      <c r="C23" s="349" t="s">
        <v>214</v>
      </c>
      <c r="D23" s="349"/>
      <c r="E23" s="349"/>
      <c r="F23" s="349"/>
      <c r="G23" s="349"/>
      <c r="H23" s="349"/>
      <c r="I23" s="349"/>
      <c r="J23" s="349"/>
      <c r="K23" s="350"/>
      <c r="L23" s="349"/>
      <c r="M23" s="349"/>
      <c r="N23" s="349"/>
      <c r="O23" s="349"/>
      <c r="P23" s="349"/>
    </row>
    <row r="24" spans="1:16" ht="12.75">
      <c r="A24" s="349"/>
      <c r="B24" s="349"/>
      <c r="C24" s="349"/>
      <c r="D24" s="349"/>
      <c r="E24" s="349"/>
      <c r="F24" s="349"/>
      <c r="G24" s="349"/>
      <c r="H24" s="349"/>
      <c r="I24" s="349"/>
      <c r="J24" s="349"/>
      <c r="K24" s="349" t="s">
        <v>15</v>
      </c>
      <c r="L24" s="349"/>
      <c r="M24" s="349"/>
      <c r="N24" s="349"/>
      <c r="O24" s="349"/>
      <c r="P24" s="349"/>
    </row>
    <row r="25" spans="1:16" ht="12.75">
      <c r="A25" s="349"/>
      <c r="B25" s="349"/>
      <c r="C25" s="349"/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</row>
    <row r="26" spans="1:16" ht="12.75">
      <c r="A26" s="349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349"/>
      <c r="P26" s="349"/>
    </row>
    <row r="27" spans="1:16" ht="12.75">
      <c r="A27" s="349"/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9"/>
    </row>
    <row r="28" spans="1:16" ht="12.75">
      <c r="A28" s="349"/>
      <c r="B28" s="349"/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349"/>
    </row>
    <row r="29" spans="1:16" ht="12.75">
      <c r="A29" s="349"/>
      <c r="B29" s="349"/>
      <c r="C29" s="349"/>
      <c r="D29" s="349"/>
      <c r="E29" s="349"/>
      <c r="F29" s="349"/>
      <c r="G29" s="349"/>
      <c r="H29" s="349"/>
      <c r="I29" s="349"/>
      <c r="J29" s="349"/>
      <c r="K29" s="349"/>
      <c r="L29" s="349"/>
      <c r="M29" s="349"/>
      <c r="N29" s="349"/>
      <c r="O29" s="349"/>
      <c r="P29" s="349"/>
    </row>
    <row r="30" spans="1:16" ht="12.75">
      <c r="A30" s="349"/>
      <c r="B30" s="349"/>
      <c r="C30" s="349"/>
      <c r="D30" s="349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349"/>
      <c r="P30" s="349"/>
    </row>
    <row r="31" spans="1:16" ht="12.75">
      <c r="A31" s="349"/>
      <c r="B31" s="349"/>
      <c r="C31" s="349"/>
      <c r="D31" s="349"/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</row>
    <row r="32" spans="1:16" ht="12.75">
      <c r="A32" s="349"/>
      <c r="B32" s="349"/>
      <c r="C32" s="349"/>
      <c r="D32" s="349"/>
      <c r="E32" s="349"/>
      <c r="F32" s="349"/>
      <c r="G32" s="349"/>
      <c r="H32" s="349"/>
      <c r="I32" s="349"/>
      <c r="J32" s="349"/>
      <c r="K32" s="349"/>
      <c r="L32" s="349"/>
      <c r="M32" s="349"/>
      <c r="N32" s="349"/>
      <c r="O32" s="349"/>
      <c r="P32" s="349"/>
    </row>
    <row r="33" spans="1:16" ht="12.75">
      <c r="A33" s="349"/>
      <c r="B33" s="349"/>
      <c r="C33" s="349"/>
      <c r="D33" s="349"/>
      <c r="E33" s="349"/>
      <c r="F33" s="349"/>
      <c r="G33" s="349"/>
      <c r="H33" s="349"/>
      <c r="I33" s="349"/>
      <c r="J33" s="349"/>
      <c r="K33" s="349"/>
      <c r="L33" s="349"/>
      <c r="M33" s="349"/>
      <c r="N33" s="349"/>
      <c r="O33" s="349"/>
      <c r="P33" s="349"/>
    </row>
    <row r="34" spans="1:16" ht="12.75">
      <c r="A34" s="349"/>
      <c r="B34" s="349"/>
      <c r="C34" s="349"/>
      <c r="D34" s="349"/>
      <c r="E34" s="349"/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</row>
    <row r="35" spans="1:16" ht="12.75">
      <c r="A35" s="349"/>
      <c r="B35" s="349"/>
      <c r="C35" s="349"/>
      <c r="D35" s="349"/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</row>
    <row r="36" spans="1:16" ht="12.75">
      <c r="A36" s="349"/>
      <c r="B36" s="349"/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</row>
    <row r="37" spans="1:16" ht="12.75">
      <c r="A37" s="349"/>
      <c r="B37" s="349"/>
      <c r="C37" s="349"/>
      <c r="D37" s="349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49"/>
    </row>
    <row r="38" spans="1:16" ht="12.75">
      <c r="A38" s="349"/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</row>
    <row r="39" spans="1:16" ht="12.75">
      <c r="A39" s="349"/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</row>
    <row r="40" spans="1:16" ht="12.75">
      <c r="A40" s="349"/>
      <c r="B40" s="349"/>
      <c r="C40" s="349"/>
      <c r="D40" s="349"/>
      <c r="E40" s="349"/>
      <c r="F40" s="349"/>
      <c r="G40" s="349"/>
      <c r="H40" s="349"/>
      <c r="I40" s="349"/>
      <c r="J40" s="349"/>
      <c r="K40" s="349"/>
      <c r="L40" s="349"/>
      <c r="M40" s="349"/>
      <c r="N40" s="349"/>
      <c r="O40" s="349"/>
      <c r="P40" s="349"/>
    </row>
    <row r="41" spans="1:16" ht="12.75">
      <c r="A41" s="349"/>
      <c r="B41" s="349"/>
      <c r="C41" s="349"/>
      <c r="D41" s="349"/>
      <c r="E41" s="349"/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349"/>
    </row>
    <row r="42" spans="1:16" ht="12.75">
      <c r="A42" s="349"/>
      <c r="B42" s="349"/>
      <c r="C42" s="349"/>
      <c r="D42" s="349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</row>
    <row r="43" spans="1:16" ht="12.75">
      <c r="A43" s="349"/>
      <c r="B43" s="349"/>
      <c r="C43" s="349"/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</row>
    <row r="44" spans="1:16" ht="12.75">
      <c r="A44" s="349"/>
      <c r="B44" s="349"/>
      <c r="C44" s="349"/>
      <c r="D44" s="349"/>
      <c r="E44" s="349"/>
      <c r="F44" s="349"/>
      <c r="G44" s="349"/>
      <c r="H44" s="349"/>
      <c r="I44" s="349"/>
      <c r="J44" s="349"/>
      <c r="K44" s="349"/>
      <c r="L44" s="349"/>
      <c r="M44" s="349"/>
      <c r="N44" s="349"/>
      <c r="O44" s="349"/>
      <c r="P44" s="349"/>
    </row>
    <row r="45" spans="1:16" ht="12.75">
      <c r="A45" s="349"/>
      <c r="B45" s="349"/>
      <c r="C45" s="349"/>
      <c r="D45" s="349"/>
      <c r="E45" s="349"/>
      <c r="F45" s="349"/>
      <c r="G45" s="349"/>
      <c r="H45" s="349"/>
      <c r="I45" s="349"/>
      <c r="J45" s="349"/>
      <c r="K45" s="349"/>
      <c r="L45" s="349"/>
      <c r="M45" s="349"/>
      <c r="N45" s="349"/>
      <c r="O45" s="349"/>
      <c r="P45" s="349"/>
    </row>
    <row r="46" spans="1:16" ht="12.75">
      <c r="A46" s="349"/>
      <c r="B46" s="349"/>
      <c r="C46" s="349"/>
      <c r="D46" s="349"/>
      <c r="E46" s="349"/>
      <c r="F46" s="349"/>
      <c r="G46" s="349"/>
      <c r="H46" s="349"/>
      <c r="I46" s="349"/>
      <c r="J46" s="349"/>
      <c r="K46" s="349"/>
      <c r="L46" s="349"/>
      <c r="M46" s="349"/>
      <c r="N46" s="349"/>
      <c r="O46" s="349"/>
      <c r="P46" s="349"/>
    </row>
    <row r="47" spans="1:16" ht="12.75">
      <c r="A47" s="349"/>
      <c r="B47" s="349"/>
      <c r="C47" s="349"/>
      <c r="D47" s="349"/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49"/>
    </row>
    <row r="48" spans="1:16" ht="12.75">
      <c r="A48" s="349"/>
      <c r="B48" s="349"/>
      <c r="C48" s="349"/>
      <c r="D48" s="349"/>
      <c r="E48" s="349"/>
      <c r="F48" s="349"/>
      <c r="G48" s="349"/>
      <c r="H48" s="349"/>
      <c r="I48" s="349"/>
      <c r="J48" s="349"/>
      <c r="K48" s="349"/>
      <c r="L48" s="349"/>
      <c r="M48" s="349"/>
      <c r="N48" s="349"/>
      <c r="O48" s="349"/>
      <c r="P48" s="349"/>
    </row>
    <row r="49" spans="1:16" ht="12.75">
      <c r="A49" s="349"/>
      <c r="B49" s="349"/>
      <c r="C49" s="349"/>
      <c r="D49" s="349"/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49"/>
    </row>
    <row r="50" spans="1:16" ht="12.75">
      <c r="A50" s="349"/>
      <c r="B50" s="349"/>
      <c r="C50" s="349"/>
      <c r="D50" s="349"/>
      <c r="E50" s="349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</row>
    <row r="51" spans="1:16" ht="12.75">
      <c r="A51" s="349"/>
      <c r="B51" s="349"/>
      <c r="C51" s="349"/>
      <c r="D51" s="349"/>
      <c r="E51" s="349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49"/>
    </row>
    <row r="52" spans="1:16" ht="12.75">
      <c r="A52" s="349"/>
      <c r="B52" s="349"/>
      <c r="C52" s="349"/>
      <c r="D52" s="349"/>
      <c r="E52" s="349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</row>
    <row r="53" spans="1:16" ht="12.75">
      <c r="A53" s="349"/>
      <c r="B53" s="349"/>
      <c r="C53" s="349"/>
      <c r="D53" s="349"/>
      <c r="E53" s="349"/>
      <c r="F53" s="349"/>
      <c r="G53" s="349"/>
      <c r="H53" s="349"/>
      <c r="I53" s="349"/>
      <c r="J53" s="349"/>
      <c r="K53" s="349"/>
      <c r="L53" s="349"/>
      <c r="M53" s="349"/>
      <c r="N53" s="349"/>
      <c r="O53" s="349"/>
      <c r="P53" s="349"/>
    </row>
    <row r="54" spans="1:16" ht="12.75">
      <c r="A54" s="349"/>
      <c r="B54" s="349"/>
      <c r="C54" s="349"/>
      <c r="D54" s="349"/>
      <c r="E54" s="349"/>
      <c r="F54" s="349"/>
      <c r="G54" s="349"/>
      <c r="H54" s="349"/>
      <c r="I54" s="349"/>
      <c r="J54" s="349"/>
      <c r="K54" s="349"/>
      <c r="L54" s="349"/>
      <c r="M54" s="349"/>
      <c r="N54" s="349"/>
      <c r="O54" s="349"/>
      <c r="P54" s="349"/>
    </row>
    <row r="55" spans="1:16" ht="12.75">
      <c r="A55" s="349"/>
      <c r="B55" s="349"/>
      <c r="C55" s="349"/>
      <c r="D55" s="349"/>
      <c r="E55" s="349"/>
      <c r="F55" s="349"/>
      <c r="G55" s="349"/>
      <c r="H55" s="349"/>
      <c r="I55" s="349"/>
      <c r="J55" s="349"/>
      <c r="K55" s="349"/>
      <c r="L55" s="349"/>
      <c r="M55" s="349"/>
      <c r="N55" s="349"/>
      <c r="O55" s="349"/>
      <c r="P55" s="349"/>
    </row>
    <row r="56" spans="1:16" ht="12.75">
      <c r="A56" s="349"/>
      <c r="B56" s="349"/>
      <c r="C56" s="349"/>
      <c r="D56" s="349"/>
      <c r="E56" s="349"/>
      <c r="F56" s="349"/>
      <c r="G56" s="349"/>
      <c r="H56" s="349"/>
      <c r="I56" s="349"/>
      <c r="J56" s="349"/>
      <c r="K56" s="349"/>
      <c r="L56" s="349"/>
      <c r="M56" s="349"/>
      <c r="N56" s="349"/>
      <c r="O56" s="349"/>
      <c r="P56" s="349"/>
    </row>
    <row r="57" spans="1:16" ht="12.75">
      <c r="A57" s="349"/>
      <c r="B57" s="349"/>
      <c r="C57" s="349"/>
      <c r="D57" s="349"/>
      <c r="E57" s="349"/>
      <c r="F57" s="349"/>
      <c r="G57" s="349"/>
      <c r="H57" s="349"/>
      <c r="I57" s="349"/>
      <c r="J57" s="349"/>
      <c r="K57" s="349"/>
      <c r="L57" s="349"/>
      <c r="M57" s="349"/>
      <c r="N57" s="349"/>
      <c r="O57" s="349"/>
      <c r="P57" s="349"/>
    </row>
    <row r="58" spans="1:16" ht="12.75">
      <c r="A58" s="349"/>
      <c r="B58" s="349"/>
      <c r="C58" s="349"/>
      <c r="D58" s="349"/>
      <c r="E58" s="349"/>
      <c r="F58" s="349"/>
      <c r="G58" s="349"/>
      <c r="H58" s="349"/>
      <c r="I58" s="349"/>
      <c r="J58" s="349"/>
      <c r="K58" s="349"/>
      <c r="L58" s="349"/>
      <c r="M58" s="349"/>
      <c r="N58" s="349"/>
      <c r="O58" s="349"/>
      <c r="P58" s="349"/>
    </row>
    <row r="59" spans="1:16" ht="12.75">
      <c r="A59" s="349"/>
      <c r="B59" s="349"/>
      <c r="C59" s="349"/>
      <c r="D59" s="349"/>
      <c r="E59" s="349"/>
      <c r="F59" s="349"/>
      <c r="G59" s="349"/>
      <c r="H59" s="349"/>
      <c r="I59" s="349"/>
      <c r="J59" s="349"/>
      <c r="K59" s="349"/>
      <c r="L59" s="349"/>
      <c r="M59" s="349"/>
      <c r="N59" s="349"/>
      <c r="O59" s="349"/>
      <c r="P59" s="349"/>
    </row>
    <row r="60" spans="1:16" ht="12.75">
      <c r="A60" s="349"/>
      <c r="B60" s="349"/>
      <c r="C60" s="349"/>
      <c r="D60" s="349"/>
      <c r="E60" s="349"/>
      <c r="F60" s="349"/>
      <c r="G60" s="349"/>
      <c r="H60" s="349"/>
      <c r="I60" s="349"/>
      <c r="J60" s="349"/>
      <c r="K60" s="349"/>
      <c r="L60" s="349"/>
      <c r="M60" s="349"/>
      <c r="N60" s="349"/>
      <c r="O60" s="349"/>
      <c r="P60" s="349"/>
    </row>
    <row r="61" spans="1:16" ht="12.75">
      <c r="A61" s="349"/>
      <c r="B61" s="349"/>
      <c r="C61" s="349"/>
      <c r="D61" s="349"/>
      <c r="E61" s="349"/>
      <c r="F61" s="349"/>
      <c r="G61" s="349"/>
      <c r="H61" s="349"/>
      <c r="I61" s="349"/>
      <c r="J61" s="349"/>
      <c r="K61" s="349"/>
      <c r="L61" s="349"/>
      <c r="M61" s="349"/>
      <c r="N61" s="349"/>
      <c r="O61" s="349"/>
      <c r="P61" s="349"/>
    </row>
    <row r="62" spans="1:16" ht="12.75">
      <c r="A62" s="349"/>
      <c r="B62" s="349"/>
      <c r="C62" s="349"/>
      <c r="D62" s="349"/>
      <c r="E62" s="349"/>
      <c r="F62" s="349"/>
      <c r="G62" s="349"/>
      <c r="H62" s="349"/>
      <c r="I62" s="349"/>
      <c r="J62" s="349"/>
      <c r="K62" s="349"/>
      <c r="L62" s="349"/>
      <c r="M62" s="349"/>
      <c r="N62" s="349"/>
      <c r="O62" s="349"/>
      <c r="P62" s="349"/>
    </row>
    <row r="63" spans="1:16" ht="12.75">
      <c r="A63" s="349"/>
      <c r="B63" s="349"/>
      <c r="C63" s="349"/>
      <c r="D63" s="349"/>
      <c r="E63" s="349"/>
      <c r="F63" s="349"/>
      <c r="G63" s="349"/>
      <c r="H63" s="349"/>
      <c r="I63" s="349"/>
      <c r="J63" s="349"/>
      <c r="K63" s="349"/>
      <c r="L63" s="349"/>
      <c r="M63" s="349"/>
      <c r="N63" s="349"/>
      <c r="O63" s="349"/>
      <c r="P63" s="349"/>
    </row>
    <row r="64" spans="1:16" ht="12.75">
      <c r="A64" s="349"/>
      <c r="B64" s="349"/>
      <c r="C64" s="349"/>
      <c r="D64" s="349"/>
      <c r="E64" s="349"/>
      <c r="F64" s="349"/>
      <c r="G64" s="349"/>
      <c r="H64" s="349"/>
      <c r="I64" s="349"/>
      <c r="J64" s="349"/>
      <c r="K64" s="349"/>
      <c r="L64" s="349"/>
      <c r="M64" s="349"/>
      <c r="N64" s="349"/>
      <c r="O64" s="349"/>
      <c r="P64" s="349"/>
    </row>
    <row r="65" spans="1:10" ht="12.75">
      <c r="A65" s="349"/>
      <c r="B65" s="349"/>
      <c r="C65" s="349"/>
      <c r="D65" s="349"/>
      <c r="E65" s="349"/>
      <c r="F65" s="349"/>
      <c r="G65" s="349"/>
      <c r="H65" s="349"/>
      <c r="I65" s="349"/>
      <c r="J65" s="349"/>
    </row>
    <row r="66" spans="1:10" ht="12.75">
      <c r="A66" s="349"/>
      <c r="B66" s="349"/>
      <c r="C66" s="349"/>
      <c r="D66" s="349"/>
      <c r="E66" s="349"/>
      <c r="F66" s="349"/>
      <c r="G66" s="349"/>
      <c r="H66" s="349"/>
      <c r="I66" s="349"/>
      <c r="J66" s="349"/>
    </row>
  </sheetData>
  <sheetProtection/>
  <mergeCells count="37">
    <mergeCell ref="N1:P1"/>
    <mergeCell ref="N2:P2"/>
    <mergeCell ref="A3:P3"/>
    <mergeCell ref="A5:B8"/>
    <mergeCell ref="C5:I5"/>
    <mergeCell ref="O7:O8"/>
    <mergeCell ref="J5:P5"/>
    <mergeCell ref="C6:C8"/>
    <mergeCell ref="D6:D8"/>
    <mergeCell ref="I6:I8"/>
    <mergeCell ref="N7:N8"/>
    <mergeCell ref="A9:B9"/>
    <mergeCell ref="F7:F8"/>
    <mergeCell ref="G7:G8"/>
    <mergeCell ref="H7:H8"/>
    <mergeCell ref="L7:L8"/>
    <mergeCell ref="M7:M8"/>
    <mergeCell ref="C16:G16"/>
    <mergeCell ref="I16:O17"/>
    <mergeCell ref="C17:G17"/>
    <mergeCell ref="C13:P13"/>
    <mergeCell ref="J6:J8"/>
    <mergeCell ref="K6:K8"/>
    <mergeCell ref="L6:O6"/>
    <mergeCell ref="P6:P8"/>
    <mergeCell ref="E7:E8"/>
    <mergeCell ref="E6:H6"/>
    <mergeCell ref="A10:B10"/>
    <mergeCell ref="A19:B19"/>
    <mergeCell ref="C19:G19"/>
    <mergeCell ref="I19:O19"/>
    <mergeCell ref="A18:B18"/>
    <mergeCell ref="C18:G18"/>
    <mergeCell ref="I18:O18"/>
    <mergeCell ref="A14:P14"/>
    <mergeCell ref="A15:P15"/>
    <mergeCell ref="A16:B17"/>
  </mergeCells>
  <printOptions horizontalCentered="1" verticalCentered="1"/>
  <pageMargins left="0.37" right="0.31" top="0.3937007874015748" bottom="0.3937007874015748" header="0.5118110236220472" footer="0.5118110236220472"/>
  <pageSetup fitToHeight="2" horizontalDpi="600" verticalDpi="600" orientation="landscape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Palan</dc:creator>
  <cp:keywords/>
  <dc:description/>
  <cp:lastModifiedBy>Pospíchalová Petra</cp:lastModifiedBy>
  <cp:lastPrinted>2012-11-13T12:46:39Z</cp:lastPrinted>
  <dcterms:created xsi:type="dcterms:W3CDTF">2002-01-30T15:48:46Z</dcterms:created>
  <dcterms:modified xsi:type="dcterms:W3CDTF">2012-11-15T10:31:04Z</dcterms:modified>
  <cp:category/>
  <cp:version/>
  <cp:contentType/>
  <cp:contentStatus/>
</cp:coreProperties>
</file>