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65251" windowWidth="12000" windowHeight="12405" activeTab="0"/>
  </bookViews>
  <sheets>
    <sheet name="Indikativní rozpočet" sheetId="1" r:id="rId1"/>
    <sheet name="Kontrola limitů" sheetId="2" r:id="rId2"/>
  </sheets>
  <definedNames>
    <definedName name="_xlnm.Print_Area" localSheetId="0">'Indikativní rozpočet'!$A$1:$I$58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<sst xmlns="http://schemas.openxmlformats.org/spreadsheetml/2006/main" count="116" uniqueCount="82">
  <si>
    <t>Počet jednotek</t>
  </si>
  <si>
    <t>Náhrady služební cesty zahraničního experta v ČR</t>
  </si>
  <si>
    <t>Jednotková cena bez DPH</t>
  </si>
  <si>
    <t>Celkem bez DPH</t>
  </si>
  <si>
    <t>Celkem s DPH</t>
  </si>
  <si>
    <t>Letenky/jiná doprava</t>
  </si>
  <si>
    <t>* v rozsahu nezbytném pro realizaci sub-projektu, bude konkrétně specifikováno v podrobném rozpočtu v samostatné příloze</t>
  </si>
  <si>
    <t>osobo/dny</t>
  </si>
  <si>
    <t>ks</t>
  </si>
  <si>
    <t>počet osob</t>
  </si>
  <si>
    <t>normostrana</t>
  </si>
  <si>
    <t>soubor</t>
  </si>
  <si>
    <t>den</t>
  </si>
  <si>
    <t>Náhrady služební cesty českého experta ve Švýcarsku</t>
  </si>
  <si>
    <t xml:space="preserve">Indikativní rozpočet </t>
  </si>
  <si>
    <t>Expert 1</t>
  </si>
  <si>
    <t>Expert 2</t>
  </si>
  <si>
    <t>Expert 3</t>
  </si>
  <si>
    <t>***bude rozepsáno v jednotlivých položkách</t>
  </si>
  <si>
    <t>Informace k rozpočtu:</t>
  </si>
  <si>
    <t>Publicita***</t>
  </si>
  <si>
    <t>celkem</t>
  </si>
  <si>
    <t xml:space="preserve"> Přípravné dokumenty pro seminář</t>
  </si>
  <si>
    <t>Ubytování</t>
  </si>
  <si>
    <t>Diety</t>
  </si>
  <si>
    <t>osoba/noc</t>
  </si>
  <si>
    <r>
      <t>KONTROLA LIMIT</t>
    </r>
    <r>
      <rPr>
        <b/>
        <u val="single"/>
        <sz val="12"/>
        <color indexed="10"/>
        <rFont val="Arial"/>
        <family val="2"/>
      </rPr>
      <t>Ů</t>
    </r>
    <r>
      <rPr>
        <b/>
        <u val="single"/>
        <sz val="12"/>
        <color indexed="10"/>
        <rFont val="Times New Roman"/>
        <family val="1"/>
      </rPr>
      <t xml:space="preserve"> V ROZPOČTU (výpočet pro náklady včetně DPH):</t>
    </r>
  </si>
  <si>
    <r>
      <t>Administrativní náklady u NNO</t>
    </r>
    <r>
      <rPr>
        <sz val="12"/>
        <color indexed="18"/>
        <rFont val="Times New Roman"/>
        <family val="1"/>
      </rPr>
      <t xml:space="preserve"> - max. 10% celkových oprávněných nákladů </t>
    </r>
  </si>
  <si>
    <r>
      <t xml:space="preserve">Administrativní náklady - </t>
    </r>
    <r>
      <rPr>
        <sz val="12"/>
        <color indexed="18"/>
        <rFont val="Times New Roman"/>
        <family val="1"/>
      </rPr>
      <t xml:space="preserve">max. 3% celkových oprávněných nákladů </t>
    </r>
  </si>
  <si>
    <t>Položka rozpočtu</t>
  </si>
  <si>
    <t>Maximální výše v Kč</t>
  </si>
  <si>
    <t>Stav položky v rozpočtu</t>
  </si>
  <si>
    <t>Kontrola limitů na druhém listě</t>
  </si>
  <si>
    <t>Číslo aktivity (dle Formuláře žádosti 3.4)</t>
  </si>
  <si>
    <t>**** bude vždy uvedeno</t>
  </si>
  <si>
    <t>Hrubá mzda celkem</t>
  </si>
  <si>
    <t>Počet osobo/dnů</t>
  </si>
  <si>
    <t>Hrubá mzda v přepočtu na 1 osobo/den</t>
  </si>
  <si>
    <t>Experti (CH i CZ) - mzdové náklady</t>
  </si>
  <si>
    <r>
      <t xml:space="preserve">Jednotka      </t>
    </r>
    <r>
      <rPr>
        <sz val="10"/>
        <color indexed="10"/>
        <rFont val="Times New Roman"/>
        <family val="1"/>
      </rPr>
      <t xml:space="preserve">   ****</t>
    </r>
  </si>
  <si>
    <t>osoba/den</t>
  </si>
  <si>
    <t>Jednotlivé části rozpočtu v CZK</t>
  </si>
  <si>
    <t>Náklady  celkem (včetně mzdových nákladů)</t>
  </si>
  <si>
    <t>Ion Karagounis</t>
  </si>
  <si>
    <t>Karin Schweiter</t>
  </si>
  <si>
    <t>Nadine Ramer</t>
  </si>
  <si>
    <t xml:space="preserve">Průvodce </t>
  </si>
  <si>
    <t>jeden z výše uvedených expertů</t>
  </si>
  <si>
    <t>Překlady do německého jazyka</t>
  </si>
  <si>
    <t>Překlady z německého jazyka</t>
  </si>
  <si>
    <t>1, 2, 3</t>
  </si>
  <si>
    <t>1, 3</t>
  </si>
  <si>
    <t>Tlumočení - konsekutivní</t>
  </si>
  <si>
    <t>Tlumočení - simultánní</t>
  </si>
  <si>
    <t>Náklady na tlumočníka a řidiče - diety</t>
  </si>
  <si>
    <t>Náklady na tlumočníka a řidiče - ubytování</t>
  </si>
  <si>
    <t>počet hodin</t>
  </si>
  <si>
    <t>Pronájem místnosti včetně technického vybavení - workshop</t>
  </si>
  <si>
    <t>Pronájem místnosti včetně technického vybavení - konference</t>
  </si>
  <si>
    <t>Tlumočenická technika - konference</t>
  </si>
  <si>
    <t>Tlumočenické sety</t>
  </si>
  <si>
    <t xml:space="preserve"> Občerstvení - pracovní jednání</t>
  </si>
  <si>
    <t xml:space="preserve"> Občerstvení - konference</t>
  </si>
  <si>
    <t>Transport v průběhu studijní cesty</t>
  </si>
  <si>
    <t>Brožura příkladů dobré praxe ze Švýcarska a z České republiky - textová část</t>
  </si>
  <si>
    <t>Brožura příkladů dobré praxe ze Švýcarska a z České republiky - tisk</t>
  </si>
  <si>
    <t>Informační leták ISNOV - grafické zpracování</t>
  </si>
  <si>
    <t>Informační leták ISNOV - tisk</t>
  </si>
  <si>
    <t>Informační leták ISNOV - textová část</t>
  </si>
  <si>
    <t>Inzerce v regionálním tisku</t>
  </si>
  <si>
    <t>Banner s názvem projektu a logem Fondu Partnerství: grafický návrh</t>
  </si>
  <si>
    <t>Roll-up s názvem projektu a logem Fondu Partnerství: grafický návrh</t>
  </si>
  <si>
    <t>Roll-up s názvem projektu a logem Fondu Partnerství: výroba a doprava</t>
  </si>
  <si>
    <t>Konferenční vlajky: grafický návrh</t>
  </si>
  <si>
    <t>Konferenční vlajky: výroba</t>
  </si>
  <si>
    <t>počet stran</t>
  </si>
  <si>
    <t>Překlady, tlumočení</t>
  </si>
  <si>
    <t>Ostatní náklady na tlumočníka a řidiče</t>
  </si>
  <si>
    <t xml:space="preserve"> Občerstvení - workshopy</t>
  </si>
  <si>
    <t>Název sub-projektu: Švýcarsko – dobrá praxe pro ISNOV</t>
  </si>
  <si>
    <t>Semináře v ČR ***</t>
  </si>
  <si>
    <t>Brožura příkladů dobré praxe ze Švýcarska a z České republiky - grafika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</si>
</sst>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#,##0.00\ [$CZK]"/>
    <numFmt numFmtId="169" formatCode="#,##0.000\ [$CZK]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 shrinkToFit="1"/>
    </xf>
    <xf numFmtId="0" fontId="1" fillId="33" borderId="0" xfId="46" applyFont="1" applyFill="1" applyBorder="1" applyAlignment="1">
      <alignment horizontal="left" vertical="center" indent="2"/>
      <protection/>
    </xf>
    <xf numFmtId="0" fontId="1" fillId="33" borderId="0" xfId="46" applyFont="1" applyFill="1" applyBorder="1" applyAlignment="1">
      <alignment vertical="center"/>
      <protection/>
    </xf>
    <xf numFmtId="0" fontId="2" fillId="33" borderId="0" xfId="46" applyFont="1" applyFill="1" applyBorder="1" applyAlignment="1">
      <alignment horizontal="left" vertical="center" indent="2"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0" fontId="3" fillId="33" borderId="15" xfId="46" applyFont="1" applyFill="1" applyBorder="1" applyAlignment="1">
      <alignment vertical="top" wrapText="1"/>
      <protection/>
    </xf>
    <xf numFmtId="0" fontId="3" fillId="33" borderId="15" xfId="46" applyFont="1" applyFill="1" applyBorder="1" applyAlignment="1">
      <alignment horizontal="justify" vertical="top" wrapText="1"/>
      <protection/>
    </xf>
    <xf numFmtId="0" fontId="3" fillId="33" borderId="16" xfId="46" applyFont="1" applyFill="1" applyBorder="1" applyAlignment="1">
      <alignment horizontal="justify" vertical="top" wrapText="1"/>
      <protection/>
    </xf>
    <xf numFmtId="0" fontId="3" fillId="33" borderId="17" xfId="46" applyFont="1" applyFill="1" applyBorder="1" applyAlignment="1">
      <alignment horizontal="justify" vertical="top" wrapText="1"/>
      <protection/>
    </xf>
    <xf numFmtId="4" fontId="3" fillId="33" borderId="18" xfId="46" applyNumberFormat="1" applyFont="1" applyFill="1" applyBorder="1" applyAlignment="1" applyProtection="1">
      <alignment horizontal="right" vertical="center" wrapText="1"/>
      <protection/>
    </xf>
    <xf numFmtId="4" fontId="3" fillId="33" borderId="19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4" fontId="3" fillId="33" borderId="20" xfId="46" applyNumberFormat="1" applyFont="1" applyFill="1" applyBorder="1" applyAlignment="1" applyProtection="1">
      <alignment horizontal="right" vertical="center" wrapText="1"/>
      <protection/>
    </xf>
    <xf numFmtId="4" fontId="3" fillId="33" borderId="21" xfId="46" applyNumberFormat="1" applyFont="1" applyFill="1" applyBorder="1" applyAlignment="1" applyProtection="1">
      <alignment horizontal="right" vertical="center" wrapText="1"/>
      <protection/>
    </xf>
    <xf numFmtId="4" fontId="5" fillId="33" borderId="22" xfId="46" applyNumberFormat="1" applyFont="1" applyFill="1" applyBorder="1" applyAlignment="1" applyProtection="1">
      <alignment horizontal="right" vertical="center" wrapText="1"/>
      <protection/>
    </xf>
    <xf numFmtId="0" fontId="8" fillId="33" borderId="23" xfId="46" applyFont="1" applyFill="1" applyBorder="1" applyAlignment="1">
      <alignment vertical="center" wrapText="1"/>
      <protection/>
    </xf>
    <xf numFmtId="0" fontId="13" fillId="33" borderId="23" xfId="46" applyFont="1" applyFill="1" applyBorder="1" applyAlignment="1">
      <alignment horizontal="center" vertical="center" wrapText="1"/>
      <protection/>
    </xf>
    <xf numFmtId="3" fontId="13" fillId="33" borderId="23" xfId="46" applyNumberFormat="1" applyFont="1" applyFill="1" applyBorder="1" applyAlignment="1">
      <alignment horizontal="center" vertical="center" wrapText="1"/>
      <protection/>
    </xf>
    <xf numFmtId="4" fontId="8" fillId="33" borderId="23" xfId="46" applyNumberFormat="1" applyFont="1" applyFill="1" applyBorder="1" applyAlignment="1" applyProtection="1">
      <alignment horizontal="right" vertical="center" wrapText="1"/>
      <protection/>
    </xf>
    <xf numFmtId="4" fontId="5" fillId="33" borderId="23" xfId="46" applyNumberFormat="1" applyFont="1" applyFill="1" applyBorder="1" applyAlignment="1" applyProtection="1">
      <alignment horizontal="right" vertical="center" wrapText="1"/>
      <protection/>
    </xf>
    <xf numFmtId="4" fontId="61" fillId="33" borderId="18" xfId="46" applyNumberFormat="1" applyFont="1" applyFill="1" applyBorder="1" applyAlignment="1" applyProtection="1">
      <alignment horizontal="right" vertical="center" wrapText="1"/>
      <protection/>
    </xf>
    <xf numFmtId="4" fontId="61" fillId="33" borderId="20" xfId="46" applyNumberFormat="1" applyFont="1" applyFill="1" applyBorder="1" applyAlignment="1" applyProtection="1">
      <alignment horizontal="right" vertical="center" wrapText="1"/>
      <protection/>
    </xf>
    <xf numFmtId="4" fontId="61" fillId="33" borderId="19" xfId="46" applyNumberFormat="1" applyFont="1" applyFill="1" applyBorder="1" applyAlignment="1" applyProtection="1">
      <alignment horizontal="right" vertical="center" wrapText="1"/>
      <protection/>
    </xf>
    <xf numFmtId="4" fontId="61" fillId="33" borderId="21" xfId="46" applyNumberFormat="1" applyFont="1" applyFill="1" applyBorder="1" applyAlignment="1" applyProtection="1">
      <alignment horizontal="right" vertical="center" wrapText="1"/>
      <protection/>
    </xf>
    <xf numFmtId="4" fontId="61" fillId="33" borderId="24" xfId="46" applyNumberFormat="1" applyFont="1" applyFill="1" applyBorder="1" applyAlignment="1" applyProtection="1">
      <alignment horizontal="right" vertical="center" wrapText="1"/>
      <protection/>
    </xf>
    <xf numFmtId="4" fontId="61" fillId="33" borderId="25" xfId="46" applyNumberFormat="1" applyFont="1" applyFill="1" applyBorder="1" applyAlignment="1" applyProtection="1">
      <alignment horizontal="right" vertical="center" wrapText="1"/>
      <protection/>
    </xf>
    <xf numFmtId="0" fontId="61" fillId="33" borderId="15" xfId="46" applyFont="1" applyFill="1" applyBorder="1" applyAlignment="1">
      <alignment horizontal="center" vertical="top" wrapText="1"/>
      <protection/>
    </xf>
    <xf numFmtId="0" fontId="61" fillId="33" borderId="26" xfId="46" applyFont="1" applyFill="1" applyBorder="1" applyAlignment="1">
      <alignment horizontal="center" wrapText="1"/>
      <protection/>
    </xf>
    <xf numFmtId="4" fontId="61" fillId="33" borderId="10" xfId="46" applyNumberFormat="1" applyFont="1" applyFill="1" applyBorder="1" applyAlignment="1" applyProtection="1">
      <alignment horizontal="right" vertical="center" wrapText="1"/>
      <protection/>
    </xf>
    <xf numFmtId="4" fontId="61" fillId="33" borderId="27" xfId="0" applyNumberFormat="1" applyFont="1" applyFill="1" applyBorder="1" applyAlignment="1">
      <alignment horizontal="right"/>
    </xf>
    <xf numFmtId="0" fontId="61" fillId="33" borderId="16" xfId="46" applyFont="1" applyFill="1" applyBorder="1" applyAlignment="1">
      <alignment horizontal="center" vertical="top" wrapText="1"/>
      <protection/>
    </xf>
    <xf numFmtId="0" fontId="61" fillId="33" borderId="28" xfId="46" applyFont="1" applyFill="1" applyBorder="1" applyAlignment="1">
      <alignment horizontal="center" wrapText="1"/>
      <protection/>
    </xf>
    <xf numFmtId="0" fontId="61" fillId="33" borderId="17" xfId="46" applyFont="1" applyFill="1" applyBorder="1" applyAlignment="1">
      <alignment horizontal="center" vertical="top" wrapText="1"/>
      <protection/>
    </xf>
    <xf numFmtId="0" fontId="61" fillId="33" borderId="29" xfId="46" applyFont="1" applyFill="1" applyBorder="1" applyAlignment="1">
      <alignment horizontal="center" wrapText="1"/>
      <protection/>
    </xf>
    <xf numFmtId="4" fontId="61" fillId="33" borderId="30" xfId="46" applyNumberFormat="1" applyFont="1" applyFill="1" applyBorder="1" applyAlignment="1" applyProtection="1">
      <alignment horizontal="right" vertical="center" wrapText="1"/>
      <protection/>
    </xf>
    <xf numFmtId="4" fontId="61" fillId="33" borderId="31" xfId="0" applyNumberFormat="1" applyFont="1" applyFill="1" applyBorder="1" applyAlignment="1">
      <alignment horizontal="right"/>
    </xf>
    <xf numFmtId="0" fontId="62" fillId="33" borderId="32" xfId="46" applyFont="1" applyFill="1" applyBorder="1" applyAlignment="1">
      <alignment horizontal="left" vertical="top" wrapText="1"/>
      <protection/>
    </xf>
    <xf numFmtId="0" fontId="62" fillId="33" borderId="25" xfId="46" applyFont="1" applyFill="1" applyBorder="1" applyAlignment="1">
      <alignment horizontal="left" vertical="top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61" fillId="33" borderId="18" xfId="46" applyFont="1" applyFill="1" applyBorder="1" applyAlignment="1">
      <alignment horizontal="center" vertical="center" wrapText="1"/>
      <protection/>
    </xf>
    <xf numFmtId="3" fontId="61" fillId="33" borderId="18" xfId="46" applyNumberFormat="1" applyFont="1" applyFill="1" applyBorder="1" applyAlignment="1">
      <alignment horizontal="center" vertical="center" wrapText="1"/>
      <protection/>
    </xf>
    <xf numFmtId="0" fontId="61" fillId="33" borderId="24" xfId="46" applyFont="1" applyFill="1" applyBorder="1" applyAlignment="1">
      <alignment horizontal="center" vertical="center" wrapText="1"/>
      <protection/>
    </xf>
    <xf numFmtId="3" fontId="61" fillId="33" borderId="24" xfId="46" applyNumberFormat="1" applyFont="1" applyFill="1" applyBorder="1" applyAlignment="1">
      <alignment horizontal="center" vertical="center" wrapText="1"/>
      <protection/>
    </xf>
    <xf numFmtId="0" fontId="61" fillId="33" borderId="19" xfId="46" applyFont="1" applyFill="1" applyBorder="1" applyAlignment="1">
      <alignment horizontal="center" vertical="center" wrapText="1"/>
      <protection/>
    </xf>
    <xf numFmtId="3" fontId="61" fillId="33" borderId="19" xfId="46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right" vertical="center" wrapText="1"/>
    </xf>
    <xf numFmtId="3" fontId="3" fillId="33" borderId="18" xfId="46" applyNumberFormat="1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3" fontId="3" fillId="33" borderId="19" xfId="46" applyNumberFormat="1" applyFont="1" applyFill="1" applyBorder="1" applyAlignment="1">
      <alignment horizontal="center" vertical="center" wrapText="1"/>
      <protection/>
    </xf>
    <xf numFmtId="0" fontId="7" fillId="34" borderId="33" xfId="46" applyFont="1" applyFill="1" applyBorder="1" applyAlignment="1">
      <alignment horizontal="center" vertical="center" wrapText="1"/>
      <protection/>
    </xf>
    <xf numFmtId="0" fontId="23" fillId="34" borderId="33" xfId="46" applyFont="1" applyFill="1" applyBorder="1" applyAlignment="1">
      <alignment horizontal="center" vertical="center" wrapText="1"/>
      <protection/>
    </xf>
    <xf numFmtId="3" fontId="6" fillId="34" borderId="33" xfId="46" applyNumberFormat="1" applyFont="1" applyFill="1" applyBorder="1" applyAlignment="1">
      <alignment horizontal="center" vertical="center" wrapText="1"/>
      <protection/>
    </xf>
    <xf numFmtId="4" fontId="3" fillId="34" borderId="33" xfId="46" applyNumberFormat="1" applyFont="1" applyFill="1" applyBorder="1" applyAlignment="1" applyProtection="1">
      <alignment horizontal="right" vertical="center" wrapText="1"/>
      <protection/>
    </xf>
    <xf numFmtId="4" fontId="63" fillId="34" borderId="33" xfId="46" applyNumberFormat="1" applyFont="1" applyFill="1" applyBorder="1" applyAlignment="1" applyProtection="1">
      <alignment horizontal="right" vertical="center" wrapText="1"/>
      <protection/>
    </xf>
    <xf numFmtId="4" fontId="63" fillId="34" borderId="34" xfId="46" applyNumberFormat="1" applyFont="1" applyFill="1" applyBorder="1" applyAlignment="1" applyProtection="1">
      <alignment horizontal="right" vertical="center" wrapText="1"/>
      <protection/>
    </xf>
    <xf numFmtId="0" fontId="5" fillId="34" borderId="33" xfId="46" applyFont="1" applyFill="1" applyBorder="1" applyAlignment="1">
      <alignment horizontal="center" vertical="center" wrapText="1"/>
      <protection/>
    </xf>
    <xf numFmtId="0" fontId="6" fillId="34" borderId="33" xfId="46" applyFont="1" applyFill="1" applyBorder="1" applyAlignment="1">
      <alignment horizontal="center" vertical="center" wrapText="1"/>
      <protection/>
    </xf>
    <xf numFmtId="0" fontId="6" fillId="33" borderId="15" xfId="46" applyFont="1" applyFill="1" applyBorder="1" applyAlignment="1">
      <alignment horizontal="left" vertical="center" wrapText="1"/>
      <protection/>
    </xf>
    <xf numFmtId="0" fontId="6" fillId="33" borderId="27" xfId="46" applyFont="1" applyFill="1" applyBorder="1" applyAlignment="1">
      <alignment horizontal="left" vertical="center" wrapText="1"/>
      <protection/>
    </xf>
    <xf numFmtId="0" fontId="5" fillId="34" borderId="11" xfId="46" applyFont="1" applyFill="1" applyBorder="1" applyAlignment="1">
      <alignment horizontal="left" vertical="center" wrapText="1"/>
      <protection/>
    </xf>
    <xf numFmtId="0" fontId="5" fillId="34" borderId="35" xfId="46" applyFont="1" applyFill="1" applyBorder="1" applyAlignment="1">
      <alignment horizontal="left" vertical="center" wrapText="1"/>
      <protection/>
    </xf>
    <xf numFmtId="0" fontId="5" fillId="33" borderId="12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6" fillId="33" borderId="15" xfId="46" applyFont="1" applyFill="1" applyBorder="1" applyAlignment="1">
      <alignment vertical="center" wrapText="1"/>
      <protection/>
    </xf>
    <xf numFmtId="0" fontId="6" fillId="33" borderId="27" xfId="46" applyFont="1" applyFill="1" applyBorder="1" applyAlignment="1">
      <alignment vertical="center" wrapText="1"/>
      <protection/>
    </xf>
    <xf numFmtId="0" fontId="5" fillId="34" borderId="11" xfId="46" applyFont="1" applyFill="1" applyBorder="1" applyAlignment="1">
      <alignment vertical="center" wrapText="1"/>
      <protection/>
    </xf>
    <xf numFmtId="0" fontId="5" fillId="34" borderId="35" xfId="46" applyFont="1" applyFill="1" applyBorder="1" applyAlignment="1">
      <alignment vertical="center" wrapText="1"/>
      <protection/>
    </xf>
    <xf numFmtId="0" fontId="7" fillId="33" borderId="37" xfId="46" applyFont="1" applyFill="1" applyBorder="1" applyAlignment="1" applyProtection="1">
      <alignment horizontal="center" vertical="center" wrapText="1"/>
      <protection/>
    </xf>
    <xf numFmtId="0" fontId="7" fillId="33" borderId="38" xfId="46" applyFont="1" applyFill="1" applyBorder="1" applyAlignment="1" applyProtection="1">
      <alignment horizontal="center" vertical="center" wrapText="1"/>
      <protection/>
    </xf>
    <xf numFmtId="0" fontId="1" fillId="33" borderId="39" xfId="46" applyFont="1" applyFill="1" applyBorder="1" applyAlignment="1">
      <alignment horizontal="center" vertical="center" wrapText="1"/>
      <protection/>
    </xf>
    <xf numFmtId="0" fontId="1" fillId="33" borderId="37" xfId="46" applyFont="1" applyFill="1" applyBorder="1" applyAlignment="1">
      <alignment horizontal="center" vertical="center" wrapText="1"/>
      <protection/>
    </xf>
    <xf numFmtId="0" fontId="1" fillId="33" borderId="40" xfId="46" applyFont="1" applyFill="1" applyBorder="1" applyAlignment="1">
      <alignment horizontal="center" vertical="center" wrapText="1"/>
      <protection/>
    </xf>
    <xf numFmtId="0" fontId="1" fillId="33" borderId="38" xfId="46" applyFont="1" applyFill="1" applyBorder="1" applyAlignment="1">
      <alignment horizontal="center" vertical="center" wrapText="1"/>
      <protection/>
    </xf>
    <xf numFmtId="0" fontId="22" fillId="33" borderId="41" xfId="46" applyFont="1" applyFill="1" applyBorder="1" applyAlignment="1">
      <alignment horizontal="center" vertical="center" wrapText="1"/>
      <protection/>
    </xf>
    <xf numFmtId="0" fontId="5" fillId="33" borderId="42" xfId="46" applyFont="1" applyFill="1" applyBorder="1" applyAlignment="1">
      <alignment horizontal="center" vertical="center" wrapText="1"/>
      <protection/>
    </xf>
    <xf numFmtId="0" fontId="7" fillId="33" borderId="41" xfId="46" applyFont="1" applyFill="1" applyBorder="1" applyAlignment="1" applyProtection="1">
      <alignment horizontal="center" vertical="center" wrapText="1"/>
      <protection/>
    </xf>
    <xf numFmtId="0" fontId="7" fillId="33" borderId="42" xfId="46" applyFont="1" applyFill="1" applyBorder="1" applyAlignment="1" applyProtection="1">
      <alignment horizontal="center" vertical="center" wrapText="1"/>
      <protection/>
    </xf>
    <xf numFmtId="0" fontId="62" fillId="33" borderId="43" xfId="46" applyFont="1" applyFill="1" applyBorder="1" applyAlignment="1">
      <alignment horizontal="left" vertical="top" wrapText="1"/>
      <protection/>
    </xf>
    <xf numFmtId="0" fontId="62" fillId="33" borderId="20" xfId="46" applyFont="1" applyFill="1" applyBorder="1" applyAlignment="1">
      <alignment horizontal="left" vertical="top" wrapText="1"/>
      <protection/>
    </xf>
    <xf numFmtId="0" fontId="62" fillId="33" borderId="44" xfId="46" applyFont="1" applyFill="1" applyBorder="1" applyAlignment="1">
      <alignment horizontal="left" vertical="top" wrapText="1"/>
      <protection/>
    </xf>
    <xf numFmtId="0" fontId="62" fillId="33" borderId="21" xfId="46" applyFont="1" applyFill="1" applyBorder="1" applyAlignment="1">
      <alignment horizontal="left" vertical="top" wrapText="1"/>
      <protection/>
    </xf>
    <xf numFmtId="0" fontId="1" fillId="33" borderId="0" xfId="46" applyFont="1" applyFill="1" applyBorder="1" applyAlignment="1">
      <alignment horizontal="left" vertical="center"/>
      <protection/>
    </xf>
    <xf numFmtId="0" fontId="5" fillId="33" borderId="39" xfId="46" applyFont="1" applyFill="1" applyBorder="1" applyAlignment="1">
      <alignment horizontal="center" vertical="center" wrapText="1"/>
      <protection/>
    </xf>
    <xf numFmtId="0" fontId="5" fillId="33" borderId="45" xfId="46" applyFont="1" applyFill="1" applyBorder="1" applyAlignment="1">
      <alignment horizontal="center" vertical="center" wrapText="1"/>
      <protection/>
    </xf>
    <xf numFmtId="0" fontId="8" fillId="33" borderId="46" xfId="46" applyFont="1" applyFill="1" applyBorder="1" applyAlignment="1">
      <alignment vertical="center" wrapText="1"/>
      <protection/>
    </xf>
    <xf numFmtId="0" fontId="8" fillId="33" borderId="47" xfId="46" applyFont="1" applyFill="1" applyBorder="1" applyAlignment="1">
      <alignment vertical="center" wrapText="1"/>
      <protection/>
    </xf>
    <xf numFmtId="0" fontId="6" fillId="33" borderId="16" xfId="46" applyFont="1" applyFill="1" applyBorder="1" applyAlignment="1">
      <alignment vertical="center" wrapText="1"/>
      <protection/>
    </xf>
    <xf numFmtId="0" fontId="6" fillId="33" borderId="48" xfId="46" applyFont="1" applyFill="1" applyBorder="1" applyAlignment="1">
      <alignment vertical="center" wrapText="1"/>
      <protection/>
    </xf>
    <xf numFmtId="0" fontId="6" fillId="33" borderId="17" xfId="46" applyFont="1" applyFill="1" applyBorder="1" applyAlignment="1">
      <alignment vertical="center" wrapText="1"/>
      <protection/>
    </xf>
    <xf numFmtId="0" fontId="6" fillId="33" borderId="31" xfId="46" applyFont="1" applyFill="1" applyBorder="1" applyAlignment="1">
      <alignment vertical="center" wrapText="1"/>
      <protection/>
    </xf>
    <xf numFmtId="0" fontId="6" fillId="33" borderId="17" xfId="46" applyFont="1" applyFill="1" applyBorder="1" applyAlignment="1">
      <alignment horizontal="left" vertical="center" wrapText="1"/>
      <protection/>
    </xf>
    <xf numFmtId="0" fontId="6" fillId="33" borderId="31" xfId="46" applyFont="1" applyFill="1" applyBorder="1" applyAlignment="1">
      <alignment horizontal="left" vertical="center" wrapText="1"/>
      <protection/>
    </xf>
    <xf numFmtId="0" fontId="1" fillId="33" borderId="49" xfId="46" applyFont="1" applyFill="1" applyBorder="1" applyAlignment="1">
      <alignment horizontal="center" vertical="center" wrapText="1"/>
      <protection/>
    </xf>
    <xf numFmtId="0" fontId="1" fillId="33" borderId="45" xfId="46" applyFont="1" applyFill="1" applyBorder="1" applyAlignment="1">
      <alignment horizontal="center" vertical="center" wrapText="1"/>
      <protection/>
    </xf>
    <xf numFmtId="0" fontId="1" fillId="33" borderId="50" xfId="46" applyFont="1" applyFill="1" applyBorder="1" applyAlignment="1">
      <alignment horizontal="center" vertical="center" wrapText="1"/>
      <protection/>
    </xf>
    <xf numFmtId="0" fontId="1" fillId="33" borderId="51" xfId="46" applyFont="1" applyFill="1" applyBorder="1" applyAlignment="1">
      <alignment horizontal="center" vertical="center" wrapText="1"/>
      <protection/>
    </xf>
    <xf numFmtId="0" fontId="5" fillId="33" borderId="41" xfId="46" applyFont="1" applyFill="1" applyBorder="1" applyAlignment="1">
      <alignment horizontal="center" vertical="center" wrapText="1"/>
      <protection/>
    </xf>
    <xf numFmtId="0" fontId="5" fillId="33" borderId="52" xfId="46" applyFont="1" applyFill="1" applyBorder="1" applyAlignment="1">
      <alignment horizontal="center" vertical="center" wrapText="1"/>
      <protection/>
    </xf>
    <xf numFmtId="0" fontId="3" fillId="33" borderId="41" xfId="46" applyFont="1" applyFill="1" applyBorder="1" applyAlignment="1">
      <alignment horizontal="center" vertical="center" wrapText="1"/>
      <protection/>
    </xf>
    <xf numFmtId="0" fontId="3" fillId="33" borderId="42" xfId="46" applyFont="1" applyFill="1" applyBorder="1" applyAlignment="1">
      <alignment horizontal="center" vertical="center" wrapText="1"/>
      <protection/>
    </xf>
    <xf numFmtId="0" fontId="5" fillId="33" borderId="42" xfId="46" applyFont="1" applyFill="1" applyBorder="1" applyAlignment="1">
      <alignment horizontal="center" vertical="center" wrapText="1"/>
      <protection/>
    </xf>
    <xf numFmtId="0" fontId="21" fillId="0" borderId="4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9</xdr:col>
      <xdr:colOff>9525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857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58"/>
  <sheetViews>
    <sheetView tabSelected="1" view="pageLayout" workbookViewId="0" topLeftCell="A1">
      <selection activeCell="G57" sqref="G57"/>
    </sheetView>
  </sheetViews>
  <sheetFormatPr defaultColWidth="8.8515625" defaultRowHeight="12.75"/>
  <cols>
    <col min="1" max="1" width="1.7109375" style="12" customWidth="1"/>
    <col min="2" max="2" width="15.7109375" style="12" customWidth="1"/>
    <col min="3" max="3" width="46.7109375" style="12" customWidth="1"/>
    <col min="4" max="4" width="12.57421875" style="12" customWidth="1"/>
    <col min="5" max="5" width="17.140625" style="12" customWidth="1"/>
    <col min="6" max="6" width="9.8515625" style="12" customWidth="1"/>
    <col min="7" max="7" width="14.8515625" style="12" customWidth="1"/>
    <col min="8" max="8" width="13.7109375" style="12" customWidth="1"/>
    <col min="9" max="9" width="14.00390625" style="12" customWidth="1"/>
    <col min="10" max="10" width="10.7109375" style="12" customWidth="1"/>
    <col min="11" max="11" width="10.57421875" style="12" customWidth="1"/>
    <col min="12" max="12" width="9.421875" style="12" customWidth="1"/>
    <col min="13" max="16384" width="8.8515625" style="12" customWidth="1"/>
  </cols>
  <sheetData>
    <row r="1" spans="1:14" ht="18.75">
      <c r="A1" s="8"/>
      <c r="B1" s="9" t="s">
        <v>14</v>
      </c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ht="19.5" customHeight="1">
      <c r="A2" s="9"/>
      <c r="B2" s="102" t="s">
        <v>79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"/>
      <c r="N2" s="11"/>
    </row>
    <row r="3" spans="1:14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11"/>
      <c r="L3" s="11"/>
      <c r="M3" s="11"/>
      <c r="N3" s="11"/>
    </row>
    <row r="4" spans="2:8" ht="15" customHeight="1">
      <c r="B4" s="90" t="s">
        <v>41</v>
      </c>
      <c r="C4" s="113"/>
      <c r="D4" s="91"/>
      <c r="E4" s="103" t="s">
        <v>33</v>
      </c>
      <c r="F4" s="117" t="s">
        <v>36</v>
      </c>
      <c r="G4" s="117" t="s">
        <v>37</v>
      </c>
      <c r="H4" s="117" t="s">
        <v>35</v>
      </c>
    </row>
    <row r="5" spans="2:8" ht="37.5" customHeight="1" thickBot="1">
      <c r="B5" s="114"/>
      <c r="C5" s="115"/>
      <c r="D5" s="116"/>
      <c r="E5" s="104"/>
      <c r="F5" s="118"/>
      <c r="G5" s="118"/>
      <c r="H5" s="118"/>
    </row>
    <row r="6" spans="2:8" ht="14.25" customHeight="1">
      <c r="B6" s="81" t="s">
        <v>38</v>
      </c>
      <c r="C6" s="82"/>
      <c r="D6" s="83"/>
      <c r="E6" s="13"/>
      <c r="F6" s="14"/>
      <c r="G6" s="15"/>
      <c r="H6" s="16">
        <f>SUM(H7:H10)</f>
        <v>455800</v>
      </c>
    </row>
    <row r="7" spans="2:8" ht="14.25" customHeight="1">
      <c r="B7" s="17" t="s">
        <v>15</v>
      </c>
      <c r="C7" s="98" t="s">
        <v>44</v>
      </c>
      <c r="D7" s="99"/>
      <c r="E7" s="46">
        <v>3</v>
      </c>
      <c r="F7" s="47">
        <v>10</v>
      </c>
      <c r="G7" s="48">
        <f>2150*8</f>
        <v>17200</v>
      </c>
      <c r="H7" s="49">
        <f>F7*G7</f>
        <v>172000</v>
      </c>
    </row>
    <row r="8" spans="2:8" ht="12.75" customHeight="1">
      <c r="B8" s="18" t="s">
        <v>16</v>
      </c>
      <c r="C8" s="98" t="s">
        <v>43</v>
      </c>
      <c r="D8" s="99"/>
      <c r="E8" s="46">
        <v>3</v>
      </c>
      <c r="F8" s="47">
        <v>5</v>
      </c>
      <c r="G8" s="48">
        <f>2150*8</f>
        <v>17200</v>
      </c>
      <c r="H8" s="49">
        <f>F8*G8</f>
        <v>86000</v>
      </c>
    </row>
    <row r="9" spans="2:8" ht="12.75" customHeight="1">
      <c r="B9" s="19" t="s">
        <v>17</v>
      </c>
      <c r="C9" s="56" t="s">
        <v>45</v>
      </c>
      <c r="D9" s="57"/>
      <c r="E9" s="50">
        <v>3</v>
      </c>
      <c r="F9" s="51">
        <v>10</v>
      </c>
      <c r="G9" s="48">
        <f>2150*8</f>
        <v>17200</v>
      </c>
      <c r="H9" s="49">
        <f>F9*G9</f>
        <v>172000</v>
      </c>
    </row>
    <row r="10" spans="2:8" ht="12.75" customHeight="1" thickBot="1">
      <c r="B10" s="20" t="s">
        <v>46</v>
      </c>
      <c r="C10" s="100" t="s">
        <v>47</v>
      </c>
      <c r="D10" s="101"/>
      <c r="E10" s="52">
        <v>3</v>
      </c>
      <c r="F10" s="53">
        <f>30/8</f>
        <v>3.75</v>
      </c>
      <c r="G10" s="54">
        <f>860*8</f>
        <v>6880</v>
      </c>
      <c r="H10" s="55">
        <f>F10*G10</f>
        <v>25800</v>
      </c>
    </row>
    <row r="11" ht="12.75" customHeight="1" thickBot="1"/>
    <row r="12" spans="2:9" ht="12.75" customHeight="1">
      <c r="B12" s="90" t="s">
        <v>41</v>
      </c>
      <c r="C12" s="91"/>
      <c r="D12" s="94" t="s">
        <v>33</v>
      </c>
      <c r="E12" s="119" t="s">
        <v>39</v>
      </c>
      <c r="F12" s="117" t="s">
        <v>0</v>
      </c>
      <c r="G12" s="96" t="s">
        <v>2</v>
      </c>
      <c r="H12" s="96" t="s">
        <v>3</v>
      </c>
      <c r="I12" s="88" t="s">
        <v>4</v>
      </c>
    </row>
    <row r="13" spans="2:9" ht="34.5" customHeight="1" thickBot="1">
      <c r="B13" s="92"/>
      <c r="C13" s="93"/>
      <c r="D13" s="95"/>
      <c r="E13" s="120"/>
      <c r="F13" s="121"/>
      <c r="G13" s="97"/>
      <c r="H13" s="97"/>
      <c r="I13" s="89"/>
    </row>
    <row r="14" spans="2:9" s="23" customFormat="1" ht="21" customHeight="1">
      <c r="B14" s="79" t="s">
        <v>1</v>
      </c>
      <c r="C14" s="80"/>
      <c r="D14" s="69"/>
      <c r="E14" s="70" t="s">
        <v>21</v>
      </c>
      <c r="F14" s="71"/>
      <c r="G14" s="72"/>
      <c r="H14" s="73">
        <f>SUM(H15:H18)</f>
        <v>143750</v>
      </c>
      <c r="I14" s="74">
        <f>SUM(I15:I18)</f>
        <v>172500</v>
      </c>
    </row>
    <row r="15" spans="2:9" s="23" customFormat="1" ht="13.5" customHeight="1">
      <c r="B15" s="84" t="s">
        <v>5</v>
      </c>
      <c r="C15" s="85"/>
      <c r="D15" s="59">
        <v>1</v>
      </c>
      <c r="E15" s="59" t="s">
        <v>8</v>
      </c>
      <c r="F15" s="60">
        <v>5</v>
      </c>
      <c r="G15" s="40">
        <f>16000/1.2</f>
        <v>13333.333333333334</v>
      </c>
      <c r="H15" s="40">
        <f>F15*G15</f>
        <v>66666.66666666667</v>
      </c>
      <c r="I15" s="41">
        <f>H15+(H15*0.2)</f>
        <v>80000</v>
      </c>
    </row>
    <row r="16" spans="2:9" s="23" customFormat="1" ht="13.5" customHeight="1">
      <c r="B16" s="84" t="s">
        <v>63</v>
      </c>
      <c r="C16" s="85"/>
      <c r="D16" s="59">
        <v>1</v>
      </c>
      <c r="E16" s="59" t="s">
        <v>11</v>
      </c>
      <c r="F16" s="60">
        <v>1</v>
      </c>
      <c r="G16" s="40">
        <f>27000/1.2</f>
        <v>22500</v>
      </c>
      <c r="H16" s="40">
        <f>F16*G16</f>
        <v>22500</v>
      </c>
      <c r="I16" s="41">
        <f>H16+(H16*0.2)</f>
        <v>27000</v>
      </c>
    </row>
    <row r="17" spans="2:9" s="23" customFormat="1" ht="13.5" customHeight="1">
      <c r="B17" s="77" t="s">
        <v>23</v>
      </c>
      <c r="C17" s="78"/>
      <c r="D17" s="59">
        <v>1</v>
      </c>
      <c r="E17" s="59" t="s">
        <v>25</v>
      </c>
      <c r="F17" s="60">
        <v>20</v>
      </c>
      <c r="G17" s="40">
        <f>1400/1.2</f>
        <v>1166.6666666666667</v>
      </c>
      <c r="H17" s="40">
        <f>G17*F17</f>
        <v>23333.333333333336</v>
      </c>
      <c r="I17" s="41">
        <f>H17+(H17*0.2)</f>
        <v>28000.000000000004</v>
      </c>
    </row>
    <row r="18" spans="2:9" s="23" customFormat="1" ht="13.5" customHeight="1" thickBot="1">
      <c r="B18" s="107" t="s">
        <v>24</v>
      </c>
      <c r="C18" s="108"/>
      <c r="D18" s="61">
        <v>1</v>
      </c>
      <c r="E18" s="61" t="s">
        <v>7</v>
      </c>
      <c r="F18" s="62">
        <f>5*7.5</f>
        <v>37.5</v>
      </c>
      <c r="G18" s="44">
        <f>1000/1.2</f>
        <v>833.3333333333334</v>
      </c>
      <c r="H18" s="44">
        <f>G18*F18</f>
        <v>31250</v>
      </c>
      <c r="I18" s="45">
        <f>H18+(H18*0.2)</f>
        <v>37500</v>
      </c>
    </row>
    <row r="19" spans="2:9" s="23" customFormat="1" ht="21" customHeight="1">
      <c r="B19" s="86" t="s">
        <v>13</v>
      </c>
      <c r="C19" s="87"/>
      <c r="D19" s="69"/>
      <c r="E19" s="70" t="s">
        <v>21</v>
      </c>
      <c r="F19" s="71"/>
      <c r="G19" s="72"/>
      <c r="H19" s="73">
        <f>SUM(H20:H22)</f>
        <v>778281.25</v>
      </c>
      <c r="I19" s="74">
        <f>SUM(I20:I22)</f>
        <v>933938</v>
      </c>
    </row>
    <row r="20" spans="2:9" s="23" customFormat="1" ht="13.5" customHeight="1">
      <c r="B20" s="84" t="s">
        <v>5</v>
      </c>
      <c r="C20" s="85"/>
      <c r="D20" s="59">
        <v>3</v>
      </c>
      <c r="E20" s="59" t="s">
        <v>8</v>
      </c>
      <c r="F20" s="60">
        <v>1</v>
      </c>
      <c r="G20" s="40">
        <f>125000/1.2</f>
        <v>104166.66666666667</v>
      </c>
      <c r="H20" s="40">
        <f aca="true" t="shared" si="0" ref="H20:H41">G20*F20</f>
        <v>104166.66666666667</v>
      </c>
      <c r="I20" s="41">
        <f>H20+(H20*0.2)</f>
        <v>125000</v>
      </c>
    </row>
    <row r="21" spans="2:9" s="23" customFormat="1" ht="13.5" customHeight="1">
      <c r="B21" s="77" t="s">
        <v>23</v>
      </c>
      <c r="C21" s="78"/>
      <c r="D21" s="59">
        <v>3</v>
      </c>
      <c r="E21" s="59" t="s">
        <v>25</v>
      </c>
      <c r="F21" s="60">
        <f>35*5</f>
        <v>175</v>
      </c>
      <c r="G21" s="40">
        <f>3010/1.2</f>
        <v>2508.3333333333335</v>
      </c>
      <c r="H21" s="40">
        <f t="shared" si="0"/>
        <v>438958.3333333334</v>
      </c>
      <c r="I21" s="41">
        <f>H21+(H21*0.2)</f>
        <v>526750</v>
      </c>
    </row>
    <row r="22" spans="2:16" s="23" customFormat="1" ht="13.5" customHeight="1" thickBot="1">
      <c r="B22" s="109" t="s">
        <v>24</v>
      </c>
      <c r="C22" s="110"/>
      <c r="D22" s="63">
        <v>3</v>
      </c>
      <c r="E22" s="63" t="s">
        <v>7</v>
      </c>
      <c r="F22" s="64">
        <f>35*5</f>
        <v>175</v>
      </c>
      <c r="G22" s="42">
        <v>1343.75</v>
      </c>
      <c r="H22" s="42">
        <f>G22*F22</f>
        <v>235156.25</v>
      </c>
      <c r="I22" s="43">
        <v>282188</v>
      </c>
      <c r="K22" s="65"/>
      <c r="L22" s="65"/>
      <c r="M22" s="65"/>
      <c r="N22" s="65"/>
      <c r="O22" s="65"/>
      <c r="P22" s="65"/>
    </row>
    <row r="23" spans="2:9" s="23" customFormat="1" ht="21" customHeight="1">
      <c r="B23" s="86" t="s">
        <v>80</v>
      </c>
      <c r="C23" s="87"/>
      <c r="D23" s="75"/>
      <c r="E23" s="70" t="s">
        <v>21</v>
      </c>
      <c r="F23" s="71"/>
      <c r="G23" s="72"/>
      <c r="H23" s="73">
        <f>SUM(H24:H29)</f>
        <v>52958.333333333336</v>
      </c>
      <c r="I23" s="74">
        <f>SUM(I24:I29)</f>
        <v>63550</v>
      </c>
    </row>
    <row r="24" spans="2:9" s="23" customFormat="1" ht="13.5" customHeight="1">
      <c r="B24" s="77" t="s">
        <v>58</v>
      </c>
      <c r="C24" s="78"/>
      <c r="D24" s="59">
        <v>2</v>
      </c>
      <c r="E24" s="59" t="s">
        <v>56</v>
      </c>
      <c r="F24" s="60">
        <v>8</v>
      </c>
      <c r="G24" s="40">
        <f>1800/1.2</f>
        <v>1500</v>
      </c>
      <c r="H24" s="40">
        <f t="shared" si="0"/>
        <v>12000</v>
      </c>
      <c r="I24" s="41">
        <f aca="true" t="shared" si="1" ref="I24:I29">H24+(H24*0.2)</f>
        <v>14400</v>
      </c>
    </row>
    <row r="25" spans="2:9" s="23" customFormat="1" ht="13.5" customHeight="1">
      <c r="B25" s="77" t="s">
        <v>57</v>
      </c>
      <c r="C25" s="78"/>
      <c r="D25" s="59">
        <v>1</v>
      </c>
      <c r="E25" s="59" t="s">
        <v>56</v>
      </c>
      <c r="F25" s="60">
        <v>3</v>
      </c>
      <c r="G25" s="40">
        <f>450/1.2</f>
        <v>375</v>
      </c>
      <c r="H25" s="40">
        <f>G25*F25</f>
        <v>1125</v>
      </c>
      <c r="I25" s="41">
        <f t="shared" si="1"/>
        <v>1350</v>
      </c>
    </row>
    <row r="26" spans="2:9" s="23" customFormat="1" ht="13.5" customHeight="1">
      <c r="B26" s="77" t="s">
        <v>62</v>
      </c>
      <c r="C26" s="78"/>
      <c r="D26" s="59">
        <v>2</v>
      </c>
      <c r="E26" s="59" t="s">
        <v>9</v>
      </c>
      <c r="F26" s="60">
        <v>70</v>
      </c>
      <c r="G26" s="40">
        <f>400/1.2</f>
        <v>333.33333333333337</v>
      </c>
      <c r="H26" s="40">
        <f>G26*F26</f>
        <v>23333.333333333336</v>
      </c>
      <c r="I26" s="41">
        <f t="shared" si="1"/>
        <v>28000.000000000004</v>
      </c>
    </row>
    <row r="27" spans="2:9" s="23" customFormat="1" ht="13.5" customHeight="1">
      <c r="B27" s="77" t="s">
        <v>78</v>
      </c>
      <c r="C27" s="78"/>
      <c r="D27" s="59">
        <v>6</v>
      </c>
      <c r="E27" s="59" t="s">
        <v>9</v>
      </c>
      <c r="F27" s="60">
        <v>100</v>
      </c>
      <c r="G27" s="40">
        <f>50/1.2</f>
        <v>41.66666666666667</v>
      </c>
      <c r="H27" s="40">
        <f>G27*F27</f>
        <v>4166.666666666667</v>
      </c>
      <c r="I27" s="41">
        <f t="shared" si="1"/>
        <v>5000</v>
      </c>
    </row>
    <row r="28" spans="2:9" s="23" customFormat="1" ht="13.5" customHeight="1">
      <c r="B28" s="77" t="s">
        <v>61</v>
      </c>
      <c r="C28" s="78"/>
      <c r="D28" s="59">
        <v>1</v>
      </c>
      <c r="E28" s="59" t="s">
        <v>9</v>
      </c>
      <c r="F28" s="60">
        <v>12</v>
      </c>
      <c r="G28" s="40">
        <f>1000/1.2</f>
        <v>833.3333333333334</v>
      </c>
      <c r="H28" s="40">
        <f t="shared" si="0"/>
        <v>10000</v>
      </c>
      <c r="I28" s="41">
        <f t="shared" si="1"/>
        <v>12000</v>
      </c>
    </row>
    <row r="29" spans="2:9" s="23" customFormat="1" ht="13.5" customHeight="1" thickBot="1">
      <c r="B29" s="111" t="s">
        <v>22</v>
      </c>
      <c r="C29" s="112"/>
      <c r="D29" s="63">
        <v>2</v>
      </c>
      <c r="E29" s="63" t="s">
        <v>8</v>
      </c>
      <c r="F29" s="64">
        <v>70</v>
      </c>
      <c r="G29" s="42">
        <f>40/1.2</f>
        <v>33.333333333333336</v>
      </c>
      <c r="H29" s="42">
        <f t="shared" si="0"/>
        <v>2333.3333333333335</v>
      </c>
      <c r="I29" s="43">
        <f t="shared" si="1"/>
        <v>2800</v>
      </c>
    </row>
    <row r="30" spans="2:9" s="23" customFormat="1" ht="21" customHeight="1">
      <c r="B30" s="79" t="s">
        <v>76</v>
      </c>
      <c r="C30" s="80"/>
      <c r="D30" s="76"/>
      <c r="E30" s="70" t="s">
        <v>21</v>
      </c>
      <c r="F30" s="71"/>
      <c r="G30" s="72"/>
      <c r="H30" s="73">
        <f>SUM(H31:H36)</f>
        <v>103271.66666666669</v>
      </c>
      <c r="I30" s="74">
        <f>SUM(I31:I36)</f>
        <v>123926</v>
      </c>
    </row>
    <row r="31" spans="2:9" s="23" customFormat="1" ht="13.5" customHeight="1">
      <c r="B31" s="84" t="s">
        <v>48</v>
      </c>
      <c r="C31" s="85"/>
      <c r="D31" s="58" t="s">
        <v>50</v>
      </c>
      <c r="E31" s="59" t="s">
        <v>10</v>
      </c>
      <c r="F31" s="66">
        <v>59</v>
      </c>
      <c r="G31" s="21">
        <f>420/1.2</f>
        <v>350</v>
      </c>
      <c r="H31" s="21">
        <f t="shared" si="0"/>
        <v>20650</v>
      </c>
      <c r="I31" s="32">
        <f aca="true" t="shared" si="2" ref="I31:I36">H31+(H31*0.2)</f>
        <v>24780</v>
      </c>
    </row>
    <row r="32" spans="2:9" s="23" customFormat="1" ht="13.5" customHeight="1">
      <c r="B32" s="84" t="s">
        <v>49</v>
      </c>
      <c r="C32" s="85"/>
      <c r="D32" s="58" t="s">
        <v>50</v>
      </c>
      <c r="E32" s="59" t="s">
        <v>10</v>
      </c>
      <c r="F32" s="66">
        <v>25</v>
      </c>
      <c r="G32" s="21">
        <f>360/1.2</f>
        <v>300</v>
      </c>
      <c r="H32" s="21">
        <f t="shared" si="0"/>
        <v>7500</v>
      </c>
      <c r="I32" s="32">
        <f t="shared" si="2"/>
        <v>9000</v>
      </c>
    </row>
    <row r="33" spans="2:9" s="23" customFormat="1" ht="13.5" customHeight="1">
      <c r="B33" s="84" t="s">
        <v>52</v>
      </c>
      <c r="C33" s="85"/>
      <c r="D33" s="58" t="s">
        <v>51</v>
      </c>
      <c r="E33" s="59" t="s">
        <v>12</v>
      </c>
      <c r="F33" s="66">
        <v>8</v>
      </c>
      <c r="G33" s="21">
        <f>5000/1.2</f>
        <v>4166.666666666667</v>
      </c>
      <c r="H33" s="21">
        <f>G33*F33</f>
        <v>33333.333333333336</v>
      </c>
      <c r="I33" s="32">
        <f t="shared" si="2"/>
        <v>40000</v>
      </c>
    </row>
    <row r="34" spans="2:9" s="23" customFormat="1" ht="13.5" customHeight="1">
      <c r="B34" s="84" t="s">
        <v>53</v>
      </c>
      <c r="C34" s="85"/>
      <c r="D34" s="58">
        <v>2</v>
      </c>
      <c r="E34" s="59" t="s">
        <v>12</v>
      </c>
      <c r="F34" s="66">
        <v>2</v>
      </c>
      <c r="G34" s="21">
        <f>7200/1.2</f>
        <v>6000</v>
      </c>
      <c r="H34" s="21">
        <f t="shared" si="0"/>
        <v>12000</v>
      </c>
      <c r="I34" s="32">
        <f t="shared" si="2"/>
        <v>14400</v>
      </c>
    </row>
    <row r="35" spans="2:9" s="23" customFormat="1" ht="13.5" customHeight="1">
      <c r="B35" s="77" t="s">
        <v>59</v>
      </c>
      <c r="C35" s="78"/>
      <c r="D35" s="58">
        <v>2</v>
      </c>
      <c r="E35" s="59" t="s">
        <v>11</v>
      </c>
      <c r="F35" s="66">
        <v>1</v>
      </c>
      <c r="G35" s="21">
        <f>15746/1.2</f>
        <v>13121.666666666668</v>
      </c>
      <c r="H35" s="21">
        <f t="shared" si="0"/>
        <v>13121.666666666668</v>
      </c>
      <c r="I35" s="32">
        <f t="shared" si="2"/>
        <v>15746.000000000002</v>
      </c>
    </row>
    <row r="36" spans="2:9" s="23" customFormat="1" ht="13.5" customHeight="1" thickBot="1">
      <c r="B36" s="111" t="s">
        <v>60</v>
      </c>
      <c r="C36" s="112"/>
      <c r="D36" s="67">
        <v>3</v>
      </c>
      <c r="E36" s="63" t="s">
        <v>12</v>
      </c>
      <c r="F36" s="68">
        <v>5</v>
      </c>
      <c r="G36" s="22">
        <f>4000/1.2</f>
        <v>3333.3333333333335</v>
      </c>
      <c r="H36" s="22">
        <f t="shared" si="0"/>
        <v>16666.666666666668</v>
      </c>
      <c r="I36" s="33">
        <f t="shared" si="2"/>
        <v>20000</v>
      </c>
    </row>
    <row r="37" spans="2:9" s="23" customFormat="1" ht="21" customHeight="1">
      <c r="B37" s="79" t="s">
        <v>77</v>
      </c>
      <c r="C37" s="80"/>
      <c r="D37" s="75"/>
      <c r="E37" s="70" t="s">
        <v>21</v>
      </c>
      <c r="F37" s="71"/>
      <c r="G37" s="72"/>
      <c r="H37" s="73">
        <f>SUM(H38:H39)</f>
        <v>57787.5</v>
      </c>
      <c r="I37" s="74">
        <f>SUM(I38:I39)</f>
        <v>69345</v>
      </c>
    </row>
    <row r="38" spans="2:9" s="23" customFormat="1" ht="13.5" customHeight="1">
      <c r="B38" s="77" t="s">
        <v>54</v>
      </c>
      <c r="C38" s="78"/>
      <c r="D38" s="58">
        <v>3</v>
      </c>
      <c r="E38" s="59" t="s">
        <v>40</v>
      </c>
      <c r="F38" s="59">
        <f>3*5</f>
        <v>15</v>
      </c>
      <c r="G38" s="40">
        <f>1613/1.2</f>
        <v>1344.1666666666667</v>
      </c>
      <c r="H38" s="40">
        <f t="shared" si="0"/>
        <v>20162.5</v>
      </c>
      <c r="I38" s="41">
        <f>H38+(H38*0.2)</f>
        <v>24195</v>
      </c>
    </row>
    <row r="39" spans="2:9" s="23" customFormat="1" ht="13.5" customHeight="1" thickBot="1">
      <c r="B39" s="111" t="s">
        <v>55</v>
      </c>
      <c r="C39" s="112"/>
      <c r="D39" s="67">
        <v>3</v>
      </c>
      <c r="E39" s="63" t="s">
        <v>7</v>
      </c>
      <c r="F39" s="64">
        <v>15</v>
      </c>
      <c r="G39" s="42">
        <f>3010/1.2</f>
        <v>2508.3333333333335</v>
      </c>
      <c r="H39" s="42">
        <f t="shared" si="0"/>
        <v>37625</v>
      </c>
      <c r="I39" s="43">
        <f>H39+(H39*0.2)</f>
        <v>45150</v>
      </c>
    </row>
    <row r="40" spans="2:9" s="23" customFormat="1" ht="21" customHeight="1">
      <c r="B40" s="86" t="s">
        <v>20</v>
      </c>
      <c r="C40" s="87"/>
      <c r="D40" s="75"/>
      <c r="E40" s="70" t="s">
        <v>21</v>
      </c>
      <c r="F40" s="71"/>
      <c r="G40" s="72"/>
      <c r="H40" s="73">
        <f>SUM(H41:H52)</f>
        <v>145916.66666666666</v>
      </c>
      <c r="I40" s="74">
        <f>SUM(I41:I52)</f>
        <v>175100</v>
      </c>
    </row>
    <row r="41" spans="2:9" s="23" customFormat="1" ht="13.5" customHeight="1">
      <c r="B41" s="77" t="s">
        <v>81</v>
      </c>
      <c r="C41" s="78"/>
      <c r="D41" s="59">
        <v>5</v>
      </c>
      <c r="E41" s="59" t="s">
        <v>75</v>
      </c>
      <c r="F41" s="66">
        <v>24</v>
      </c>
      <c r="G41" s="21">
        <f>1000/1.2</f>
        <v>833.3333333333334</v>
      </c>
      <c r="H41" s="21">
        <f t="shared" si="0"/>
        <v>20000</v>
      </c>
      <c r="I41" s="32">
        <f aca="true" t="shared" si="3" ref="I41:I52">H41+(H41*0.2)</f>
        <v>24000</v>
      </c>
    </row>
    <row r="42" spans="2:9" s="23" customFormat="1" ht="13.5" customHeight="1">
      <c r="B42" s="77" t="s">
        <v>64</v>
      </c>
      <c r="C42" s="78"/>
      <c r="D42" s="59">
        <v>5</v>
      </c>
      <c r="E42" s="59" t="s">
        <v>11</v>
      </c>
      <c r="F42" s="66">
        <v>1</v>
      </c>
      <c r="G42" s="21">
        <f>10000/1.2</f>
        <v>8333.333333333334</v>
      </c>
      <c r="H42" s="21">
        <f aca="true" t="shared" si="4" ref="H42:H52">G42*F42</f>
        <v>8333.333333333334</v>
      </c>
      <c r="I42" s="32">
        <f t="shared" si="3"/>
        <v>10000</v>
      </c>
    </row>
    <row r="43" spans="2:9" s="23" customFormat="1" ht="13.5" customHeight="1">
      <c r="B43" s="77" t="s">
        <v>65</v>
      </c>
      <c r="C43" s="78"/>
      <c r="D43" s="59">
        <v>5</v>
      </c>
      <c r="E43" s="59" t="s">
        <v>8</v>
      </c>
      <c r="F43" s="66">
        <v>100</v>
      </c>
      <c r="G43" s="21">
        <f>117/1.2</f>
        <v>97.5</v>
      </c>
      <c r="H43" s="21">
        <f t="shared" si="4"/>
        <v>9750</v>
      </c>
      <c r="I43" s="32">
        <f t="shared" si="3"/>
        <v>11700</v>
      </c>
    </row>
    <row r="44" spans="2:9" s="23" customFormat="1" ht="13.5" customHeight="1">
      <c r="B44" s="77" t="s">
        <v>66</v>
      </c>
      <c r="C44" s="78"/>
      <c r="D44" s="59">
        <v>5</v>
      </c>
      <c r="E44" s="59" t="s">
        <v>11</v>
      </c>
      <c r="F44" s="66">
        <v>1</v>
      </c>
      <c r="G44" s="21">
        <f>7000/1.2</f>
        <v>5833.333333333334</v>
      </c>
      <c r="H44" s="21">
        <f t="shared" si="4"/>
        <v>5833.333333333334</v>
      </c>
      <c r="I44" s="32">
        <f t="shared" si="3"/>
        <v>7000.000000000001</v>
      </c>
    </row>
    <row r="45" spans="2:9" s="23" customFormat="1" ht="13.5" customHeight="1">
      <c r="B45" s="77" t="s">
        <v>68</v>
      </c>
      <c r="C45" s="78"/>
      <c r="D45" s="59">
        <v>5</v>
      </c>
      <c r="E45" s="59" t="s">
        <v>11</v>
      </c>
      <c r="F45" s="66">
        <v>1</v>
      </c>
      <c r="G45" s="21">
        <f>1000/1.2</f>
        <v>833.3333333333334</v>
      </c>
      <c r="H45" s="21">
        <f t="shared" si="4"/>
        <v>833.3333333333334</v>
      </c>
      <c r="I45" s="32">
        <f t="shared" si="3"/>
        <v>1000</v>
      </c>
    </row>
    <row r="46" spans="2:9" s="23" customFormat="1" ht="13.5" customHeight="1">
      <c r="B46" s="77" t="s">
        <v>67</v>
      </c>
      <c r="C46" s="78"/>
      <c r="D46" s="59">
        <v>5</v>
      </c>
      <c r="E46" s="59" t="s">
        <v>8</v>
      </c>
      <c r="F46" s="66">
        <v>15000</v>
      </c>
      <c r="G46" s="21">
        <f>32400/15000/1.2</f>
        <v>1.8000000000000003</v>
      </c>
      <c r="H46" s="21">
        <f t="shared" si="4"/>
        <v>27000.000000000004</v>
      </c>
      <c r="I46" s="32">
        <f t="shared" si="3"/>
        <v>32400.000000000004</v>
      </c>
    </row>
    <row r="47" spans="2:9" s="23" customFormat="1" ht="13.5" customHeight="1">
      <c r="B47" s="77" t="s">
        <v>69</v>
      </c>
      <c r="C47" s="78"/>
      <c r="D47" s="59">
        <v>5</v>
      </c>
      <c r="E47" s="59" t="s">
        <v>8</v>
      </c>
      <c r="F47" s="66">
        <v>1</v>
      </c>
      <c r="G47" s="21">
        <f>80000/1.2</f>
        <v>66666.66666666667</v>
      </c>
      <c r="H47" s="21">
        <f t="shared" si="4"/>
        <v>66666.66666666667</v>
      </c>
      <c r="I47" s="32">
        <f t="shared" si="3"/>
        <v>80000</v>
      </c>
    </row>
    <row r="48" spans="2:9" s="23" customFormat="1" ht="13.5" customHeight="1">
      <c r="B48" s="77" t="s">
        <v>70</v>
      </c>
      <c r="C48" s="78"/>
      <c r="D48" s="59">
        <v>7</v>
      </c>
      <c r="E48" s="59" t="s">
        <v>11</v>
      </c>
      <c r="F48" s="66">
        <v>1</v>
      </c>
      <c r="G48" s="21">
        <f>500/1.2</f>
        <v>416.6666666666667</v>
      </c>
      <c r="H48" s="21">
        <f t="shared" si="4"/>
        <v>416.6666666666667</v>
      </c>
      <c r="I48" s="32">
        <f t="shared" si="3"/>
        <v>500</v>
      </c>
    </row>
    <row r="49" spans="2:9" s="23" customFormat="1" ht="13.5" customHeight="1">
      <c r="B49" s="77" t="s">
        <v>71</v>
      </c>
      <c r="C49" s="78"/>
      <c r="D49" s="59">
        <v>7</v>
      </c>
      <c r="E49" s="59" t="s">
        <v>11</v>
      </c>
      <c r="F49" s="66">
        <v>1</v>
      </c>
      <c r="G49" s="21">
        <f>1500/1.2</f>
        <v>1250</v>
      </c>
      <c r="H49" s="21">
        <f t="shared" si="4"/>
        <v>1250</v>
      </c>
      <c r="I49" s="32">
        <f t="shared" si="3"/>
        <v>1500</v>
      </c>
    </row>
    <row r="50" spans="2:9" s="23" customFormat="1" ht="13.5" customHeight="1">
      <c r="B50" s="77" t="s">
        <v>72</v>
      </c>
      <c r="C50" s="78"/>
      <c r="D50" s="59">
        <v>7</v>
      </c>
      <c r="E50" s="59" t="s">
        <v>8</v>
      </c>
      <c r="F50" s="66">
        <v>1</v>
      </c>
      <c r="G50" s="21">
        <f>4500/1.2</f>
        <v>3750</v>
      </c>
      <c r="H50" s="21">
        <f t="shared" si="4"/>
        <v>3750</v>
      </c>
      <c r="I50" s="32">
        <f t="shared" si="3"/>
        <v>4500</v>
      </c>
    </row>
    <row r="51" spans="2:9" s="23" customFormat="1" ht="13.5" customHeight="1">
      <c r="B51" s="77" t="s">
        <v>73</v>
      </c>
      <c r="C51" s="78"/>
      <c r="D51" s="59">
        <v>7</v>
      </c>
      <c r="E51" s="59" t="s">
        <v>11</v>
      </c>
      <c r="F51" s="66">
        <v>1</v>
      </c>
      <c r="G51" s="21">
        <f>500/1.2</f>
        <v>416.6666666666667</v>
      </c>
      <c r="H51" s="21">
        <f t="shared" si="4"/>
        <v>416.6666666666667</v>
      </c>
      <c r="I51" s="32">
        <f t="shared" si="3"/>
        <v>500</v>
      </c>
    </row>
    <row r="52" spans="2:9" s="23" customFormat="1" ht="13.5" customHeight="1" thickBot="1">
      <c r="B52" s="111" t="s">
        <v>74</v>
      </c>
      <c r="C52" s="112"/>
      <c r="D52" s="63">
        <v>7</v>
      </c>
      <c r="E52" s="63" t="s">
        <v>8</v>
      </c>
      <c r="F52" s="68">
        <v>10</v>
      </c>
      <c r="G52" s="22">
        <f>200/1.2</f>
        <v>166.66666666666669</v>
      </c>
      <c r="H52" s="22">
        <f t="shared" si="4"/>
        <v>1666.666666666667</v>
      </c>
      <c r="I52" s="33">
        <f t="shared" si="3"/>
        <v>2000.0000000000005</v>
      </c>
    </row>
    <row r="53" spans="2:9" s="23" customFormat="1" ht="27.75" customHeight="1" thickBot="1">
      <c r="B53" s="105" t="s">
        <v>42</v>
      </c>
      <c r="C53" s="106"/>
      <c r="D53" s="35"/>
      <c r="E53" s="36"/>
      <c r="F53" s="37"/>
      <c r="G53" s="38"/>
      <c r="H53" s="39">
        <f>SUM(H40,H37,H30,H23,H19,H14,H6)</f>
        <v>1737765.4166666667</v>
      </c>
      <c r="I53" s="34">
        <f>SUM(I40,I37,I30,I23,I19,I14,H6)</f>
        <v>1994159</v>
      </c>
    </row>
    <row r="54" spans="2:12" ht="22.5" customHeight="1">
      <c r="B54" s="26" t="s">
        <v>19</v>
      </c>
      <c r="C54" s="24"/>
      <c r="D54" s="24"/>
      <c r="E54" s="24"/>
      <c r="F54" s="24"/>
      <c r="G54" s="24"/>
      <c r="H54" s="24"/>
      <c r="I54" s="24"/>
      <c r="J54" s="24"/>
      <c r="K54" s="24"/>
      <c r="L54" s="25"/>
    </row>
    <row r="55" spans="2:10" ht="12.75">
      <c r="B55" s="27" t="s">
        <v>6</v>
      </c>
      <c r="C55" s="25"/>
      <c r="D55" s="25"/>
      <c r="E55" s="28"/>
      <c r="F55" s="28"/>
      <c r="G55" s="28"/>
      <c r="H55" s="28"/>
      <c r="I55" s="28"/>
      <c r="J55" s="28"/>
    </row>
    <row r="56" spans="2:4" ht="15.75" customHeight="1">
      <c r="B56" s="27" t="s">
        <v>18</v>
      </c>
      <c r="C56" s="25"/>
      <c r="D56" s="25"/>
    </row>
    <row r="57" spans="1:2" ht="16.5" customHeight="1">
      <c r="A57" s="29"/>
      <c r="B57" s="30" t="s">
        <v>34</v>
      </c>
    </row>
    <row r="58" ht="15" customHeight="1">
      <c r="B58" s="31" t="s">
        <v>32</v>
      </c>
    </row>
  </sheetData>
  <sheetProtection/>
  <mergeCells count="57">
    <mergeCell ref="F12:F13"/>
    <mergeCell ref="B27:C27"/>
    <mergeCell ref="B4:D5"/>
    <mergeCell ref="B52:C52"/>
    <mergeCell ref="G4:G5"/>
    <mergeCell ref="F4:F5"/>
    <mergeCell ref="H4:H5"/>
    <mergeCell ref="C7:D7"/>
    <mergeCell ref="B14:C14"/>
    <mergeCell ref="B17:C17"/>
    <mergeCell ref="E12:E13"/>
    <mergeCell ref="B28:C28"/>
    <mergeCell ref="B29:C29"/>
    <mergeCell ref="B31:C31"/>
    <mergeCell ref="B34:C34"/>
    <mergeCell ref="B40:C40"/>
    <mergeCell ref="B38:C38"/>
    <mergeCell ref="B36:C36"/>
    <mergeCell ref="B39:C39"/>
    <mergeCell ref="C8:D8"/>
    <mergeCell ref="C10:D10"/>
    <mergeCell ref="B2:L2"/>
    <mergeCell ref="E4:E5"/>
    <mergeCell ref="B15:C15"/>
    <mergeCell ref="B20:C20"/>
    <mergeCell ref="B53:C53"/>
    <mergeCell ref="B23:C23"/>
    <mergeCell ref="B46:C46"/>
    <mergeCell ref="B48:C48"/>
    <mergeCell ref="B49:C49"/>
    <mergeCell ref="I12:I13"/>
    <mergeCell ref="B12:C13"/>
    <mergeCell ref="D12:D13"/>
    <mergeCell ref="G12:G13"/>
    <mergeCell ref="B18:C18"/>
    <mergeCell ref="B22:C22"/>
    <mergeCell ref="H12:H13"/>
    <mergeCell ref="B6:D6"/>
    <mergeCell ref="B32:C32"/>
    <mergeCell ref="B33:C33"/>
    <mergeCell ref="B25:C25"/>
    <mergeCell ref="B35:C35"/>
    <mergeCell ref="B26:C26"/>
    <mergeCell ref="B16:C16"/>
    <mergeCell ref="B21:C21"/>
    <mergeCell ref="B19:C19"/>
    <mergeCell ref="B24:C24"/>
    <mergeCell ref="B50:C50"/>
    <mergeCell ref="B51:C51"/>
    <mergeCell ref="B30:C30"/>
    <mergeCell ref="B37:C37"/>
    <mergeCell ref="B41:C41"/>
    <mergeCell ref="B47:C47"/>
    <mergeCell ref="B42:C42"/>
    <mergeCell ref="B43:C43"/>
    <mergeCell ref="B44:C44"/>
    <mergeCell ref="B45:C45"/>
  </mergeCells>
  <printOptions/>
  <pageMargins left="0.23" right="0.16" top="0.67" bottom="1.08" header="0.31" footer="0.51"/>
  <pageSetup horizontalDpi="600" verticalDpi="600" orientation="landscape" paperSize="9" r:id="rId2"/>
  <headerFooter alignWithMargins="0">
    <oddHeader>&amp;RRK-36-2012-49, př. 2
počet stran: 3&amp;"Times New Roman,Obyčejné"
</oddHeader>
    <oddFooter>&amp;L&amp;"Times New Roman,Obyčejné"&amp;9Indikativní rozpočet
Žádost o grant z Fondu Partnerství 09/11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G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3.57421875" style="0" customWidth="1"/>
    <col min="3" max="3" width="16.7109375" style="0" customWidth="1"/>
    <col min="4" max="4" width="12.28125" style="0" customWidth="1"/>
    <col min="7" max="7" width="11.7109375" style="0" customWidth="1"/>
  </cols>
  <sheetData>
    <row r="3" ht="15.75">
      <c r="B3" s="1" t="s">
        <v>26</v>
      </c>
    </row>
    <row r="4" ht="15.75">
      <c r="B4" s="1"/>
    </row>
    <row r="5" spans="2:7" ht="30">
      <c r="B5" s="5" t="s">
        <v>29</v>
      </c>
      <c r="C5" s="6" t="s">
        <v>30</v>
      </c>
      <c r="D5" s="122" t="s">
        <v>31</v>
      </c>
      <c r="E5" s="123"/>
      <c r="F5" s="123"/>
      <c r="G5" s="124"/>
    </row>
    <row r="6" spans="2:7" ht="36.75" customHeight="1">
      <c r="B6" s="4" t="s">
        <v>27</v>
      </c>
      <c r="C6" s="7">
        <f>'Indikativní rozpočet'!$I$53*0.1</f>
        <v>199415.90000000002</v>
      </c>
      <c r="D6" s="125">
        <v>0</v>
      </c>
      <c r="E6" s="126"/>
      <c r="F6" s="126"/>
      <c r="G6" s="127"/>
    </row>
    <row r="7" spans="2:7" ht="31.5">
      <c r="B7" s="4" t="s">
        <v>28</v>
      </c>
      <c r="C7" s="7">
        <f>'Indikativní rozpočet'!$I$53*0.03</f>
        <v>59824.77</v>
      </c>
      <c r="D7" s="125">
        <v>0</v>
      </c>
      <c r="E7" s="126"/>
      <c r="F7" s="126"/>
      <c r="G7" s="127"/>
    </row>
    <row r="8" spans="2:7" ht="15">
      <c r="B8" s="2"/>
      <c r="D8" s="3"/>
      <c r="E8" s="3"/>
      <c r="F8" s="3"/>
      <c r="G8" s="3"/>
    </row>
  </sheetData>
  <sheetProtection/>
  <mergeCells count="3">
    <mergeCell ref="D5:G5"/>
    <mergeCell ref="D6:G6"/>
    <mergeCell ref="D7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mfčr</dc:creator>
  <cp:keywords/>
  <dc:description/>
  <cp:lastModifiedBy>Pospíchalová Petra</cp:lastModifiedBy>
  <cp:lastPrinted>2012-11-01T09:51:15Z</cp:lastPrinted>
  <dcterms:created xsi:type="dcterms:W3CDTF">2009-06-25T07:54:28Z</dcterms:created>
  <dcterms:modified xsi:type="dcterms:W3CDTF">2012-11-01T09:51:50Z</dcterms:modified>
  <cp:category/>
  <cp:version/>
  <cp:contentType/>
  <cp:contentStatus/>
</cp:coreProperties>
</file>