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90" windowHeight="4185" tabRatio="622" firstSheet="3" activeTab="3"/>
  </bookViews>
  <sheets>
    <sheet name="PUVODNI" sheetId="1" r:id="rId1"/>
    <sheet name="RK-xx-2011-xx, př. 2 před doho " sheetId="2" r:id="rId2"/>
    <sheet name="RK-xx-2011-xx, př. 2 konecny" sheetId="3" r:id="rId3"/>
    <sheet name="RK-12-2012-31, př. 3" sheetId="4" r:id="rId4"/>
  </sheets>
  <definedNames>
    <definedName name="_xlnm.Print_Titles" localSheetId="3">'RK-12-2012-31, př. 3'!$3:$5</definedName>
    <definedName name="_xlnm.Print_Area" localSheetId="0">'PUVODNI'!$A$1:$V$256</definedName>
    <definedName name="_xlnm.Print_Area" localSheetId="3">'RK-12-2012-31, př. 3'!$A$1:$V$111</definedName>
    <definedName name="_xlnm.Print_Area" localSheetId="2">'RK-xx-2011-xx, př. 2 konecny'!$A$1:$V$257</definedName>
    <definedName name="_xlnm.Print_Area" localSheetId="1">'RK-xx-2011-xx, př. 2 před doho '!$A$1:$V$257</definedName>
  </definedNames>
  <calcPr fullCalcOnLoad="1"/>
</workbook>
</file>

<file path=xl/sharedStrings.xml><?xml version="1.0" encoding="utf-8"?>
<sst xmlns="http://schemas.openxmlformats.org/spreadsheetml/2006/main" count="1427" uniqueCount="353">
  <si>
    <t>běžná údržba a opravy majetku 80 tis. Kč</t>
  </si>
  <si>
    <t>prezentační technika (do tří učeben - cca 53 tis./učebna) 160 tis. Kč</t>
  </si>
  <si>
    <t>rekonstrukce datových sítí 100 tis. Kč, montáž radiátorů v učebnách 30 tis. Kč, nátěry a výmalba 80 tis. Kč, opravy a údržba 259 tis. Kč, oprava vzduchotechniky v tělocvičně 30 tis. Kč, oprava komína 40 tis. Kč</t>
  </si>
  <si>
    <t>Organizace</t>
  </si>
  <si>
    <t>Gymnázium Chotěboř</t>
  </si>
  <si>
    <t>Gymnázium Jihlava</t>
  </si>
  <si>
    <t>Gymnázium Pacov</t>
  </si>
  <si>
    <t>Gymnázium Pelhřimov</t>
  </si>
  <si>
    <t>Gymnázium Třebíč</t>
  </si>
  <si>
    <t>DDM Jihlava</t>
  </si>
  <si>
    <t>Plavecká škola Jihlava</t>
  </si>
  <si>
    <t>/v tis. Kč/</t>
  </si>
  <si>
    <t>Investiční fond</t>
  </si>
  <si>
    <t>Rezervní fond</t>
  </si>
  <si>
    <t>FKSP</t>
  </si>
  <si>
    <t>Fond odměn</t>
  </si>
  <si>
    <t>Použití</t>
  </si>
  <si>
    <t>§3114 - celkem</t>
  </si>
  <si>
    <t>§3121 - celkem</t>
  </si>
  <si>
    <t xml:space="preserve"> </t>
  </si>
  <si>
    <t>§ 3122 - celkem</t>
  </si>
  <si>
    <t>§ 3123 - celkem</t>
  </si>
  <si>
    <t>§ 3125 - celkem</t>
  </si>
  <si>
    <t>§ 3146 - celkem</t>
  </si>
  <si>
    <t>PPP Jihlava</t>
  </si>
  <si>
    <t>PPP Pelhřimov</t>
  </si>
  <si>
    <t>PPP Třebíč</t>
  </si>
  <si>
    <t>§ 3147 - celkem</t>
  </si>
  <si>
    <t>§ 3149- celkem</t>
  </si>
  <si>
    <t>§ 3231 - celkem</t>
  </si>
  <si>
    <t>§ 3421 - celkem</t>
  </si>
  <si>
    <t>§ 4322 - celkem</t>
  </si>
  <si>
    <t>Celkem</t>
  </si>
  <si>
    <t>fondu</t>
  </si>
  <si>
    <t>Gymnázium Velké Meziříčí</t>
  </si>
  <si>
    <t>Gymnázium Žďár nad Sázavou</t>
  </si>
  <si>
    <t>PPP Žďár nad Sázavou</t>
  </si>
  <si>
    <t>SOŠ a SOU Třešť</t>
  </si>
  <si>
    <t>Střední škola technická Jihlava</t>
  </si>
  <si>
    <t>Střední škola stavební Jihlava</t>
  </si>
  <si>
    <t>Střední škola Pelhřimov</t>
  </si>
  <si>
    <t>Hotelová škola Třebíč</t>
  </si>
  <si>
    <t>Střední škola řemesel Třebíč</t>
  </si>
  <si>
    <t>SOŠ Nové Město na Moravě</t>
  </si>
  <si>
    <t>§ 3124 - celkem</t>
  </si>
  <si>
    <t>ZŠ a MŠ při ZZ kraje Vysočina</t>
  </si>
  <si>
    <t>DD, Nová Ves u Chotěboře 1</t>
  </si>
  <si>
    <t>DD, Telč, Štěpnická 111</t>
  </si>
  <si>
    <t>DD, Humpolec, Libická 928</t>
  </si>
  <si>
    <t>DD, Senožaty 199</t>
  </si>
  <si>
    <t>DD, Budkov 1</t>
  </si>
  <si>
    <t>DD, Hrotovice, Sokolská 362</t>
  </si>
  <si>
    <t>DD, Jemnice, Třešňová 748</t>
  </si>
  <si>
    <t>DD, Rovečné 40</t>
  </si>
  <si>
    <r>
      <t xml:space="preserve">Odvětví: </t>
    </r>
    <r>
      <rPr>
        <b/>
        <sz val="12"/>
        <rFont val="Arial"/>
        <family val="2"/>
      </rPr>
      <t>školství</t>
    </r>
  </si>
  <si>
    <t>§ 3299 - celkem</t>
  </si>
  <si>
    <t>Obchodní akademie, Pelhřimov, Jirsíkova 875</t>
  </si>
  <si>
    <t>OU a Prakt. škola, Černovice, Mariánské nám. 72</t>
  </si>
  <si>
    <t>Plavecká škola, krytý bazén Hájek, Mládežnická 2, Třebíč</t>
  </si>
  <si>
    <t>DD, Náměšť n/ Osl., Krátká 284</t>
  </si>
  <si>
    <t>ZŠ Humpolec, Husova 391</t>
  </si>
  <si>
    <t>k 31.12.2009</t>
  </si>
  <si>
    <t>techn. zhodnoc. nemov. majetku</t>
  </si>
  <si>
    <t>údržba a opravy majetku, který PO používá k činnosti</t>
  </si>
  <si>
    <t xml:space="preserve">název akce </t>
  </si>
  <si>
    <t>v tis.Kč</t>
  </si>
  <si>
    <t>v tis. Kč</t>
  </si>
  <si>
    <t xml:space="preserve">§3121 </t>
  </si>
  <si>
    <t>Gymnázium Havlíčkův Brod</t>
  </si>
  <si>
    <t xml:space="preserve">§ 3122 </t>
  </si>
  <si>
    <t>Střední škola stavební Třebíč</t>
  </si>
  <si>
    <t xml:space="preserve">§ 3123 </t>
  </si>
  <si>
    <t>SOU technické, Chotěboř, Žižkova 1501</t>
  </si>
  <si>
    <t>Střední škola řemesel a služeb Moravské Budějovice</t>
  </si>
  <si>
    <t>Školní statek, Humpolec, Dusilov 384</t>
  </si>
  <si>
    <t xml:space="preserve">§ 3146 </t>
  </si>
  <si>
    <t>§ 3149</t>
  </si>
  <si>
    <t xml:space="preserve">§ 3231 </t>
  </si>
  <si>
    <t>§ 3299</t>
  </si>
  <si>
    <t xml:space="preserve">§ 3421 </t>
  </si>
  <si>
    <t xml:space="preserve">§ 4322 </t>
  </si>
  <si>
    <r>
      <t>Tvorba</t>
    </r>
    <r>
      <rPr>
        <vertAlign val="superscript"/>
        <sz val="10"/>
        <rFont val="Arial"/>
        <family val="2"/>
      </rPr>
      <t>1</t>
    </r>
    <r>
      <rPr>
        <b/>
        <vertAlign val="superscript"/>
        <sz val="10"/>
        <rFont val="Arial"/>
        <family val="2"/>
      </rPr>
      <t>) celkem</t>
    </r>
  </si>
  <si>
    <t>celkem vč. odvodu</t>
  </si>
  <si>
    <r>
      <t>Tvorba</t>
    </r>
    <r>
      <rPr>
        <b/>
        <vertAlign val="superscript"/>
        <sz val="10"/>
        <rFont val="Arial"/>
        <family val="2"/>
      </rPr>
      <t xml:space="preserve"> celkem</t>
    </r>
  </si>
  <si>
    <t>Použití celkem</t>
  </si>
  <si>
    <t>Gymnázium Bystřice nad Pernštejnem</t>
  </si>
  <si>
    <t>Česká zemědělská akademie v Humpolci, střední škola</t>
  </si>
  <si>
    <t>OA a Hotelová škola Havlíčkův Brod</t>
  </si>
  <si>
    <t>Pořízení movitého majetku</t>
  </si>
  <si>
    <t>Technické zhodnocení nem. maj., údržba a opravy maj., který PO používá k činnosti</t>
  </si>
  <si>
    <t>pořízení movitého majetku</t>
  </si>
  <si>
    <t>Střední škola automobilní Jihlava</t>
  </si>
  <si>
    <t>Stř. škola obchodu a služeb Jihlava</t>
  </si>
  <si>
    <t>Střední škola Kamenice nad Lipou</t>
  </si>
  <si>
    <t>SŠ řemesel a služeb Moravské Budějovice</t>
  </si>
  <si>
    <t>Střední škola technická Žďár nad Sázavou</t>
  </si>
  <si>
    <t>Střední škola řemesel a služeb Velké Meziříčí</t>
  </si>
  <si>
    <t>Akademie - VOŠ, Gy a SOŠ uměleckoprům. Světlá nad Sáz.</t>
  </si>
  <si>
    <t>Gymnázium, SOŠ a VOŠ Ledeč nad Sáz.</t>
  </si>
  <si>
    <t>Gymnázium Otokara Březiny a SOŠ Telč</t>
  </si>
  <si>
    <t>Gymnázium dr. A. Hrdličky, Humpolec, Komenského 147</t>
  </si>
  <si>
    <t>Gymnázium dr. A. Hrdličky, Humpolec, Kom.147</t>
  </si>
  <si>
    <t>Gymnázium a SOŠ, Mor. Budějovice, Tyršova 365</t>
  </si>
  <si>
    <t>Gymnázium Vincence Makovského se sportovními třídami Nové Město na Moravě</t>
  </si>
  <si>
    <t>Gymnázium a SOŠ, Moravské Budějovice, Tyršova 365</t>
  </si>
  <si>
    <t xml:space="preserve">                    počet stran: 7</t>
  </si>
  <si>
    <t>ZŠ Moravské  Budějovice, Dobrovského 11</t>
  </si>
  <si>
    <t>ZŠ Ledeč nad Sázavou,  Habrecká 378</t>
  </si>
  <si>
    <t>ZŠ Pelhřimov, Komenského 1326</t>
  </si>
  <si>
    <t>ZŠ speciální a Praktická škola Černovice</t>
  </si>
  <si>
    <t>Praktická škola a SPC Ždár n/Sázavou</t>
  </si>
  <si>
    <t>ZŠ při dětské  psych. léčebně Velká  Bíteš</t>
  </si>
  <si>
    <t>ZŠ Nové Město na Moravě, Malá 154</t>
  </si>
  <si>
    <t>ZŠ a Praktická škola Chotěboř</t>
  </si>
  <si>
    <t>ZŠ Třebíč, Cyrilometodějská  22</t>
  </si>
  <si>
    <t>ZŠ a Praktická škola Velké Meziříčí</t>
  </si>
  <si>
    <t>ZUŠ, Havlíčkův  Brod, Smetanovo náměstí  31</t>
  </si>
  <si>
    <t>ZŠ, SPC a ŠD, U Trojice 2104 Havlíčkův Brod</t>
  </si>
  <si>
    <t>Vyšší odborná škola a Obchodní akademie Chotěboř</t>
  </si>
  <si>
    <t>Střední průmyslová škola stavební akademika Stanislava  Bechyně, Havlíčkův Brod, Jihlavská 628</t>
  </si>
  <si>
    <t>Střední zdravotnická škola a Vyšší odborná škola zdravotnická  Havlíčkův Brod</t>
  </si>
  <si>
    <t>Obchodní akademie a Jazyková škola s právem státní jazykové zkoušky Jihlava</t>
  </si>
  <si>
    <t>Střední průmyslová škola Jihlava</t>
  </si>
  <si>
    <t>Střední uměleckoprůmyslová škola Jihlava - Helenín, Hálkova 42</t>
  </si>
  <si>
    <t>Střední zdravotnická škola a Vyšší odborná škola zdravotnická Jihlava</t>
  </si>
  <si>
    <t>Střední průmyslová škola Třebíč</t>
  </si>
  <si>
    <t>Vyšší odborná škola a Střední škola veterinární, zemědělská a zdravotická Třebíč</t>
  </si>
  <si>
    <t>Hotelová škola Světlá a Obchodní akademie Velké Meziříčí</t>
  </si>
  <si>
    <t>Vyšší odborná škola a Střední odborná škola zemědělsko - technická  Bystřice nad Pernštejnem</t>
  </si>
  <si>
    <t>Střední zdravotnická škola a Vyšší odborná škola zdravotnická  Žďár nad Sázavou</t>
  </si>
  <si>
    <t>Obchodní akademie Dr. Albína Bráfa a Jazyková  škola s právem státní  jazykové  zkoušky Třebíč</t>
  </si>
  <si>
    <t>Vyšší odborná škola a Střední průmyslová škola, Žďár nad Sázavou, Studentská 1</t>
  </si>
  <si>
    <t>Domov mládeže a Školní jídelna Jihlava</t>
  </si>
  <si>
    <t>Vysočina Education, školské zařízení</t>
  </si>
  <si>
    <t>Odborné učiliště a Praktická škola Černovice</t>
  </si>
  <si>
    <t>Akademie - VOŠ, Gy a SOŠ uměleckoprům. Světlá nad Sázavou</t>
  </si>
  <si>
    <t>PPP, Havlíčkův Brod, Nad Tratí 335</t>
  </si>
  <si>
    <t>Dětský domov, Nová Ves u Chotěboře 1</t>
  </si>
  <si>
    <t>Dětský domov, Telč, Štěpnická 111</t>
  </si>
  <si>
    <t>Dětský domov, Humpolec, Libická 928</t>
  </si>
  <si>
    <t>Dětský domov, Senožaty 199</t>
  </si>
  <si>
    <t>Dětský domov, Budkov 1</t>
  </si>
  <si>
    <t>Dětský domov, Hrotovice, Sokolská 362</t>
  </si>
  <si>
    <t>Dětský domov, Jemnice, Třešňová 748</t>
  </si>
  <si>
    <t>Dětský domov, Náměšť nad Oslavou, Krátká 284</t>
  </si>
  <si>
    <t>Dětský domov, Rovečné 40</t>
  </si>
  <si>
    <t>Gymnázium, SOŠ a VOŠ Ledeč nad Sázavou</t>
  </si>
  <si>
    <t>Tvorba a použití peněžních fondů v roce 2011</t>
  </si>
  <si>
    <t>Plán čerpání investičního fondu na rok 2011</t>
  </si>
  <si>
    <t>Zůstatek k 1.1.2011</t>
  </si>
  <si>
    <t>Stav krytí fondu k 31.12.   2010</t>
  </si>
  <si>
    <t>Zůstatek k 31.12.   2011</t>
  </si>
  <si>
    <t>Tvorba vč. zůst. k 1.1.2011</t>
  </si>
  <si>
    <t>Tvorba+stav krytí fondu k 31.12.  2010</t>
  </si>
  <si>
    <t xml:space="preserve">                    RK-xx-2011-xx, př. 2</t>
  </si>
  <si>
    <t>úprava regulace na patě topení dílen Chotěboř 50 tis. Kč, částečná rekonstrukce elektroinstalace a následná oprava příčky učebny elektro 50 tis. Kč</t>
  </si>
  <si>
    <t>nábytkové vybavení DM pracoviště Bratříků 340 tis. Kč, varná technologie (kotel, pánev) gastrocentrum pracoviště Kyjovská 250 tis. Kč</t>
  </si>
  <si>
    <t>dokončení přístřešku u tělocvičny 220 tis. Kč, stavební úprava truhlárna 100 tis. Kč, vybudování výstavního sálu a zlatnické dílny 500 tis. Kč, oprava komínů a omítek pracoviště Lipnice nad Sázavou 100 tis. Kč, oprava rozvodů vody 150 tis. Kč</t>
  </si>
  <si>
    <t>drobné stavební úpravy 100 tis. Kč, výměna rozvodu vody pro školní kuchyni 110 tis. Kč</t>
  </si>
  <si>
    <t>stravovací systém 300 tis. Kč</t>
  </si>
  <si>
    <t>6 ks měřících stanic - vybavení laboratoře elektrotechnického měření 660 tis. Kč (125 tis. Kč investiční dotace)</t>
  </si>
  <si>
    <t>rekonstrukce podlah části nově zateplené haly praktické výuky 846 tis. Kč</t>
  </si>
  <si>
    <t>osobní vozidlo vícemístné pro přepravu žáků - výměna za vyřazené 480 tis. Kč, soubor 16 ks počítačů (vybavení učebny) 320 tis. Kč</t>
  </si>
  <si>
    <t>odhlučnění CNC učebny Křemešnická ul. 100 tis. Kč,vstupní zabezpečovací systém Křemešnická 150 tis. Kč, vstupní zabezpečovací systém Růžová 150 tis. Kč, místní rozhlas na DM 100 tis. Kč, konstrukce stupňovité podlahy se stoly a lavicemi posluchárna Růžová 600 tis. Kč, osvětlení tělocvična 600 tis. Kč</t>
  </si>
  <si>
    <t>oprava rozvodu teplé vody školní jídelny 250 tis. Kč, výměna podlahových krytin domova mládeže 350 tis. Kč</t>
  </si>
  <si>
    <t>výmalba 100 tis. Kč, opravy podlah 102 tis. Kč</t>
  </si>
  <si>
    <t>čtyřsloupý zvedák pro geometrii 235 tis. Kč, závora pro vjezd do areálu OV 75 tis. Kč</t>
  </si>
  <si>
    <t>běžné opravy 200 tis. Kč, výměna dveří 100 tis. Kč, opravy suportu 8 soustruhů 200 tis. Kč, výměna podlahové krytiny učebny CNC 240 tis. Kč.</t>
  </si>
  <si>
    <t>hydropraktikátor 900 tis. Kč, rozšíření vybavení mechatroniky 150 tis. Kč, technické zhodnocení měřícího přístroje 250 tis. Kč, Robot KUKA KR3 315 tis. Kč</t>
  </si>
  <si>
    <t>kotel plynový - kuchyň 130 tis. Kč, elektronický konvektomat - OV kuchař-číšník 135 tis. Kč, geometrie pro osobní vozy mechanik opravář motorových vozidel, opravář zemědělských strojů 135 tis. Kč, svářečka Fronius -  mechanik opravář motorových vozidel 60 tis. Kč</t>
  </si>
  <si>
    <t>nákup ojetého automobilu - výměna za nefunkční 100 tis. Kč, nákup konvektomatu do ŠJ 400 tis. Kč</t>
  </si>
  <si>
    <t>ZŠ Bystřice n/Pernšt., Tyršova 106</t>
  </si>
  <si>
    <t>multifunkční kopírka 100 tis. Kč; nábytková sestava 5 x 50 tis. Kč</t>
  </si>
  <si>
    <t>cukrařská pec 210 tis. Kč</t>
  </si>
  <si>
    <t>osobní automobil 300 tis. Kč</t>
  </si>
  <si>
    <t>elektrická pánev do kuchyně 130 tis. Kč</t>
  </si>
  <si>
    <t xml:space="preserve">VOŚ a OA Chotěboř </t>
  </si>
  <si>
    <t>výroba a montáž eurooken 370 tis. Kč,oprava expanzní nádrže 45 tis. Kč</t>
  </si>
  <si>
    <t>rozšíření školních serverů 250 tis. Kč, informační systém školy-software 150 tis. Kč, osobní automobil 400 tis. Kč</t>
  </si>
  <si>
    <t>modely do odborných učeben péče 60 tis. Kč</t>
  </si>
  <si>
    <t>síťové servery 150 tis. Kč, kopírky 50 tis. Kč</t>
  </si>
  <si>
    <t>vybavení laboratoří mechatroniky - dofinancování z r. 2010 (schváleno RK č. 17/2010) 300 tis. Kč, vybavení učebny PC - sítě 500 tis. Kč, dataprojektory - 3ks 130 tis. Kč, vybavení laboratoří měření a mechatroniky 274 tis. Kč, vybavení pracoviště pro měření točivých strojů 100 tis. Kč</t>
  </si>
  <si>
    <t>oprava hygienických koutků v učebnách 70 tis. Kč, opravy podlah v učebnách 150 tis. Kč, oprava elektroinstalace - uvolněný služební byt 164 tis. Kč, oprava vody + plynu - uvolněný služební byt 100 tis. Kč</t>
  </si>
  <si>
    <t>technické zhodnocení schodiště 200 tis. Kč, rekonstrukce půdy 200 tis. Kč, technické zhodnocení - zateplení chodby včetně nové elektroinstalace 100 tis. Kč, rekonstrukce dolního vestibulu 200 tis. Kč, technické zhodnocení vchodu č. 2   50 tis. Kč</t>
  </si>
  <si>
    <t>revize 33 tis. Kč, údržba výpočetní techniky 30 tis. Kč, drobné opravy movitého a nemovitého majetku 180 tis. Kč, malování 100 tis. Kč</t>
  </si>
  <si>
    <t>dataprojektor s interaktivní tabulí 85 tis. Kč, dataprojektor s instalací 45 tis. Kč</t>
  </si>
  <si>
    <t>GO svářečka 100 tis. Kč, zalepovačka 200 tis. Kč</t>
  </si>
  <si>
    <t>PLC do mechatroniky 65 tis. Kč, osciloskop Tektronikx TDS2022 56 tis. Kč, měřící jednotka + program RC2000 57 tis. Kč, měřící souprava 105 tis. Kč, moduly Pasco 80 tis. Kč</t>
  </si>
  <si>
    <t>model do ošetřovatelství 150 tis. Kč, model zvířete 190 tis. Kč, cvičný model figuríny pro oš. dovednosti 130 tis. Kč, sonda na zjišťování březosti zvířat 150 tis. Kč</t>
  </si>
  <si>
    <t>oprava pokojů domova mládeže 700 tis. Kč</t>
  </si>
  <si>
    <t>konvektomat do školní kuchyně 735 tis. Kč, smažící pánev 100 tis. Kč</t>
  </si>
  <si>
    <t>měřící zařízení 120 tis. Kč, pásová pila na kov do školních dílen 50 tis. Kč, unipar na vaření do školní jídelny 150 tis. Kč, kopírka (sborovna školy) 100 tis. Kč</t>
  </si>
  <si>
    <t>klimatizační zařízení do učeben a kabinetů v půdních prostorách školy 300 tis. Kč, malby a nátěry v budově školy (učebny, sociální zařízení) 200 tis. Kč</t>
  </si>
  <si>
    <t>dodávkový automobil 200 tis. Kč, hrotový soustruh 450 tis. Kč</t>
  </si>
  <si>
    <t>oprava stropů umýváren žáků 100 tis. Kč, malířské a natěračské práce 80 tis. Kč, oprava okapů - kabelový ohřev 25 tis. Kč, oprava poklopu kanalizace 12 tis. Kč, oprava elektroinstalace 10 tis. Kč</t>
  </si>
  <si>
    <t>mandl do prádelny - 160 tis. Kč (z toho 50 tis. Kč dotace od zřizovatele)</t>
  </si>
  <si>
    <t>Zůstatek k 31.12.   2011</t>
  </si>
  <si>
    <t>Stav krytí fondu k 31.12.   2010</t>
  </si>
  <si>
    <t>oprava podlah ve třídách 200 tis. Kč</t>
  </si>
  <si>
    <t>rekonstrukce školní sítě ICT 200 tis. Kč, stavební úpravy - rozšíření dílny pro zabezpečovací techniku 60 tis. Kč, bezpečnostní folie - vstup do školy 30 tis. Kč, oprava dlažby - budova A III. NP 120 tis. Kč, oprava podlah - 3 učebny 250 tis. Kč, oprava rozvodů vody 500 tis. Kč, podhledy - budova A 200 tis. Kč, dlažba - vstup do DM + botárna 220 tis. Kč, oprava dlažby + zasypání kanálů - koridor od dílen k jídelně 300 tis. Kč, nový povrch na chodbách v DM - 4 podlaží 280 tis. Kč, oprava podlah ve všech podestách v DM 2.-9.p. 200 tis. Kč, oprava chodníku k vrátnici 200 tis. Kč</t>
  </si>
  <si>
    <t>zateplení dílny IMOS - zadní průčelí 175 tis. Kč, zateplení Kubišova Domeček 73 tis. Kč, žaluzie 7 tis. Kč, revitalizace školní zahrady - spoluúčast školy 340 tis. Kč, vstup do sklepních prostor - budova Kubišova 1214/9 60 tis. Kč, klimatizace do odborné učebny č. 501 pevně spojená s budovou Kubišova 1214/9 50 tis. Kč, Projekt Revitalizace školní zahrady Střední školy stavební Třebíč II 800 tis. Kč</t>
  </si>
  <si>
    <t>1) Investiční fondy jsou posíleny převodem prostředků z rezervního fondu ve výši  394 tis. Kč</t>
  </si>
  <si>
    <t>oprava oplocení pozemku pracoviště Bratříků 550 tis. Kč</t>
  </si>
  <si>
    <t>interaktivní tabule s pšílušenstvím 120 tis. Kč, keramická pec 50 tis. Kč</t>
  </si>
  <si>
    <t>kopírka do sborovny 90 tis. Kč, pořízení serveru 90 tis. Kč, počítače do učebny VT 250 tis. Kč</t>
  </si>
  <si>
    <t>malba, výměna podlahové krytiny 50 tis. Kč, běžné opravy v budově 150 tis. Kč</t>
  </si>
  <si>
    <t xml:space="preserve">bidety na dívčím WC 2 ks 45 tis. Kč, kotel s malým výkonem na ohřev TUV (mimo topnou sezónu) 60 tis. Kč, opravy podlah ve třídách 20 tis. Kč, výměna podlahové krytiny 12 tis. Kč, malování 35 tis. Kč, opravy venkovní fasády budovy + střechy - oplechování 53 tis. Kč  </t>
  </si>
  <si>
    <t>systém zabezpečení budovy 100 tis. Kč, údržba a opravy související se systémem zabezpečení budovy 50 tis. Kč</t>
  </si>
  <si>
    <t>běžná údržba školy 80 tis. Kč</t>
  </si>
  <si>
    <t>vstupní dveře (řešení bezpečnostního vstupu pro žáky) 100 tis. Kč</t>
  </si>
  <si>
    <t>oprava budovy 63 tis. Kč</t>
  </si>
  <si>
    <t>výmalba v prostorách budovy školy 50 tis. Kč</t>
  </si>
  <si>
    <t>rekonstrukce el. rozvodů a datových sítí 120 tis. Kč, malování a nátěry 250 tis. Kč, údržba a opravy školní budovy a kotelny 162 tis. Kč</t>
  </si>
  <si>
    <t>nátěr oken 100 tis. Kč</t>
  </si>
  <si>
    <t>Oprava dlažby u bazénu na základně Hájenka 30 tis. Kč, oprava střešní krytiny na základně Hájenka 80 tis. Kč, oprava lina-podlah na základně Smrčná 30 tis. Kč, oprava septiku na základně Smrčná 70 tis. Kč, oprava vypalovací pece 40 tis. Kč</t>
  </si>
  <si>
    <t>střecha, komíny - stavební úpravy v areálu DD 302 tis. Kč</t>
  </si>
  <si>
    <t>výměna části oken 500 tis. Kč</t>
  </si>
  <si>
    <t>výmalba 75 tis. Kč</t>
  </si>
  <si>
    <t>robot do školní kuchyně na pracoviště Cyrilometodějská 22 SPAR  SP 30 67 tis. Kč</t>
  </si>
  <si>
    <t>interaktivní tabule (dotace z rozpočtu EU) 85 tis.Kč; vybavení snoozelenu (dotace z rozpočtu EU) 150 tis. Kč</t>
  </si>
  <si>
    <t>kombinované sporáky do kuchyně (2 ks a 100 tis.Kč - investiční dotace od zřizovatele) 200 tis. Kč</t>
  </si>
  <si>
    <t>modernizace počítačové učebny 150 tis. Kč</t>
  </si>
  <si>
    <t>osobní automobil (náhrada za zkorodovaného Favorita Forman r.výr. 1992) - 300 tis. Kč, pila na kov na odborný výcvik 140 tis. Kč, kopírka 2 ks 160 tis. Kč, klimatizace učebny VT 300 tis. Kč, závitořez 130 tis. Kč</t>
  </si>
  <si>
    <t>hudební zkušebna 70 tis. Kč</t>
  </si>
  <si>
    <t>elektrická trouba do výdejny 150 tis. Kč</t>
  </si>
  <si>
    <t>hydraulický lis - dílny Světlá nad Sázavou (opravář zemědělských strojů) 180 tis. Kč, traktor pro praktické vyučování - Humpolec 1 200 tis. Kč, nový povrch sportovního hřiště - Humpolec 700 tis. Kč, osobní auto - autoškola (náhrada za bourané auto) 250 tis. Kč, vybavení odborné učebny 200 tis. Kč</t>
  </si>
  <si>
    <t>nákup užitkového dodávkového automobilu 380 tis. Kč (výměna za starý), formátovací pila truhlárna 100 tis. Kč</t>
  </si>
  <si>
    <r>
      <t xml:space="preserve">diagnostika - měření geometrie 350 tis. Kč, </t>
    </r>
    <r>
      <rPr>
        <i/>
        <sz val="8"/>
        <color indexed="8"/>
        <rFont val="Arial"/>
        <family val="2"/>
      </rPr>
      <t>automobil pro dopravu - Křemešnická 250 tis. Kč</t>
    </r>
  </si>
  <si>
    <t>motocykl pro autoškolu 100 tis. Kč, svařovací, kontrolní a měřící stroje a zařízení 400 tis. Kč, pořízení gastrotechnologie a vybavení pro přepravu jídla - investiční dotace zřizovatele - 3 461 tis. Kč, vybavení na přepravu jídla (auto na rozvoz obědů) - dofinancování z vlastních prostředků 50 tis. Kč</t>
  </si>
  <si>
    <t>plynový varný kotel 100 tis. Kč, interaktivní tabule 200 tis. Kč, diagnostické zařízení 80 tis. Kč, automobil "TRANSIT" 380 tis. Kč (výměna za nepojízdnou Avii - na praxi žáků)</t>
  </si>
  <si>
    <t>keramická pec 45 tis. Kč, hudební nástroj 105 tis. Kč</t>
  </si>
  <si>
    <t>osobní automobil 300 tis. Kč (výměna za staré)</t>
  </si>
  <si>
    <t>interaktivní tabule s přílušenstvím 120 tis. Kč, keramická pec 50 tis. Kč</t>
  </si>
  <si>
    <r>
      <t xml:space="preserve">diagnostika - měření geometrie 350 tis. Kč, </t>
    </r>
    <r>
      <rPr>
        <sz val="8"/>
        <color indexed="8"/>
        <rFont val="Arial"/>
        <family val="2"/>
      </rPr>
      <t>automobil pro dopravu - Křemešnická 250 tis. Kč (náhrada za multikáru)</t>
    </r>
  </si>
  <si>
    <t>GO svářečka 100 tis. Kč, zalepovačka 200 tis. Kč, klimatizace do odborné učebny č. 501 pevně spojená s budovou Kubišova 1214/9 50 tis. Kč,</t>
  </si>
  <si>
    <t xml:space="preserve">měřící zařízení 120 tis. Kč, pásová pila na kov do školních dílen 50 tis. Kč, unipar na vaření do školní jídelny 150 tis. Kč, kopírka (sborovna školy) 100 tis. Kč, klimatizační zařízení do učeben a kabinetů v půdních prostorách školy 300 tis. Kč, </t>
  </si>
  <si>
    <t xml:space="preserve">úprava porodny prasnic 400 tis. Kč, investice související s výstavbou kravína 1 000 tis. Kč, opravy elektroinstalace, rozvodů vody a energií 200 tis. Kč, opravy střech, zateplení a opravy plášťů budov 180 tis. Kč, opravy komunikací 50 tis.Kč, opravdy a údržba bytů 50 tis. Kč, stavební materiál 40 tis. Kč, opravy strojů a vybavení vč. náhradních dílů 280 tis. Kč, opravy silážních žlabů 300 tis. Kč  </t>
  </si>
  <si>
    <t>zvířata zákl. stáda 2 500 tis. Kč, nákup traktorů 2 500 tis. Kč, zem. Stroje 2 300 tis. Kč, vybavení jatek a MV 1 000 tis. Kč, bramborový kombajn 400 tis. Kč, nákladní automobil 480 tis. Kč (výměna za starý)</t>
  </si>
  <si>
    <t>rozšíření školních serverů 250 tis. Kč, informační systém školy-software 150 tis. Kč, osobní automobil 400 tis. Kč (nové auto)</t>
  </si>
  <si>
    <t>malby a nátěry v budově školy (učebny, sociální zařízení) 200 tis. Kč</t>
  </si>
  <si>
    <t>PLC (programovatelný logický automat) do mechatroniky 65 tis. Kč, osciloskop Tektronikx TDS2022 56 tis. Kč, měřící jednotka + program RC2000 57 tis. Kč, měřící souprava 105 tis. Kč, moduly Pasco 80 tis. Kč</t>
  </si>
  <si>
    <t>zateplení budovy dílen školy - zadní průčelí 175 tis. Kč, zateplení Kubišova Domeček 73 tis. Kč, žaluzie 7 tis. Kč, revitalizace školní zahrady - spoluúčast školy 340 tis. Kč, vstup do sklepních prostor - budova Kubišova 1214/9 60 tis. Kč, Projekt Revitalizace školní zahrady Střední školy stavební Třebíč II 800 tis. Kč</t>
  </si>
  <si>
    <t>dodávkový automobil 200 tis. Kč (výměna za starý), hrotový soustruh 450 tis. Kč</t>
  </si>
  <si>
    <t>hydraulický lis - dílny Světlá nad Sázavou (opravář zemědělských strojů) 180 tis. Kč, traktor pro praktické vyučování - Humpolec 1 200 tis. Kč, osobní auto - autoškola (náhrada za bourané auto) 250 tis. Kč, vybavení odborné učebny 200 tis. Kč</t>
  </si>
  <si>
    <t xml:space="preserve">nový povrch sportovního hřiště - Humpolec 700 tis. Kč, </t>
  </si>
  <si>
    <t>rekonstrukce školní sítě ICT 200 tis. Kč, stavební úpravy - rozšíření dílny pro zabezpečovací techniku 60 tis. Kč, bezpečnostní folie - vstup do školy 30 tis. Kč, oprava dlažby - budova A III. NP 120 tis. Kč, oprava podlah - 3 učebny 250 tis. Kč, oprava rozvodů vody 400 tis. Kč - budova A, dlažba - vstup do DM + botárna 220 tis. Kč, oprava elektroinstalace 300 tis. Kč, nový povrch na chodbách v DM - 4 podlaží 280 tis. Kč, oprava podlah ve všech podestách v DM 2.-9.p. 200 tis. Kč, oprava chodníku k vrátnici 200 tis. Kč</t>
  </si>
  <si>
    <t>hudební nástroje včetně příslušenství 70 tis. Kč</t>
  </si>
  <si>
    <t xml:space="preserve">interaktivní tabule 70 tis. Kč, dataprojektor 20 tis. Kč, PC s příslušenstvím  - 20 tis. Kč - soubor movitých věcí v rámci projektu </t>
  </si>
  <si>
    <t>Celkem školství</t>
  </si>
  <si>
    <t>plotter vyřezávací 147 tis. Kč, osvitová jednotka pro sítotisk 137 tis. Kč</t>
  </si>
  <si>
    <t>výmalba ve vytipovaných prostorách školy ve všech 3 budovách 100 tis. Kč, opravy podlah Sirotčí, DM Stařečka 102 tis. Kč</t>
  </si>
  <si>
    <t>údržba výpočetní techniky 30 tis. Kč, drobné opravy movitého a nemovitého majetku 180 tis. Kč, malování 100 tis. Kč</t>
  </si>
  <si>
    <t>osobní automobil (náhrada za zkorodovaného Favorita Forman r.výr. 1992) - 300 tis. Kč, kopírka 2 ks 160 tis. Kč, klimatizace učebny VT 300 tis. Kč</t>
  </si>
  <si>
    <t>dokončení přístřešku u tělocvičny 220 tis. Kč, oprava rozvodů vody 150 tis. Kč</t>
  </si>
  <si>
    <t>běžné opravy 200 tis. Kč, opravy suportu 8 soustruhů 200 tis. Kč</t>
  </si>
  <si>
    <t>nákup užitkového dodávkového automobilu 380 tis. Kč (výměna za starý)</t>
  </si>
  <si>
    <t>svařovací, kontrolní a měřící stroje a zařízení 400 tis. Kč, pořízení gastrotechnologie a vybavení pro přepravu jídla - investiční dotace zřizovatele - 3 461 tis. Kč, vybavení na přepravu jídla (auto na rozvoz obědů) - dofinancování z vlastních prostředků 50 tis. Kč</t>
  </si>
  <si>
    <t>kotel plynový - kuchyň 130 tis. Kč, elektronický konvektomat - OV kuchař-číšník 135 tis. Kč</t>
  </si>
  <si>
    <t>robot do školní kuchyně na pracoviště Cyrilometodějská 22  67 tis. Kč</t>
  </si>
  <si>
    <t>rozšíření školních serverů 250 tis. Kč, informační systém školy-software 150 tis. Kč</t>
  </si>
  <si>
    <t>vybavení laboratoří mechatroniky - dofinancování z r. 2010 (schváleno RK č. 17/2010) 300 tis. Kč, vybavení učebny PC - sítě 400 tis. Kč, dataprojektory - 2ks 90 tis. Kč, vybavení laboratoří měření a mechatroniky 274 tis. Kč, vybavení pracoviště pro měření točivých strojů 100 tis. Kč</t>
  </si>
  <si>
    <t>údržba výpočetní techniky 30 tis. Kč, drobné opravy movitého a nemovitého majetku 180 tis. Kč</t>
  </si>
  <si>
    <t>hydraulický lis - dílny Světlá nad Sázavou (opravář zemědělských strojů) 180 tis. Kč, osobní auto - autoškola (náhrada za bourané auto) 250 tis. Kč, vybavení odborné učebny 200 tis. Kč</t>
  </si>
  <si>
    <t>GO svářečka 100 tis. Kč, zalepovačka 200 tis. Kč, klimatizace do odborných učeben 50 tis. Kč,</t>
  </si>
  <si>
    <t xml:space="preserve">měřící zařízení 120 tis. Kč, pásová pila na kov do školních dílen 50 tis. Kč, unipar na vaření do školní jídelny 150 tis. Kč, kopírka (sborovna školy) 100 tis. Kč, klimatizační zařízení do učeben a kabinetů 300 tis. Kč, </t>
  </si>
  <si>
    <t>dodávkový automobil 200 tis. Kč (výměna za starý)</t>
  </si>
  <si>
    <t xml:space="preserve">malování 35 tis. Kč  </t>
  </si>
  <si>
    <t>pojízdný vyhřívaný vozík na gastronádoby 150 tis. Kč</t>
  </si>
  <si>
    <t>Projekt Revitalizace školní zahrady Střední školy stavební Třebíč II 800 tis. Kč, revitalizace školní zahrady - spoluúčast školy 340 tis. Kč</t>
  </si>
  <si>
    <t>odhlučnění CNC učebny Křemešnická ul. 100 tis. Kč,vstupní zabezpečovací systém Křemešnická 150 tis. Kč, vstupní zabezpečovací systém Růžová 150 tis. Kč, osvětlení tělocvična 600 tis. Kč</t>
  </si>
  <si>
    <t>Plán čerpání investičního fondu na rok 2012</t>
  </si>
  <si>
    <t>ZŠ a Praktická škola Moravské  Budějovice, Dobrovského 11</t>
  </si>
  <si>
    <t>olepovačka hran 250 tis. Kč, soustruh univerzálni 350 tis. Kč</t>
  </si>
  <si>
    <t>smažící pánve elektrické - 2 ks 260 tis. Kč, vchodové plastové dveře 70 tis. Kč</t>
  </si>
  <si>
    <t>oprava povrchu školního dvora 630 tis. Kč</t>
  </si>
  <si>
    <t>plotter 120 tis. Kč</t>
  </si>
  <si>
    <t>stravovací systém 250 tis. Kč, telefonní ústředna 125 tis. Kč, mulfifunkční zařízení A3 - 68 tis. Kč</t>
  </si>
  <si>
    <t>malířské a natěračské práce 50 tis. Kč, oprava střech na budovách školy 100 tis. Kč, oprava ústředního topení a vodovodních rozvodů 50 tis. Kč</t>
  </si>
  <si>
    <t>varný kotel 120 tis. Kč</t>
  </si>
  <si>
    <t xml:space="preserve"> mycí podlahový elektrický automat 57 tis. Kč, interaktivní tabule s příslušenstvím 120 tis. Kč</t>
  </si>
  <si>
    <t>oprava střechy na budově gymnázia - Tyršova 555, Chotěboř 380 tis. Kč</t>
  </si>
  <si>
    <t>konvektomat do kuchyně 500 tis. Kč</t>
  </si>
  <si>
    <t>výmalba školy, oprava nářadí v tělocvičně, oprava doskočiště celkem 160 tis. Kč</t>
  </si>
  <si>
    <t>pořízení serveru 300 tis. Kč</t>
  </si>
  <si>
    <t>server se síťovým rozvaděčem 80 tis. Kč</t>
  </si>
  <si>
    <t>oprava tělocvičny 250 tis. Kč</t>
  </si>
  <si>
    <t>okna - učebna č. 12 - 200 tis. Kč</t>
  </si>
  <si>
    <t>běžné opravy v budově školy - elektro, vody, odpadu, kotlů 100 tis. Kč, malba v budově 50 tis. Kč, nátěr podlahy v tělocvičně 150 tis. Kč</t>
  </si>
  <si>
    <t>oprava plotu kolem školního hřiště 110 tis. Kč</t>
  </si>
  <si>
    <t>kopírka 71 tis. Kč</t>
  </si>
  <si>
    <t>server 70 tis. Kč</t>
  </si>
  <si>
    <t>PC program na evidenci klientů 70 tis.Kč</t>
  </si>
  <si>
    <t>zahradní pergola včetně příslušenství 100 tis. Kč</t>
  </si>
  <si>
    <t>oprava koupelny 1. rodinné skupiny 120 tis. Kč</t>
  </si>
  <si>
    <t>automobil  vícemístný - výměna ( dotace zřizovatele 600 tis. Kč)</t>
  </si>
  <si>
    <t>pořízení nového serveru 85 tis. Kč</t>
  </si>
  <si>
    <t>oprava školního hřiště ul. Bratříků 900 tis. Kč</t>
  </si>
  <si>
    <t xml:space="preserve"> běžné opravy 200 tis. Kč, malování - přístavek škola, DM, školní kuchyně 80 tis. Kč, oprava žaluzií 20 tis. Kč</t>
  </si>
  <si>
    <t>kopírka 60 tis. Kč, závitořez pro výuku 130 tis. Kč</t>
  </si>
  <si>
    <t>oprava podlah v učebnách školy 140 tis. Kč</t>
  </si>
  <si>
    <t>údržba a opravy majetku 160 tis. Kč</t>
  </si>
  <si>
    <t>soustava ICT 320 tis. Kč</t>
  </si>
  <si>
    <t>počítačové vybavení učebny 230 tis. Kč</t>
  </si>
  <si>
    <t>osobní automobil pro autoškolu - výměna 350 tis. Kč</t>
  </si>
  <si>
    <t>Střední průmyslová škola a Střední odborné učiliště Pelhřimov</t>
  </si>
  <si>
    <r>
      <t xml:space="preserve">výměna části oken na DM  200 tis. Kč, výměna okapů na budově gymnázia  200 tis. Kč, oprava kopule hvězdárny v budově gymnázia 150 tis. Kč, oprava omítek a fasády v dílnách 50 tis. Kč, </t>
    </r>
    <r>
      <rPr>
        <sz val="8"/>
        <rFont val="Arial"/>
        <family val="2"/>
      </rPr>
      <t>sněhové zábrany na střechu budovy gymnázia 150 tis. Kč</t>
    </r>
  </si>
  <si>
    <t>bidety - dívčí WC - 2 ks 45 tis. Kč, kotel s malým výkonem na ohřev TUV - 60 tis. Kč, výměna podlahové krytiny v kanceláři zástupce školy 13 tis. Kč, malování - pouze opravy a běžná údržba 10 tis. Kč, dokončení oprav venkovních omítek budovy 50 tis. Kč, opravy v kotelně - kotlové čerpadlo, mix 30 tis. Kč</t>
  </si>
  <si>
    <t>výměna oken na hlavní budově školy 200 tis.Kč, rekonstrukce vchodu do hlavní budovy školy 300 tis.Kč</t>
  </si>
  <si>
    <t>oprava elektroinstalace, rozvody plynu, vody a podlah v uvolněném bytu 150 tis.Kč, oprava podlah učebny + kabinety (budova B) 120 tis.Kč, oprava hygienických koutků v učebnách 110 tis.Kč</t>
  </si>
  <si>
    <t>TZ schodiště 220 tis.Kč, rekonstrukce půdy 200 tis.Kč, rekonstrukce oken v tělocvičně 200 tis.Kč, rekonstrukce střechy šatny 160 tis.Kč</t>
  </si>
  <si>
    <t>běžná údržba a opravy movitého a nemovitého majetku 150 tis. Kč</t>
  </si>
  <si>
    <t>výměna oken na hale pro praxi - I. etapa 350 tis. Kč</t>
  </si>
  <si>
    <t>výměna linolea v přízemí školy 190 tis.Kč,  modernizace šaten školy - nová podlaha, osvětlení, malířské práce 510 tis.Kč</t>
  </si>
  <si>
    <t>revitalizace zahrady (dotace) 1 031 tis.Kč, revitalizace zahrady - spolupodíl školy k projektu 344 tis.Kč, revitalizace zahrady- nezpůsobilé náklady 31 tis.Kč, vstup do sklepních prostor 180 tis.Kč, vstupní prostor přízemí 230 tis.Kč, zateplení - fasáda Hrotovická - dokončení 20 tis.Kč, klimatizace do auly 60 tis.Kč</t>
  </si>
  <si>
    <t>učebna výpočetní techniky 550 tis.Kč, osobní automobil - výměna 400 tis.Kč</t>
  </si>
  <si>
    <t>servery 50 tis.Kč, PC  učebna 150 tis.Kč</t>
  </si>
  <si>
    <t>server 100 tis.Kč, konvektomat 400 tis.Kč, smažící pánev 50 tis.Kč</t>
  </si>
  <si>
    <t>oprava stropů a osvětlení  v umývárnách žáků 110 tis.Kč, malířské a natěračské práce 90 tis. Kč, oprava podlahové krytiny na pokojích žáků 60 tis. Kč</t>
  </si>
  <si>
    <t>stavební opravy v areálu domova, opravy věcí movitých 270 tis. Kč</t>
  </si>
  <si>
    <t>rekonstrukce školní datové sítě 1 000 tis.Kč, úprava uč. 102 na studenský klub - vybourání otvoru na prosklené okno z chodby 90 tis.Kč, nový podhled ve vestibulu 60 tis.Kč, oprava podlah chodba II.N.P. - dlažba 200 tis.Kč, oprava podlah 2x chodba domov mládeže -PVC  140 tis.Kč,výměna osvětlení - tři učebny silnoproudu 60 tis.Kč, oprava a výměna osvětlení v hale - snížení spotřeby el. energie 380 tis.Kč, oprava elektroinstalace, kanalizačních svodů a potrubí vody v budově A vč. projektu 560 tis.Kč, oprava stěn v pokojích - dvě podlaží 70 tis.Kč, oprava stoupacích vedení potrubí vody a kanalizace 115 tis.Kč</t>
  </si>
  <si>
    <t>docházkový, stravovací a školský systém  500 tis.Kč, lednice do školní jídelny 45 tis.Kč, rekonstrukce výukových pracovišť pro silnoproud - tři učebny 180 tis.Kč,</t>
  </si>
  <si>
    <t>vodní fritéza 57 tis.Kč, přenosný mobilní ultrasonograf  140 tis.Kč, osobní automobil pro autoškolu - výměna 280 tis. Kč, pánev samičí se zárodkem 110 tis.Kč, projekt ESF: komplet - inter. tabule, PC 130 tis.Kč, projekt ESF: 4 x komplet - PC, dataprojektor, plátno a 45 tis. Kč - celkem 180 tis. Kč</t>
  </si>
  <si>
    <t>malby a nátěry na domově mláděže ( výmalba socální zařízení, pokojů, nátěry dveří, radiátorů) 150 tis.Kč</t>
  </si>
  <si>
    <t xml:space="preserve">smažící plynová pánev do školní jídelny - 2 ks 420 tis. Kč, plynový sporák do školní jídelny 100 tis. Kč </t>
  </si>
  <si>
    <t>realizace I. etapy gumových podlah haly praktické výuky 160  tis. Kč, rekonstrukce vjezdové vozovky do areálu 100 tis. Kč, sněhové zábrany a vedení bleskosvodů haly OV 120 tis. Kč, oprava obketku údržby 1 200 tis. Kč</t>
  </si>
  <si>
    <t>elektronicky ovládaná vjezdová závora 100 tis. Kč, pořízení investičního movitého majetek v rámci projektu "Moderní měření" - investiční dotace od zřizovatele - 2 400 tis. Kč, spolúčast v projektu "Moderní měření " - 100 tis. Kč</t>
  </si>
  <si>
    <t>výměna zbylých oken ve školní jídelně  4 ks - 150 tis. Kč, výměna oken ve společenské místnosti domova mládeže - 3 ks čtyřdílných oken - 150 tis. Kč</t>
  </si>
  <si>
    <t>nákup dodávkového automobilu pro přepravu osob - výměna  550 tis. Kč</t>
  </si>
  <si>
    <t>svářečka 365 tis. Kč, svářečka elektotvarovek 96 tis. Kč, nákladní automobil pro autoškolu - výměna 1 200 tis. Kč</t>
  </si>
  <si>
    <t>osobní automobil - výměna  380 tis. Kč, mycí stroj na motorová vozidla 80 tis. Kč, závora vjezdová pro dílny OV 80 tis. Kč</t>
  </si>
  <si>
    <t>odsávání - svařovna 150 tis. Kč, oprava střechy na dílnách 300 tis. Kč</t>
  </si>
  <si>
    <t>výukový software pro konstruování v elektrotechnice 135 tis. Kč, výukový software pro CNC měřící stroj 90 tis. Kč</t>
  </si>
  <si>
    <t>kopírovací stroj 100 tis. Kč, svářečka 60 tis. Kč, geometrie pro osobní vozy 140 tis. Kč</t>
  </si>
  <si>
    <t>užitkový automobil (sklopný, 6 místný) - výměna 500 tis. Kč</t>
  </si>
  <si>
    <t>opravy elektroinstalace, rozvodů vody a energií 200 tis. Kč, opravy střech, zateplení a opravy plášťů budov 180 tis. Kč, opravy komunikací 50 tis. Kč, opravy a údržba bytů 90 tis. Kč, opravy strojů a vybavení 280 tis. Kč, opravy odchovny jalovic 800 tis. Kč, úprava stání pro koně a silážního žlabu 550 tis. Kč, napojení na městský vodovod 450 tis. Kč</t>
  </si>
  <si>
    <t>zvířata - zákl. stáda 2 500 tis. Kč, nákup traktoru 3 300 tis. Kč, zemědělské stroje (dle aktuální potřeby) 1200 tis. Kč, vybavení jatek a MV 1 000 Kč, bramborový kombajn 200 tis. Kč, osobní automobil - výměna - 200 tis. Kč</t>
  </si>
  <si>
    <t xml:space="preserve"> CNC dřevoobráběcí stroj  1 400 tis.( z toho: dotace zřizovatele 700 tis.Kč)</t>
  </si>
  <si>
    <t>server 150 tis. Kč, interaktivní tabule 100 tis. Kč</t>
  </si>
  <si>
    <t>cvičné auto pro autoškolu - výměna 300 tis. Kč, malý nákladní automobil - výměna 230 tis. Kč, počítače pro program CATIA (cena 1 ks nad 40 tis. Kč) 400 tis. Kč, pořízení investičního hmotného majetku v rámci projektu "Moderní měření " - investiční dotace od zřizovatele 2 400 tis. Kč</t>
  </si>
  <si>
    <r>
      <t xml:space="preserve">oprava výtahu 1 200 tis. Kč, oprava podlah tělocvičny 910 Kč , odhlučnění učebny "Měrové středisko" - </t>
    </r>
    <r>
      <rPr>
        <sz val="8"/>
        <rFont val="Arial"/>
        <family val="2"/>
      </rPr>
      <t>spoluúčast v rámci projektu "Moderní měření" 100 tis. Kč</t>
    </r>
  </si>
  <si>
    <t>tělocvična - sprchy 100 tis. Kč, schody nová budova - obklady 50 tis. Kč, oprava byt školníka 50 tis. Kč, podlaha před tělocvičnou 50 tis. Kč, malování 100 tis. Kč, vchodové dveře - elektrické zabezpečení 150 tis. Kč</t>
  </si>
  <si>
    <t>§ 3114 - celkem</t>
  </si>
  <si>
    <t xml:space="preserve">§ 3121 - celkem </t>
  </si>
  <si>
    <t>Střední škola obchodu a služeb Jihlava</t>
  </si>
  <si>
    <t>závěrečné práce v přístřešku u tělocvičny 300 tis. Kč, oprava přívodů a rozvodu vody II. DM 200 tis. Kč</t>
  </si>
  <si>
    <t>osobní automobil - výměna 300 tis. Kč, 3D skener barevný 400 tis. Kč</t>
  </si>
  <si>
    <t>unipar na vaření pro školní kuchyň 150 tis.Kč, univerzální multifunkční robot 80 tis.Kč, vyhřívaný transportní vozík s ventilátorem 70 tis. Kč, elektrický varný kotel do ŠJ 100 tis. Kč, měřící přístroj do elektrolaboratoře 100 tis. Kč, elektrický varný kotel do školní jídelny 100 tis. Kč</t>
  </si>
  <si>
    <t>osobní automobil - výměna 380 tis. Kč</t>
  </si>
  <si>
    <t>dataprojektor 3 ks 140 tis. Kč, dovybavení laboratoří měření 222 tis. Kč, notebook 43 tis. Kč, zařízení uvolněného bytu - kuchyňský kout  60 tis. Kč, audiozařízení do jazykových učeben 150 tis. Kč</t>
  </si>
  <si>
    <t>automobil - 7 míst - výměna 260 tis. Kč, valník s šestimístnou kabinou - ojetý - výměna 450 tis.Kč, diagnostické zařízení - výměna 100 tis. Kč, 4-tunový zvedák - autoservis Humpolec  70 tis.Kč,</t>
  </si>
  <si>
    <t>Vysočina Education, školské zařízení pro další vzdělávání pedagogických pracovníků a středisko služeb školám, příspěvková organizace</t>
  </si>
  <si>
    <t>RK-12-2012-31, př. 3</t>
  </si>
  <si>
    <t>počet stran: 4</t>
  </si>
</sst>
</file>

<file path=xl/styles.xml><?xml version="1.0" encoding="utf-8"?>
<styleSheet xmlns="http://schemas.openxmlformats.org/spreadsheetml/2006/main">
  <numFmts count="3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Yes&quot;;&quot;Yes&quot;;&quot;No&quot;"/>
    <numFmt numFmtId="182" formatCode="&quot;True&quot;;&quot;True&quot;;&quot;False&quot;"/>
    <numFmt numFmtId="183" formatCode="&quot;On&quot;;&quot;On&quot;;&quot;Off&quot;"/>
    <numFmt numFmtId="184" formatCode="#,##0.00\ &quot;Kč&quot;"/>
    <numFmt numFmtId="185" formatCode="#,##0\ &quot;Kč&quot;"/>
    <numFmt numFmtId="186" formatCode="[$-405]d\.\ mmmm\ yyyy"/>
    <numFmt numFmtId="187" formatCode="000\ 00"/>
    <numFmt numFmtId="188" formatCode="0.0"/>
    <numFmt numFmtId="189" formatCode="0.0%"/>
    <numFmt numFmtId="190" formatCode="_-* #,##0.0\ &quot;Kč&quot;_-;\-* #,##0.0\ &quot;Kč&quot;_-;_-* &quot;-&quot;??\ &quot;Kč&quot;_-;_-@_-"/>
    <numFmt numFmtId="191" formatCode="_-* #,##0\ &quot;Kč&quot;_-;\-* #,##0\ &quot;Kč&quot;_-;_-* &quot;-&quot;??\ &quot;Kč&quot;_-;_-@_-"/>
    <numFmt numFmtId="192" formatCode="_-* #,##0.000\ &quot;Kč&quot;_-;\-* #,##0.000\ &quot;Kč&quot;_-;_-* &quot;-&quot;??\ &quot;Kč&quot;_-;_-@_-"/>
  </numFmts>
  <fonts count="72">
    <font>
      <sz val="10"/>
      <name val="Arial CE"/>
      <family val="0"/>
    </font>
    <font>
      <b/>
      <sz val="8"/>
      <name val="Arial CE"/>
      <family val="2"/>
    </font>
    <font>
      <sz val="9"/>
      <name val="Arial CE"/>
      <family val="2"/>
    </font>
    <font>
      <b/>
      <sz val="10"/>
      <name val="Arial CE"/>
      <family val="2"/>
    </font>
    <font>
      <sz val="12"/>
      <name val="Arial CE"/>
      <family val="2"/>
    </font>
    <font>
      <b/>
      <sz val="14"/>
      <name val="Arial CE"/>
      <family val="2"/>
    </font>
    <font>
      <sz val="14"/>
      <name val="Arial CE"/>
      <family val="2"/>
    </font>
    <font>
      <u val="single"/>
      <sz val="10"/>
      <color indexed="12"/>
      <name val="Arial CE"/>
      <family val="0"/>
    </font>
    <font>
      <u val="single"/>
      <sz val="10"/>
      <color indexed="36"/>
      <name val="Arial CE"/>
      <family val="0"/>
    </font>
    <font>
      <b/>
      <sz val="12"/>
      <name val="Arial"/>
      <family val="2"/>
    </font>
    <font>
      <b/>
      <sz val="14"/>
      <name val="Arial"/>
      <family val="2"/>
    </font>
    <font>
      <sz val="12"/>
      <name val="Arial"/>
      <family val="2"/>
    </font>
    <font>
      <sz val="10"/>
      <name val="Arial"/>
      <family val="2"/>
    </font>
    <font>
      <sz val="8"/>
      <name val="Arial"/>
      <family val="2"/>
    </font>
    <font>
      <b/>
      <sz val="10"/>
      <name val="Arial"/>
      <family val="2"/>
    </font>
    <font>
      <sz val="7"/>
      <name val="Arial"/>
      <family val="2"/>
    </font>
    <font>
      <sz val="9"/>
      <name val="Arial"/>
      <family val="2"/>
    </font>
    <font>
      <b/>
      <vertAlign val="superscript"/>
      <sz val="14"/>
      <name val="Arial"/>
      <family val="2"/>
    </font>
    <font>
      <sz val="10"/>
      <color indexed="8"/>
      <name val="Arial"/>
      <family val="2"/>
    </font>
    <font>
      <sz val="8"/>
      <color indexed="8"/>
      <name val="Arial"/>
      <family val="2"/>
    </font>
    <font>
      <sz val="8"/>
      <color indexed="12"/>
      <name val="Arial"/>
      <family val="2"/>
    </font>
    <font>
      <sz val="10"/>
      <color indexed="12"/>
      <name val="Arial CE"/>
      <family val="0"/>
    </font>
    <font>
      <b/>
      <sz val="10"/>
      <color indexed="12"/>
      <name val="Arial CE"/>
      <family val="2"/>
    </font>
    <font>
      <sz val="9"/>
      <color indexed="12"/>
      <name val="Arial CE"/>
      <family val="2"/>
    </font>
    <font>
      <sz val="10"/>
      <color indexed="8"/>
      <name val="Arial CE"/>
      <family val="0"/>
    </font>
    <font>
      <b/>
      <sz val="10"/>
      <color indexed="8"/>
      <name val="Arial"/>
      <family val="2"/>
    </font>
    <font>
      <sz val="9"/>
      <color indexed="8"/>
      <name val="Arial"/>
      <family val="2"/>
    </font>
    <font>
      <b/>
      <vertAlign val="superscript"/>
      <sz val="10"/>
      <name val="Arial"/>
      <family val="2"/>
    </font>
    <font>
      <vertAlign val="superscript"/>
      <sz val="10"/>
      <name val="Arial"/>
      <family val="2"/>
    </font>
    <font>
      <b/>
      <sz val="11"/>
      <name val="Arial"/>
      <family val="2"/>
    </font>
    <font>
      <b/>
      <sz val="9"/>
      <name val="Arial CE"/>
      <family val="2"/>
    </font>
    <font>
      <sz val="8"/>
      <color indexed="10"/>
      <name val="Arial"/>
      <family val="2"/>
    </font>
    <font>
      <b/>
      <sz val="9"/>
      <color indexed="8"/>
      <name val="Arial CE"/>
      <family val="2"/>
    </font>
    <font>
      <strike/>
      <sz val="8"/>
      <color indexed="8"/>
      <name val="Arial"/>
      <family val="2"/>
    </font>
    <font>
      <b/>
      <sz val="8"/>
      <color indexed="8"/>
      <name val="Arial"/>
      <family val="2"/>
    </font>
    <font>
      <sz val="8"/>
      <name val="Arial CE"/>
      <family val="0"/>
    </font>
    <font>
      <b/>
      <sz val="8"/>
      <name val="Arial"/>
      <family val="2"/>
    </font>
    <font>
      <i/>
      <sz val="8"/>
      <color indexed="8"/>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13"/>
        <bgColor indexed="64"/>
      </patternFill>
    </fill>
    <fill>
      <patternFill patternType="solid">
        <fgColor indexed="14"/>
        <bgColor indexed="64"/>
      </patternFill>
    </fill>
    <fill>
      <patternFill patternType="solid">
        <fgColor theme="0"/>
        <bgColor indexed="64"/>
      </patternFill>
    </fill>
  </fills>
  <borders count="8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medium"/>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thin"/>
      <right style="medium"/>
      <top style="medium"/>
      <bottom>
        <color indexed="63"/>
      </bottom>
    </border>
    <border>
      <left style="medium"/>
      <right style="medium"/>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medium"/>
      <top style="medium"/>
      <bottom style="medium"/>
    </border>
    <border>
      <left style="medium"/>
      <right>
        <color indexed="63"/>
      </right>
      <top style="thin"/>
      <bottom style="thin"/>
    </border>
    <border>
      <left>
        <color indexed="63"/>
      </left>
      <right>
        <color indexed="63"/>
      </right>
      <top style="thin"/>
      <bottom style="thin"/>
    </border>
    <border>
      <left style="thin"/>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thin"/>
      <right style="medium"/>
      <top style="thin"/>
      <bottom>
        <color indexed="63"/>
      </bottom>
    </border>
    <border>
      <left style="medium"/>
      <right>
        <color indexed="63"/>
      </right>
      <top>
        <color indexed="63"/>
      </top>
      <bottom style="thin"/>
    </border>
    <border>
      <left style="medium"/>
      <right style="medium"/>
      <top style="medium"/>
      <bottom style="medium"/>
    </border>
    <border>
      <left style="thin"/>
      <right style="medium"/>
      <top style="medium"/>
      <bottom style="thin"/>
    </border>
    <border>
      <left style="medium"/>
      <right style="medium"/>
      <top>
        <color indexed="63"/>
      </top>
      <bottom style="thin"/>
    </border>
    <border>
      <left style="medium"/>
      <right style="medium"/>
      <top style="thin"/>
      <bottom style="thin"/>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style="thin"/>
      <right style="medium"/>
      <top style="thin"/>
      <bottom style="medium"/>
    </border>
    <border>
      <left>
        <color indexed="63"/>
      </left>
      <right>
        <color indexed="63"/>
      </right>
      <top>
        <color indexed="63"/>
      </top>
      <bottom style="thin"/>
    </border>
    <border>
      <left style="thin"/>
      <right style="medium"/>
      <top>
        <color indexed="63"/>
      </top>
      <bottom>
        <color indexed="63"/>
      </bottom>
    </border>
    <border>
      <left>
        <color indexed="63"/>
      </left>
      <right>
        <color indexed="63"/>
      </right>
      <top>
        <color indexed="63"/>
      </top>
      <bottom style="medium"/>
    </border>
    <border>
      <left style="medium"/>
      <right style="medium"/>
      <top style="medium"/>
      <bottom style="thin"/>
    </border>
    <border>
      <left>
        <color indexed="63"/>
      </left>
      <right style="thin"/>
      <top style="medium"/>
      <bottom style="medium"/>
    </border>
    <border>
      <left style="medium"/>
      <right style="medium"/>
      <top>
        <color indexed="63"/>
      </top>
      <bottom>
        <color indexed="63"/>
      </bottom>
    </border>
    <border>
      <left style="medium"/>
      <right style="medium"/>
      <top style="thin"/>
      <bottom>
        <color indexed="63"/>
      </bottom>
    </border>
    <border>
      <left style="medium"/>
      <right style="medium"/>
      <top style="thin"/>
      <bottom style="medium"/>
    </border>
    <border>
      <left style="medium"/>
      <right style="thin"/>
      <top style="medium"/>
      <bottom style="thin"/>
    </border>
    <border>
      <left style="thin"/>
      <right style="thin"/>
      <top style="medium"/>
      <bottom style="medium"/>
    </border>
    <border>
      <left style="medium"/>
      <right style="thin"/>
      <top style="medium"/>
      <bottom style="medium"/>
    </border>
    <border>
      <left style="medium"/>
      <right style="thin"/>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color indexed="63"/>
      </top>
      <bottom style="thin"/>
    </border>
    <border>
      <left>
        <color indexed="63"/>
      </left>
      <right style="thin"/>
      <top>
        <color indexed="63"/>
      </top>
      <bottom style="thin"/>
    </border>
    <border>
      <left style="thin"/>
      <right>
        <color indexed="63"/>
      </right>
      <top>
        <color indexed="63"/>
      </top>
      <bottom style="thin"/>
    </border>
    <border>
      <left style="medium"/>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medium"/>
      <bottom style="medium"/>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style="medium"/>
      <top style="thin"/>
      <bottom style="thin"/>
    </border>
    <border>
      <left>
        <color indexed="63"/>
      </left>
      <right style="thin"/>
      <top style="medium"/>
      <bottom style="thin"/>
    </border>
    <border>
      <left>
        <color indexed="63"/>
      </left>
      <right>
        <color indexed="63"/>
      </right>
      <top style="medium"/>
      <bottom>
        <color indexed="63"/>
      </bottom>
    </border>
    <border>
      <left>
        <color indexed="63"/>
      </left>
      <right style="thin"/>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58" fillId="20" borderId="0" applyNumberFormat="0" applyBorder="0" applyAlignment="0" applyProtection="0"/>
    <xf numFmtId="0" fontId="5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2" borderId="0" applyNumberFormat="0" applyBorder="0" applyAlignment="0" applyProtection="0"/>
    <xf numFmtId="0" fontId="8"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5" fillId="0" borderId="7" applyNumberFormat="0" applyFill="0" applyAlignment="0" applyProtection="0"/>
    <xf numFmtId="0" fontId="66" fillId="24" borderId="0" applyNumberFormat="0" applyBorder="0" applyAlignment="0" applyProtection="0"/>
    <xf numFmtId="0" fontId="67" fillId="0" borderId="0" applyNumberFormat="0" applyFill="0" applyBorder="0" applyAlignment="0" applyProtection="0"/>
    <xf numFmtId="0" fontId="68" fillId="25" borderId="8" applyNumberFormat="0" applyAlignment="0" applyProtection="0"/>
    <xf numFmtId="0" fontId="69" fillId="26" borderId="8" applyNumberFormat="0" applyAlignment="0" applyProtection="0"/>
    <xf numFmtId="0" fontId="70" fillId="26" borderId="9" applyNumberFormat="0" applyAlignment="0" applyProtection="0"/>
    <xf numFmtId="0" fontId="71" fillId="0" borderId="0" applyNumberFormat="0" applyFill="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cellStyleXfs>
  <cellXfs count="739">
    <xf numFmtId="0" fontId="0" fillId="0" borderId="0" xfId="0" applyAlignment="1">
      <alignment/>
    </xf>
    <xf numFmtId="3" fontId="18" fillId="0" borderId="10" xfId="0" applyNumberFormat="1" applyFont="1" applyBorder="1" applyAlignment="1">
      <alignment horizontal="right" vertical="center" wrapText="1" shrinkToFit="1"/>
    </xf>
    <xf numFmtId="3" fontId="18" fillId="0" borderId="10" xfId="0" applyNumberFormat="1" applyFont="1" applyBorder="1" applyAlignment="1">
      <alignment horizontal="right" vertical="center" wrapText="1"/>
    </xf>
    <xf numFmtId="0" fontId="14" fillId="0" borderId="11" xfId="0" applyFont="1" applyBorder="1" applyAlignment="1">
      <alignment vertical="center"/>
    </xf>
    <xf numFmtId="0" fontId="14" fillId="0" borderId="12" xfId="0" applyFont="1" applyBorder="1" applyAlignment="1">
      <alignment horizontal="centerContinuous" vertical="center"/>
    </xf>
    <xf numFmtId="0" fontId="14" fillId="0" borderId="13" xfId="0" applyFont="1" applyBorder="1" applyAlignment="1">
      <alignment horizontal="centerContinuous" vertical="center"/>
    </xf>
    <xf numFmtId="0" fontId="14" fillId="0" borderId="14" xfId="0" applyFont="1" applyBorder="1" applyAlignment="1">
      <alignment horizontal="centerContinuous" vertical="center"/>
    </xf>
    <xf numFmtId="0" fontId="12" fillId="0" borderId="13" xfId="0" applyFont="1" applyBorder="1" applyAlignment="1">
      <alignment horizontal="centerContinuous" vertical="center"/>
    </xf>
    <xf numFmtId="0" fontId="0" fillId="0" borderId="0" xfId="0" applyAlignment="1">
      <alignment vertical="center"/>
    </xf>
    <xf numFmtId="0" fontId="14" fillId="0" borderId="15" xfId="0" applyFont="1" applyBorder="1" applyAlignment="1">
      <alignment horizontal="center" vertical="center"/>
    </xf>
    <xf numFmtId="0" fontId="12" fillId="0" borderId="10" xfId="0" applyFont="1" applyBorder="1" applyAlignment="1">
      <alignment horizontal="centerContinuous" vertical="center"/>
    </xf>
    <xf numFmtId="0" fontId="12" fillId="0" borderId="16" xfId="0" applyFont="1" applyBorder="1" applyAlignment="1">
      <alignment horizontal="centerContinuous" vertical="center"/>
    </xf>
    <xf numFmtId="0" fontId="20" fillId="0" borderId="0" xfId="0" applyFont="1" applyFill="1" applyBorder="1" applyAlignment="1">
      <alignment horizontal="right" vertical="center"/>
    </xf>
    <xf numFmtId="0" fontId="0" fillId="0" borderId="0" xfId="0" applyFont="1" applyAlignment="1">
      <alignment vertical="center"/>
    </xf>
    <xf numFmtId="0" fontId="14" fillId="0" borderId="15" xfId="0" applyFont="1" applyBorder="1" applyAlignment="1">
      <alignment vertical="center"/>
    </xf>
    <xf numFmtId="0" fontId="12" fillId="0" borderId="17" xfId="0" applyFont="1" applyBorder="1" applyAlignment="1">
      <alignment vertical="center"/>
    </xf>
    <xf numFmtId="0" fontId="21" fillId="0" borderId="0" xfId="0" applyFont="1" applyAlignment="1">
      <alignment vertical="center"/>
    </xf>
    <xf numFmtId="0" fontId="30" fillId="0" borderId="0" xfId="0" applyFont="1" applyAlignment="1">
      <alignment vertical="center"/>
    </xf>
    <xf numFmtId="0" fontId="14" fillId="0" borderId="18" xfId="0" applyFont="1" applyBorder="1" applyAlignment="1">
      <alignment horizontal="center" vertical="center" wrapText="1"/>
    </xf>
    <xf numFmtId="3" fontId="14" fillId="0" borderId="19" xfId="0" applyNumberFormat="1"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vertical="center" wrapText="1"/>
    </xf>
    <xf numFmtId="3" fontId="14" fillId="0" borderId="20" xfId="0" applyNumberFormat="1" applyFont="1" applyBorder="1" applyAlignment="1">
      <alignment horizontal="centerContinuous" vertical="center"/>
    </xf>
    <xf numFmtId="3" fontId="14" fillId="0" borderId="17" xfId="0" applyNumberFormat="1" applyFont="1" applyBorder="1" applyAlignment="1">
      <alignment horizontal="centerContinuous" vertical="center"/>
    </xf>
    <xf numFmtId="3" fontId="13" fillId="0" borderId="21" xfId="0" applyNumberFormat="1" applyFont="1" applyBorder="1" applyAlignment="1">
      <alignment horizontal="center" vertical="center"/>
    </xf>
    <xf numFmtId="0" fontId="13" fillId="0" borderId="21" xfId="0" applyFont="1" applyBorder="1" applyAlignment="1">
      <alignment horizontal="center" vertical="center"/>
    </xf>
    <xf numFmtId="0" fontId="14" fillId="0" borderId="22" xfId="0" applyFont="1" applyBorder="1" applyAlignment="1">
      <alignment vertical="center" wrapText="1"/>
    </xf>
    <xf numFmtId="3" fontId="13" fillId="0" borderId="22" xfId="0" applyNumberFormat="1" applyFont="1" applyBorder="1" applyAlignment="1">
      <alignment horizontal="left" vertical="center"/>
    </xf>
    <xf numFmtId="3" fontId="13" fillId="0" borderId="23" xfId="0" applyNumberFormat="1" applyFont="1" applyBorder="1" applyAlignment="1">
      <alignment horizontal="left" vertical="center"/>
    </xf>
    <xf numFmtId="3" fontId="14" fillId="0" borderId="24" xfId="0" applyNumberFormat="1" applyFont="1" applyBorder="1" applyAlignment="1">
      <alignment vertical="center"/>
    </xf>
    <xf numFmtId="3" fontId="15" fillId="0" borderId="22" xfId="0" applyNumberFormat="1" applyFont="1" applyBorder="1" applyAlignment="1">
      <alignment horizontal="left" vertical="center"/>
    </xf>
    <xf numFmtId="0" fontId="19" fillId="0" borderId="25" xfId="0" applyFont="1" applyBorder="1" applyAlignment="1">
      <alignment vertical="center" wrapText="1"/>
    </xf>
    <xf numFmtId="3" fontId="31" fillId="0" borderId="25" xfId="0" applyNumberFormat="1" applyFont="1" applyBorder="1" applyAlignment="1">
      <alignment horizontal="left" vertical="center"/>
    </xf>
    <xf numFmtId="3" fontId="13" fillId="0" borderId="26" xfId="0" applyNumberFormat="1" applyFont="1" applyBorder="1" applyAlignment="1">
      <alignment horizontal="left" vertical="center"/>
    </xf>
    <xf numFmtId="3" fontId="12" fillId="0" borderId="27" xfId="0" applyNumberFormat="1" applyFont="1" applyBorder="1" applyAlignment="1">
      <alignment vertical="center"/>
    </xf>
    <xf numFmtId="3" fontId="12" fillId="0" borderId="27" xfId="0" applyNumberFormat="1" applyFont="1" applyBorder="1" applyAlignment="1">
      <alignment horizontal="right" vertical="center"/>
    </xf>
    <xf numFmtId="3" fontId="19" fillId="0" borderId="25" xfId="0" applyNumberFormat="1" applyFont="1" applyBorder="1" applyAlignment="1">
      <alignment horizontal="left" vertical="center"/>
    </xf>
    <xf numFmtId="3" fontId="19" fillId="0" borderId="26" xfId="0" applyNumberFormat="1" applyFont="1" applyBorder="1" applyAlignment="1">
      <alignment horizontal="left" vertical="center"/>
    </xf>
    <xf numFmtId="3" fontId="18" fillId="0" borderId="27" xfId="0" applyNumberFormat="1" applyFont="1" applyBorder="1" applyAlignment="1">
      <alignment vertical="center"/>
    </xf>
    <xf numFmtId="3" fontId="18" fillId="0" borderId="27" xfId="0" applyNumberFormat="1" applyFont="1" applyBorder="1" applyAlignment="1">
      <alignment horizontal="right" vertical="center"/>
    </xf>
    <xf numFmtId="0" fontId="24" fillId="0" borderId="0" xfId="0" applyFont="1" applyAlignment="1">
      <alignment vertical="center"/>
    </xf>
    <xf numFmtId="0" fontId="32" fillId="0" borderId="0" xfId="0" applyFont="1" applyAlignment="1">
      <alignment vertical="center"/>
    </xf>
    <xf numFmtId="0" fontId="3" fillId="0" borderId="0" xfId="0" applyFont="1" applyAlignment="1">
      <alignment vertical="center"/>
    </xf>
    <xf numFmtId="3" fontId="33" fillId="0" borderId="26" xfId="0" applyNumberFormat="1" applyFont="1" applyBorder="1" applyAlignment="1">
      <alignment horizontal="left" vertical="center"/>
    </xf>
    <xf numFmtId="3" fontId="34" fillId="0" borderId="26" xfId="0" applyNumberFormat="1" applyFont="1" applyBorder="1" applyAlignment="1">
      <alignment horizontal="left" vertical="center"/>
    </xf>
    <xf numFmtId="3" fontId="31" fillId="0" borderId="28" xfId="0" applyNumberFormat="1" applyFont="1" applyBorder="1" applyAlignment="1">
      <alignment horizontal="left" vertical="center"/>
    </xf>
    <xf numFmtId="3" fontId="13" fillId="0" borderId="29" xfId="0" applyNumberFormat="1" applyFont="1" applyBorder="1" applyAlignment="1">
      <alignment horizontal="left" vertical="center"/>
    </xf>
    <xf numFmtId="3" fontId="12" fillId="0" borderId="30" xfId="0" applyNumberFormat="1" applyFont="1" applyBorder="1" applyAlignment="1">
      <alignment vertical="center"/>
    </xf>
    <xf numFmtId="3" fontId="19" fillId="0" borderId="28" xfId="0" applyNumberFormat="1" applyFont="1" applyBorder="1" applyAlignment="1">
      <alignment horizontal="left" vertical="center"/>
    </xf>
    <xf numFmtId="3" fontId="12" fillId="0" borderId="30" xfId="0" applyNumberFormat="1" applyFont="1" applyBorder="1" applyAlignment="1">
      <alignment horizontal="right" vertical="center"/>
    </xf>
    <xf numFmtId="0" fontId="19" fillId="0" borderId="31" xfId="0" applyFont="1" applyBorder="1" applyAlignment="1">
      <alignment vertical="center" wrapText="1"/>
    </xf>
    <xf numFmtId="3" fontId="13" fillId="0" borderId="25" xfId="0" applyNumberFormat="1" applyFont="1" applyBorder="1" applyAlignment="1">
      <alignment horizontal="left" vertical="center"/>
    </xf>
    <xf numFmtId="0" fontId="14" fillId="0" borderId="32" xfId="0" applyFont="1" applyBorder="1" applyAlignment="1">
      <alignment vertical="center" wrapText="1"/>
    </xf>
    <xf numFmtId="3" fontId="18" fillId="0" borderId="33" xfId="0" applyNumberFormat="1" applyFont="1" applyBorder="1" applyAlignment="1">
      <alignment vertical="center"/>
    </xf>
    <xf numFmtId="3" fontId="18" fillId="0" borderId="33" xfId="0" applyNumberFormat="1" applyFont="1" applyBorder="1" applyAlignment="1">
      <alignment horizontal="right" vertical="center"/>
    </xf>
    <xf numFmtId="0" fontId="19" fillId="0" borderId="28" xfId="0" applyFont="1" applyBorder="1" applyAlignment="1">
      <alignment vertical="center" wrapText="1"/>
    </xf>
    <xf numFmtId="0" fontId="19" fillId="0" borderId="34" xfId="0" applyFont="1" applyBorder="1" applyAlignment="1">
      <alignment vertical="center" wrapText="1"/>
    </xf>
    <xf numFmtId="0" fontId="19" fillId="0" borderId="35" xfId="0" applyFont="1" applyBorder="1" applyAlignment="1">
      <alignment vertical="center" wrapText="1"/>
    </xf>
    <xf numFmtId="3" fontId="18" fillId="0" borderId="30" xfId="0" applyNumberFormat="1" applyFont="1" applyBorder="1" applyAlignment="1">
      <alignment horizontal="right" vertical="center"/>
    </xf>
    <xf numFmtId="3" fontId="18" fillId="0" borderId="36" xfId="0" applyNumberFormat="1" applyFont="1" applyBorder="1" applyAlignment="1">
      <alignment horizontal="right" vertical="center"/>
    </xf>
    <xf numFmtId="0" fontId="19" fillId="0" borderId="37" xfId="0" applyFont="1" applyBorder="1" applyAlignment="1">
      <alignment vertical="center" wrapText="1"/>
    </xf>
    <xf numFmtId="3" fontId="19" fillId="0" borderId="37" xfId="0" applyNumberFormat="1" applyFont="1" applyBorder="1" applyAlignment="1">
      <alignment horizontal="left" vertical="center"/>
    </xf>
    <xf numFmtId="3" fontId="19" fillId="0" borderId="38" xfId="0" applyNumberFormat="1" applyFont="1" applyBorder="1" applyAlignment="1">
      <alignment horizontal="left" vertical="center"/>
    </xf>
    <xf numFmtId="3" fontId="18" fillId="0" borderId="39" xfId="0" applyNumberFormat="1" applyFont="1" applyBorder="1" applyAlignment="1">
      <alignment vertical="center"/>
    </xf>
    <xf numFmtId="3" fontId="18" fillId="0" borderId="39" xfId="0" applyNumberFormat="1" applyFont="1" applyBorder="1" applyAlignment="1">
      <alignment horizontal="right" vertical="center"/>
    </xf>
    <xf numFmtId="0" fontId="0" fillId="0" borderId="0" xfId="0" applyAlignment="1">
      <alignment vertical="center" wrapText="1"/>
    </xf>
    <xf numFmtId="3" fontId="0" fillId="0" borderId="0" xfId="0" applyNumberFormat="1" applyAlignment="1">
      <alignment vertical="center"/>
    </xf>
    <xf numFmtId="3" fontId="3" fillId="0" borderId="15" xfId="0" applyNumberFormat="1" applyFont="1" applyBorder="1" applyAlignment="1">
      <alignment vertical="center"/>
    </xf>
    <xf numFmtId="3" fontId="19" fillId="0" borderId="31" xfId="0" applyNumberFormat="1" applyFont="1" applyBorder="1" applyAlignment="1">
      <alignment horizontal="left" vertical="center"/>
    </xf>
    <xf numFmtId="3" fontId="19" fillId="0" borderId="40" xfId="0" applyNumberFormat="1" applyFont="1" applyBorder="1" applyAlignment="1">
      <alignment horizontal="left" vertical="center"/>
    </xf>
    <xf numFmtId="3" fontId="18" fillId="0" borderId="36" xfId="0" applyNumberFormat="1" applyFont="1" applyBorder="1" applyAlignment="1">
      <alignment vertical="center"/>
    </xf>
    <xf numFmtId="3" fontId="18" fillId="0" borderId="30" xfId="0" applyNumberFormat="1" applyFont="1" applyBorder="1" applyAlignment="1">
      <alignment vertical="center"/>
    </xf>
    <xf numFmtId="3" fontId="12" fillId="0" borderId="36" xfId="0" applyNumberFormat="1" applyFont="1" applyBorder="1" applyAlignment="1">
      <alignment horizontal="right" vertical="center"/>
    </xf>
    <xf numFmtId="3" fontId="13" fillId="0" borderId="40" xfId="0" applyNumberFormat="1" applyFont="1" applyBorder="1" applyAlignment="1">
      <alignment horizontal="center" vertical="center"/>
    </xf>
    <xf numFmtId="0" fontId="12" fillId="0" borderId="41" xfId="0" applyFont="1" applyBorder="1" applyAlignment="1">
      <alignment horizontal="right" vertical="center"/>
    </xf>
    <xf numFmtId="3" fontId="19" fillId="0" borderId="17" xfId="0" applyNumberFormat="1" applyFont="1" applyBorder="1" applyAlignment="1">
      <alignment horizontal="left" vertical="center"/>
    </xf>
    <xf numFmtId="3" fontId="19" fillId="0" borderId="42" xfId="0" applyNumberFormat="1" applyFont="1" applyBorder="1" applyAlignment="1">
      <alignment horizontal="left" vertical="center"/>
    </xf>
    <xf numFmtId="3" fontId="13" fillId="0" borderId="40" xfId="0" applyNumberFormat="1" applyFont="1" applyBorder="1" applyAlignment="1">
      <alignment horizontal="left" vertical="center"/>
    </xf>
    <xf numFmtId="3" fontId="12" fillId="0" borderId="36" xfId="0" applyNumberFormat="1" applyFont="1" applyBorder="1" applyAlignment="1">
      <alignment vertical="center"/>
    </xf>
    <xf numFmtId="0" fontId="0" fillId="0" borderId="0" xfId="0" applyBorder="1" applyAlignment="1">
      <alignment horizontal="left" vertical="center" wrapText="1"/>
    </xf>
    <xf numFmtId="3" fontId="12" fillId="0" borderId="41" xfId="0" applyNumberFormat="1" applyFont="1" applyBorder="1" applyAlignment="1">
      <alignment horizontal="right" vertical="center"/>
    </xf>
    <xf numFmtId="0" fontId="19" fillId="0" borderId="0" xfId="0" applyFont="1" applyBorder="1" applyAlignment="1">
      <alignment horizontal="left" vertical="center" wrapText="1"/>
    </xf>
    <xf numFmtId="3" fontId="19" fillId="0" borderId="0" xfId="0" applyNumberFormat="1" applyFont="1" applyBorder="1" applyAlignment="1">
      <alignment horizontal="left" vertical="center" wrapText="1"/>
    </xf>
    <xf numFmtId="3" fontId="18" fillId="0" borderId="0" xfId="0" applyNumberFormat="1" applyFont="1" applyBorder="1" applyAlignment="1">
      <alignment horizontal="right" vertical="center"/>
    </xf>
    <xf numFmtId="3" fontId="31" fillId="0" borderId="0" xfId="0" applyNumberFormat="1" applyFont="1" applyBorder="1" applyAlignment="1">
      <alignment horizontal="left" vertical="center" wrapText="1"/>
    </xf>
    <xf numFmtId="3" fontId="12" fillId="0" borderId="0" xfId="0" applyNumberFormat="1" applyFont="1" applyBorder="1" applyAlignment="1">
      <alignment horizontal="right" vertical="center"/>
    </xf>
    <xf numFmtId="0" fontId="0" fillId="0" borderId="0" xfId="0" applyBorder="1" applyAlignment="1">
      <alignment vertical="center"/>
    </xf>
    <xf numFmtId="0" fontId="19" fillId="0" borderId="43" xfId="0" applyFont="1" applyBorder="1" applyAlignment="1">
      <alignment horizontal="left" vertical="center" wrapText="1"/>
    </xf>
    <xf numFmtId="3" fontId="12" fillId="0" borderId="33" xfId="0" applyNumberFormat="1" applyFont="1" applyBorder="1" applyAlignment="1">
      <alignment horizontal="right" vertical="center"/>
    </xf>
    <xf numFmtId="0" fontId="19" fillId="0" borderId="25" xfId="0" applyFont="1" applyFill="1" applyBorder="1" applyAlignment="1">
      <alignment vertical="center" wrapText="1"/>
    </xf>
    <xf numFmtId="3" fontId="18" fillId="0" borderId="27" xfId="0" applyNumberFormat="1" applyFont="1" applyFill="1" applyBorder="1" applyAlignment="1">
      <alignment vertical="center"/>
    </xf>
    <xf numFmtId="3" fontId="18" fillId="0" borderId="27" xfId="0" applyNumberFormat="1" applyFont="1" applyFill="1" applyBorder="1" applyAlignment="1">
      <alignment horizontal="right" vertical="center"/>
    </xf>
    <xf numFmtId="0" fontId="24" fillId="0" borderId="0" xfId="0" applyFont="1" applyFill="1" applyAlignment="1">
      <alignment vertical="center"/>
    </xf>
    <xf numFmtId="3" fontId="14" fillId="0" borderId="22" xfId="0" applyNumberFormat="1" applyFont="1" applyBorder="1" applyAlignment="1">
      <alignment vertical="center"/>
    </xf>
    <xf numFmtId="3" fontId="14" fillId="0" borderId="23" xfId="0" applyNumberFormat="1" applyFont="1" applyBorder="1" applyAlignment="1">
      <alignment vertical="center"/>
    </xf>
    <xf numFmtId="3" fontId="14" fillId="0" borderId="44" xfId="0" applyNumberFormat="1" applyFont="1" applyBorder="1" applyAlignment="1">
      <alignment vertical="center"/>
    </xf>
    <xf numFmtId="0" fontId="19" fillId="0" borderId="18" xfId="0" applyFont="1" applyFill="1" applyBorder="1" applyAlignment="1">
      <alignment vertical="center" wrapText="1"/>
    </xf>
    <xf numFmtId="3" fontId="18" fillId="0" borderId="22" xfId="0" applyNumberFormat="1" applyFont="1" applyBorder="1" applyAlignment="1">
      <alignment vertical="center"/>
    </xf>
    <xf numFmtId="3" fontId="18" fillId="0" borderId="23" xfId="0" applyNumberFormat="1" applyFont="1" applyBorder="1" applyAlignment="1">
      <alignment vertical="center"/>
    </xf>
    <xf numFmtId="3" fontId="18" fillId="0" borderId="24" xfId="0" applyNumberFormat="1" applyFont="1" applyBorder="1" applyAlignment="1">
      <alignment vertical="center"/>
    </xf>
    <xf numFmtId="3" fontId="19" fillId="0" borderId="22" xfId="0" applyNumberFormat="1" applyFont="1" applyBorder="1" applyAlignment="1">
      <alignment vertical="center"/>
    </xf>
    <xf numFmtId="0" fontId="25" fillId="0" borderId="22" xfId="0" applyFont="1" applyFill="1" applyBorder="1" applyAlignment="1">
      <alignment vertical="center" wrapText="1"/>
    </xf>
    <xf numFmtId="3" fontId="25" fillId="0" borderId="24" xfId="0" applyNumberFormat="1" applyFont="1" applyBorder="1" applyAlignment="1">
      <alignment vertical="center"/>
    </xf>
    <xf numFmtId="3" fontId="13" fillId="0" borderId="15" xfId="0" applyNumberFormat="1" applyFont="1" applyBorder="1" applyAlignment="1">
      <alignment horizontal="left" vertical="center"/>
    </xf>
    <xf numFmtId="3" fontId="13" fillId="0" borderId="0" xfId="0" applyNumberFormat="1" applyFont="1" applyBorder="1" applyAlignment="1">
      <alignment horizontal="left" vertical="center"/>
    </xf>
    <xf numFmtId="0" fontId="13" fillId="0" borderId="43" xfId="0" applyFont="1" applyFill="1" applyBorder="1" applyAlignment="1">
      <alignment vertical="center" wrapText="1"/>
    </xf>
    <xf numFmtId="3" fontId="13" fillId="0" borderId="13" xfId="0" applyNumberFormat="1" applyFont="1" applyBorder="1" applyAlignment="1">
      <alignment horizontal="left" vertical="center"/>
    </xf>
    <xf numFmtId="3" fontId="12" fillId="0" borderId="33" xfId="0" applyNumberFormat="1" applyFont="1" applyBorder="1" applyAlignment="1">
      <alignment vertical="center"/>
    </xf>
    <xf numFmtId="0" fontId="13" fillId="0" borderId="35" xfId="0" applyFont="1" applyFill="1" applyBorder="1" applyAlignment="1">
      <alignment vertical="center" wrapText="1"/>
    </xf>
    <xf numFmtId="3" fontId="14" fillId="0" borderId="25" xfId="0" applyNumberFormat="1" applyFont="1" applyBorder="1" applyAlignment="1">
      <alignment horizontal="centerContinuous" vertical="center"/>
    </xf>
    <xf numFmtId="3" fontId="14" fillId="0" borderId="26" xfId="0" applyNumberFormat="1" applyFont="1" applyBorder="1" applyAlignment="1">
      <alignment horizontal="centerContinuous" vertical="center"/>
    </xf>
    <xf numFmtId="3" fontId="31" fillId="0" borderId="25" xfId="0" applyNumberFormat="1" applyFont="1" applyBorder="1" applyAlignment="1">
      <alignment horizontal="center" vertical="center"/>
    </xf>
    <xf numFmtId="3" fontId="13" fillId="0" borderId="26" xfId="0" applyNumberFormat="1" applyFont="1" applyBorder="1" applyAlignment="1">
      <alignment horizontal="center" vertical="center"/>
    </xf>
    <xf numFmtId="0" fontId="12" fillId="0" borderId="27" xfId="0" applyFont="1" applyBorder="1" applyAlignment="1">
      <alignment horizontal="right" vertical="center"/>
    </xf>
    <xf numFmtId="0" fontId="19" fillId="0" borderId="34" xfId="0" applyFont="1" applyFill="1" applyBorder="1" applyAlignment="1">
      <alignment vertical="center" wrapText="1"/>
    </xf>
    <xf numFmtId="3" fontId="25" fillId="0" borderId="31" xfId="0" applyNumberFormat="1" applyFont="1" applyBorder="1" applyAlignment="1">
      <alignment horizontal="centerContinuous" vertical="center"/>
    </xf>
    <xf numFmtId="3" fontId="25" fillId="0" borderId="40" xfId="0" applyNumberFormat="1" applyFont="1" applyBorder="1" applyAlignment="1">
      <alignment horizontal="centerContinuous" vertical="center"/>
    </xf>
    <xf numFmtId="3" fontId="19" fillId="0" borderId="31" xfId="0" applyNumberFormat="1" applyFont="1" applyBorder="1" applyAlignment="1">
      <alignment horizontal="center" vertical="center"/>
    </xf>
    <xf numFmtId="3" fontId="19" fillId="0" borderId="40" xfId="0" applyNumberFormat="1" applyFont="1" applyBorder="1" applyAlignment="1">
      <alignment horizontal="center" vertical="center"/>
    </xf>
    <xf numFmtId="0" fontId="13" fillId="0" borderId="34" xfId="0" applyFont="1" applyFill="1" applyBorder="1" applyAlignment="1">
      <alignment vertical="center" wrapText="1"/>
    </xf>
    <xf numFmtId="3" fontId="13" fillId="0" borderId="31" xfId="0" applyNumberFormat="1" applyFont="1" applyBorder="1" applyAlignment="1">
      <alignment horizontal="left" vertical="center"/>
    </xf>
    <xf numFmtId="0" fontId="13" fillId="0" borderId="45" xfId="0" applyFont="1" applyFill="1" applyBorder="1" applyAlignment="1">
      <alignment vertical="center" wrapText="1"/>
    </xf>
    <xf numFmtId="3" fontId="12" fillId="0" borderId="41" xfId="0" applyNumberFormat="1" applyFont="1" applyBorder="1" applyAlignment="1">
      <alignment vertical="center"/>
    </xf>
    <xf numFmtId="3" fontId="19" fillId="0" borderId="0" xfId="0" applyNumberFormat="1" applyFont="1" applyBorder="1" applyAlignment="1">
      <alignment horizontal="left" vertical="center"/>
    </xf>
    <xf numFmtId="3" fontId="18" fillId="0" borderId="21" xfId="0" applyNumberFormat="1" applyFont="1" applyBorder="1" applyAlignment="1">
      <alignment vertical="center"/>
    </xf>
    <xf numFmtId="3" fontId="18" fillId="0" borderId="21" xfId="0" applyNumberFormat="1" applyFont="1" applyBorder="1" applyAlignment="1">
      <alignment horizontal="right" vertical="center"/>
    </xf>
    <xf numFmtId="0" fontId="13" fillId="0" borderId="43" xfId="0" applyFont="1" applyBorder="1" applyAlignment="1">
      <alignment vertical="center" wrapText="1"/>
    </xf>
    <xf numFmtId="0" fontId="13" fillId="0" borderId="0" xfId="0" applyFont="1" applyBorder="1" applyAlignment="1">
      <alignment vertical="center" wrapText="1"/>
    </xf>
    <xf numFmtId="3" fontId="12" fillId="0" borderId="0" xfId="0" applyNumberFormat="1" applyFont="1" applyBorder="1" applyAlignment="1">
      <alignment vertical="center"/>
    </xf>
    <xf numFmtId="0" fontId="19" fillId="0" borderId="46" xfId="0" applyFont="1" applyFill="1" applyBorder="1" applyAlignment="1">
      <alignment vertical="center" wrapText="1"/>
    </xf>
    <xf numFmtId="0" fontId="19" fillId="0" borderId="35" xfId="0" applyFont="1" applyFill="1" applyBorder="1" applyAlignment="1">
      <alignment vertical="center" wrapText="1"/>
    </xf>
    <xf numFmtId="3" fontId="19" fillId="0" borderId="29" xfId="0" applyNumberFormat="1" applyFont="1" applyBorder="1" applyAlignment="1">
      <alignment horizontal="left" vertical="center"/>
    </xf>
    <xf numFmtId="0" fontId="14" fillId="0" borderId="32" xfId="0" applyFont="1" applyFill="1" applyBorder="1" applyAlignment="1">
      <alignment vertical="center" wrapText="1"/>
    </xf>
    <xf numFmtId="3" fontId="19" fillId="0" borderId="22" xfId="0" applyNumberFormat="1" applyFont="1" applyBorder="1" applyAlignment="1">
      <alignment horizontal="left" vertical="center"/>
    </xf>
    <xf numFmtId="3" fontId="19" fillId="0" borderId="23" xfId="0" applyNumberFormat="1" applyFont="1" applyBorder="1" applyAlignment="1">
      <alignment horizontal="left" vertical="center"/>
    </xf>
    <xf numFmtId="3" fontId="18" fillId="0" borderId="41" xfId="0" applyNumberFormat="1" applyFont="1" applyBorder="1" applyAlignment="1">
      <alignment vertical="center"/>
    </xf>
    <xf numFmtId="3" fontId="13" fillId="0" borderId="22" xfId="0" applyNumberFormat="1" applyFont="1" applyBorder="1" applyAlignment="1">
      <alignment vertical="center"/>
    </xf>
    <xf numFmtId="0" fontId="19" fillId="0" borderId="47" xfId="0" applyFont="1" applyFill="1" applyBorder="1" applyAlignment="1">
      <alignment vertical="center" wrapText="1"/>
    </xf>
    <xf numFmtId="0" fontId="13" fillId="0" borderId="0" xfId="0" applyFont="1" applyFill="1" applyBorder="1" applyAlignment="1">
      <alignment vertical="center" wrapText="1"/>
    </xf>
    <xf numFmtId="3" fontId="36" fillId="0" borderId="43" xfId="0" applyNumberFormat="1" applyFont="1" applyBorder="1" applyAlignment="1">
      <alignment horizontal="centerContinuous" vertical="center" wrapText="1"/>
    </xf>
    <xf numFmtId="3" fontId="36" fillId="0" borderId="48" xfId="0" applyNumberFormat="1" applyFont="1" applyBorder="1" applyAlignment="1">
      <alignment horizontal="centerContinuous" vertical="center" wrapText="1"/>
    </xf>
    <xf numFmtId="0" fontId="19" fillId="0" borderId="25" xfId="0" applyFont="1" applyBorder="1" applyAlignment="1">
      <alignment vertical="center"/>
    </xf>
    <xf numFmtId="0" fontId="19" fillId="0" borderId="35" xfId="0" applyFont="1" applyBorder="1" applyAlignment="1">
      <alignment horizontal="left" vertical="center" wrapText="1"/>
    </xf>
    <xf numFmtId="0" fontId="19" fillId="0" borderId="46" xfId="0" applyFont="1" applyBorder="1" applyAlignment="1">
      <alignment horizontal="left" vertical="center" wrapText="1"/>
    </xf>
    <xf numFmtId="0" fontId="19" fillId="0" borderId="46" xfId="0" applyFont="1" applyFill="1" applyBorder="1" applyAlignment="1">
      <alignment horizontal="left" vertical="center" wrapText="1"/>
    </xf>
    <xf numFmtId="0" fontId="19" fillId="0" borderId="45" xfId="0" applyFont="1" applyBorder="1" applyAlignment="1">
      <alignment horizontal="left" vertical="center" wrapText="1"/>
    </xf>
    <xf numFmtId="0" fontId="19" fillId="0" borderId="18" xfId="0" applyFont="1" applyBorder="1" applyAlignment="1">
      <alignment horizontal="left" vertical="center" wrapText="1"/>
    </xf>
    <xf numFmtId="3" fontId="18" fillId="0" borderId="36" xfId="0" applyNumberFormat="1" applyFont="1" applyFill="1" applyBorder="1" applyAlignment="1">
      <alignment horizontal="right" vertical="center"/>
    </xf>
    <xf numFmtId="0" fontId="19" fillId="0" borderId="28" xfId="0" applyFont="1" applyFill="1" applyBorder="1" applyAlignment="1">
      <alignment vertical="center" wrapText="1"/>
    </xf>
    <xf numFmtId="3" fontId="26" fillId="0" borderId="0" xfId="0" applyNumberFormat="1" applyFont="1" applyBorder="1" applyAlignment="1">
      <alignment horizontal="right" vertical="center"/>
    </xf>
    <xf numFmtId="0" fontId="0" fillId="0" borderId="0" xfId="0" applyBorder="1" applyAlignment="1">
      <alignment horizontal="right" vertical="center"/>
    </xf>
    <xf numFmtId="3" fontId="18" fillId="0" borderId="19" xfId="0" applyNumberFormat="1" applyFont="1" applyBorder="1" applyAlignment="1">
      <alignment vertical="center"/>
    </xf>
    <xf numFmtId="0" fontId="26" fillId="0" borderId="0" xfId="0" applyFont="1" applyBorder="1" applyAlignment="1">
      <alignment horizontal="right" vertical="center"/>
    </xf>
    <xf numFmtId="3" fontId="0" fillId="0" borderId="27" xfId="0" applyNumberFormat="1" applyBorder="1" applyAlignment="1">
      <alignment vertical="center" wrapText="1"/>
    </xf>
    <xf numFmtId="0" fontId="4" fillId="0" borderId="0" xfId="0" applyFont="1" applyAlignment="1">
      <alignment horizontal="left" vertical="center"/>
    </xf>
    <xf numFmtId="0" fontId="5"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6" fillId="0" borderId="0" xfId="0" applyFont="1" applyAlignment="1">
      <alignment horizontal="center" vertical="center"/>
    </xf>
    <xf numFmtId="3" fontId="6" fillId="0" borderId="0" xfId="0" applyNumberFormat="1" applyFont="1" applyAlignment="1">
      <alignment horizontal="center" vertical="center"/>
    </xf>
    <xf numFmtId="0" fontId="11" fillId="0" borderId="0" xfId="0" applyFont="1" applyAlignment="1">
      <alignment vertical="center"/>
    </xf>
    <xf numFmtId="3" fontId="12" fillId="0" borderId="0" xfId="0" applyNumberFormat="1" applyFont="1" applyAlignment="1">
      <alignment vertical="center"/>
    </xf>
    <xf numFmtId="0" fontId="12" fillId="0" borderId="0" xfId="0" applyFont="1" applyAlignment="1">
      <alignment vertical="center"/>
    </xf>
    <xf numFmtId="0" fontId="13" fillId="0" borderId="0" xfId="0" applyFont="1" applyAlignment="1">
      <alignment horizontal="right" vertical="center"/>
    </xf>
    <xf numFmtId="0" fontId="14" fillId="0" borderId="32" xfId="0" applyFont="1" applyBorder="1" applyAlignment="1">
      <alignment vertical="center"/>
    </xf>
    <xf numFmtId="3" fontId="14" fillId="0" borderId="49" xfId="0" applyNumberFormat="1" applyFont="1" applyBorder="1" applyAlignment="1">
      <alignment vertical="center"/>
    </xf>
    <xf numFmtId="0" fontId="14" fillId="0" borderId="22" xfId="0" applyFont="1" applyBorder="1" applyAlignment="1">
      <alignment vertical="center"/>
    </xf>
    <xf numFmtId="3" fontId="14" fillId="0" borderId="50" xfId="0" applyNumberFormat="1" applyFont="1" applyBorder="1" applyAlignment="1">
      <alignment vertical="center"/>
    </xf>
    <xf numFmtId="3" fontId="18" fillId="0" borderId="51" xfId="0" applyNumberFormat="1" applyFont="1" applyBorder="1" applyAlignment="1">
      <alignment vertical="center"/>
    </xf>
    <xf numFmtId="3" fontId="18" fillId="0" borderId="52" xfId="0" applyNumberFormat="1" applyFont="1" applyBorder="1" applyAlignment="1">
      <alignment vertical="center"/>
    </xf>
    <xf numFmtId="3" fontId="18" fillId="0" borderId="53" xfId="0" applyNumberFormat="1" applyFont="1" applyBorder="1" applyAlignment="1">
      <alignment vertical="center"/>
    </xf>
    <xf numFmtId="3" fontId="18" fillId="0" borderId="54" xfId="0" applyNumberFormat="1" applyFont="1" applyBorder="1" applyAlignment="1">
      <alignment vertical="center"/>
    </xf>
    <xf numFmtId="3" fontId="18" fillId="0" borderId="0" xfId="0" applyNumberFormat="1" applyFont="1" applyFill="1" applyBorder="1" applyAlignment="1">
      <alignment vertical="center"/>
    </xf>
    <xf numFmtId="0" fontId="13" fillId="0" borderId="25" xfId="0" applyFont="1" applyBorder="1" applyAlignment="1">
      <alignment vertical="center"/>
    </xf>
    <xf numFmtId="3" fontId="24" fillId="0" borderId="0" xfId="0" applyNumberFormat="1" applyFont="1" applyFill="1" applyBorder="1" applyAlignment="1">
      <alignment vertical="center"/>
    </xf>
    <xf numFmtId="3" fontId="18" fillId="0" borderId="55" xfId="0" applyNumberFormat="1" applyFont="1" applyBorder="1" applyAlignment="1">
      <alignment vertical="center"/>
    </xf>
    <xf numFmtId="3" fontId="18" fillId="0" borderId="56" xfId="0" applyNumberFormat="1" applyFont="1" applyBorder="1" applyAlignment="1">
      <alignment vertical="center"/>
    </xf>
    <xf numFmtId="3" fontId="18" fillId="0" borderId="10" xfId="0" applyNumberFormat="1" applyFont="1" applyBorder="1" applyAlignment="1">
      <alignment vertical="center"/>
    </xf>
    <xf numFmtId="3" fontId="18" fillId="0" borderId="57" xfId="0" applyNumberFormat="1" applyFont="1" applyBorder="1" applyAlignment="1">
      <alignment vertical="center"/>
    </xf>
    <xf numFmtId="0" fontId="24" fillId="0" borderId="0" xfId="0" applyFont="1" applyBorder="1" applyAlignment="1">
      <alignment vertical="center"/>
    </xf>
    <xf numFmtId="0" fontId="19" fillId="0" borderId="31" xfId="0" applyFont="1" applyBorder="1" applyAlignment="1">
      <alignment vertical="center"/>
    </xf>
    <xf numFmtId="0" fontId="21" fillId="0" borderId="0" xfId="0" applyFont="1" applyBorder="1" applyAlignment="1">
      <alignment vertical="center"/>
    </xf>
    <xf numFmtId="0" fontId="19" fillId="0" borderId="35" xfId="0" applyFont="1" applyBorder="1" applyAlignment="1">
      <alignment vertical="center"/>
    </xf>
    <xf numFmtId="3" fontId="18" fillId="0" borderId="58" xfId="0" applyNumberFormat="1" applyFont="1" applyBorder="1" applyAlignment="1">
      <alignment vertical="center"/>
    </xf>
    <xf numFmtId="3" fontId="18" fillId="0" borderId="59" xfId="0" applyNumberFormat="1" applyFont="1" applyBorder="1" applyAlignment="1">
      <alignment vertical="center"/>
    </xf>
    <xf numFmtId="3" fontId="18" fillId="0" borderId="60" xfId="0" applyNumberFormat="1" applyFont="1" applyBorder="1" applyAlignment="1">
      <alignment vertical="center"/>
    </xf>
    <xf numFmtId="3" fontId="18" fillId="0" borderId="16" xfId="0" applyNumberFormat="1" applyFont="1" applyBorder="1" applyAlignment="1">
      <alignment vertical="center"/>
    </xf>
    <xf numFmtId="0" fontId="19" fillId="0" borderId="28" xfId="0" applyFont="1" applyBorder="1" applyAlignment="1">
      <alignment vertical="center"/>
    </xf>
    <xf numFmtId="3" fontId="18" fillId="0" borderId="61" xfId="0" applyNumberFormat="1" applyFont="1" applyBorder="1" applyAlignment="1">
      <alignment vertical="center"/>
    </xf>
    <xf numFmtId="3" fontId="18" fillId="0" borderId="62" xfId="0" applyNumberFormat="1" applyFont="1" applyBorder="1" applyAlignment="1">
      <alignment vertical="center"/>
    </xf>
    <xf numFmtId="3" fontId="18" fillId="0" borderId="63" xfId="0" applyNumberFormat="1" applyFont="1" applyBorder="1" applyAlignment="1">
      <alignment vertical="center"/>
    </xf>
    <xf numFmtId="3" fontId="18" fillId="0" borderId="64" xfId="0" applyNumberFormat="1" applyFont="1" applyBorder="1" applyAlignment="1">
      <alignment vertical="center"/>
    </xf>
    <xf numFmtId="3" fontId="14" fillId="0" borderId="65" xfId="0" applyNumberFormat="1" applyFont="1" applyBorder="1" applyAlignment="1">
      <alignment vertical="center"/>
    </xf>
    <xf numFmtId="0" fontId="21" fillId="0" borderId="15" xfId="0" applyFont="1" applyBorder="1" applyAlignment="1">
      <alignment vertical="center"/>
    </xf>
    <xf numFmtId="3" fontId="18" fillId="0" borderId="62" xfId="0" applyNumberFormat="1" applyFont="1" applyFill="1" applyBorder="1" applyAlignment="1">
      <alignment vertical="center"/>
    </xf>
    <xf numFmtId="3" fontId="18" fillId="0" borderId="63" xfId="0" applyNumberFormat="1" applyFont="1" applyFill="1" applyBorder="1" applyAlignment="1">
      <alignment vertical="center"/>
    </xf>
    <xf numFmtId="3" fontId="12" fillId="0" borderId="61" xfId="0" applyNumberFormat="1" applyFont="1" applyBorder="1" applyAlignment="1">
      <alignment vertical="center"/>
    </xf>
    <xf numFmtId="3" fontId="12" fillId="0" borderId="62" xfId="0" applyNumberFormat="1" applyFont="1" applyBorder="1" applyAlignment="1">
      <alignment vertical="center"/>
    </xf>
    <xf numFmtId="3" fontId="12" fillId="0" borderId="63" xfId="0" applyNumberFormat="1" applyFont="1" applyBorder="1" applyAlignment="1">
      <alignment vertical="center"/>
    </xf>
    <xf numFmtId="3" fontId="12" fillId="0" borderId="64" xfId="0" applyNumberFormat="1" applyFont="1" applyBorder="1" applyAlignment="1">
      <alignment vertical="center"/>
    </xf>
    <xf numFmtId="3" fontId="12" fillId="0" borderId="66" xfId="0" applyNumberFormat="1" applyFont="1" applyBorder="1" applyAlignment="1">
      <alignment vertical="center"/>
    </xf>
    <xf numFmtId="3" fontId="12" fillId="0" borderId="67" xfId="0" applyNumberFormat="1" applyFont="1" applyBorder="1" applyAlignment="1">
      <alignment vertical="center"/>
    </xf>
    <xf numFmtId="3" fontId="12" fillId="0" borderId="68" xfId="0" applyNumberFormat="1" applyFont="1" applyBorder="1" applyAlignment="1">
      <alignment vertical="center"/>
    </xf>
    <xf numFmtId="3" fontId="12" fillId="0" borderId="69" xfId="0" applyNumberFormat="1" applyFont="1" applyBorder="1" applyAlignment="1">
      <alignment vertical="center"/>
    </xf>
    <xf numFmtId="3" fontId="12" fillId="0" borderId="39" xfId="0" applyNumberFormat="1" applyFont="1" applyBorder="1" applyAlignment="1">
      <alignment vertical="center"/>
    </xf>
    <xf numFmtId="3" fontId="18" fillId="0" borderId="66" xfId="0" applyNumberFormat="1" applyFont="1" applyBorder="1" applyAlignment="1">
      <alignment vertical="center"/>
    </xf>
    <xf numFmtId="3" fontId="18" fillId="0" borderId="67" xfId="0" applyNumberFormat="1" applyFont="1" applyBorder="1" applyAlignment="1">
      <alignment vertical="center"/>
    </xf>
    <xf numFmtId="3" fontId="18" fillId="0" borderId="68" xfId="0" applyNumberFormat="1" applyFont="1" applyBorder="1" applyAlignment="1">
      <alignment vertical="center"/>
    </xf>
    <xf numFmtId="3" fontId="18" fillId="0" borderId="69" xfId="0" applyNumberFormat="1" applyFont="1" applyBorder="1" applyAlignment="1">
      <alignment vertical="center"/>
    </xf>
    <xf numFmtId="0" fontId="19" fillId="0" borderId="0" xfId="0" applyFont="1" applyBorder="1" applyAlignment="1">
      <alignment vertical="center"/>
    </xf>
    <xf numFmtId="3" fontId="18" fillId="0" borderId="0" xfId="0" applyNumberFormat="1" applyFont="1" applyBorder="1" applyAlignment="1">
      <alignment vertical="center"/>
    </xf>
    <xf numFmtId="0" fontId="19" fillId="33" borderId="25" xfId="0" applyFont="1" applyFill="1" applyBorder="1" applyAlignment="1">
      <alignment vertical="center" wrapText="1"/>
    </xf>
    <xf numFmtId="3" fontId="12" fillId="0" borderId="52" xfId="0" applyNumberFormat="1" applyFont="1" applyBorder="1" applyAlignment="1">
      <alignment vertical="center"/>
    </xf>
    <xf numFmtId="3" fontId="12" fillId="0" borderId="53" xfId="0" applyNumberFormat="1" applyFont="1" applyBorder="1" applyAlignment="1">
      <alignment vertical="center"/>
    </xf>
    <xf numFmtId="3" fontId="12" fillId="0" borderId="54" xfId="0" applyNumberFormat="1" applyFont="1" applyBorder="1" applyAlignment="1">
      <alignment vertical="center"/>
    </xf>
    <xf numFmtId="3" fontId="12" fillId="0" borderId="54" xfId="0" applyNumberFormat="1" applyFont="1" applyBorder="1" applyAlignment="1">
      <alignment horizontal="right" vertical="center"/>
    </xf>
    <xf numFmtId="0" fontId="22" fillId="0" borderId="15" xfId="0" applyFont="1" applyBorder="1" applyAlignment="1">
      <alignment vertical="center"/>
    </xf>
    <xf numFmtId="0" fontId="3" fillId="0" borderId="0" xfId="0" applyFont="1" applyBorder="1" applyAlignment="1">
      <alignment vertical="center"/>
    </xf>
    <xf numFmtId="0" fontId="0" fillId="0" borderId="0" xfId="0" applyFont="1" applyBorder="1" applyAlignment="1">
      <alignment vertical="center"/>
    </xf>
    <xf numFmtId="0" fontId="24" fillId="0" borderId="0" xfId="0" applyFont="1" applyAlignment="1">
      <alignment vertical="center"/>
    </xf>
    <xf numFmtId="0" fontId="19" fillId="0" borderId="25" xfId="0" applyFont="1" applyFill="1" applyBorder="1" applyAlignment="1">
      <alignment vertical="center"/>
    </xf>
    <xf numFmtId="3" fontId="18" fillId="0" borderId="51" xfId="0" applyNumberFormat="1" applyFont="1" applyFill="1" applyBorder="1" applyAlignment="1">
      <alignment vertical="center"/>
    </xf>
    <xf numFmtId="3" fontId="18" fillId="0" borderId="52" xfId="0" applyNumberFormat="1" applyFont="1" applyFill="1" applyBorder="1" applyAlignment="1">
      <alignment vertical="center"/>
    </xf>
    <xf numFmtId="3" fontId="18" fillId="0" borderId="53" xfId="0" applyNumberFormat="1" applyFont="1" applyFill="1" applyBorder="1" applyAlignment="1">
      <alignment vertical="center"/>
    </xf>
    <xf numFmtId="3" fontId="18" fillId="0" borderId="54" xfId="0" applyNumberFormat="1" applyFont="1" applyFill="1" applyBorder="1" applyAlignment="1">
      <alignment vertical="center"/>
    </xf>
    <xf numFmtId="0" fontId="19" fillId="34" borderId="28" xfId="0" applyFont="1" applyFill="1" applyBorder="1" applyAlignment="1">
      <alignment vertical="center"/>
    </xf>
    <xf numFmtId="3" fontId="18" fillId="34" borderId="61" xfId="0" applyNumberFormat="1" applyFont="1" applyFill="1" applyBorder="1" applyAlignment="1">
      <alignment vertical="center"/>
    </xf>
    <xf numFmtId="3" fontId="18" fillId="34" borderId="62" xfId="0" applyNumberFormat="1" applyFont="1" applyFill="1" applyBorder="1" applyAlignment="1">
      <alignment vertical="center"/>
    </xf>
    <xf numFmtId="3" fontId="18" fillId="34" borderId="63" xfId="0" applyNumberFormat="1" applyFont="1" applyFill="1" applyBorder="1" applyAlignment="1">
      <alignment vertical="center"/>
    </xf>
    <xf numFmtId="3" fontId="18" fillId="34" borderId="64" xfId="0" applyNumberFormat="1" applyFont="1" applyFill="1" applyBorder="1" applyAlignment="1">
      <alignment vertical="center"/>
    </xf>
    <xf numFmtId="3" fontId="18" fillId="34" borderId="30" xfId="0" applyNumberFormat="1" applyFont="1" applyFill="1" applyBorder="1" applyAlignment="1">
      <alignment vertical="center"/>
    </xf>
    <xf numFmtId="3" fontId="18" fillId="0" borderId="61" xfId="0" applyNumberFormat="1" applyFont="1" applyFill="1" applyBorder="1" applyAlignment="1">
      <alignment vertical="center"/>
    </xf>
    <xf numFmtId="3" fontId="18" fillId="0" borderId="64" xfId="0" applyNumberFormat="1" applyFont="1" applyFill="1" applyBorder="1" applyAlignment="1">
      <alignment vertical="center"/>
    </xf>
    <xf numFmtId="3" fontId="18" fillId="0" borderId="30" xfId="0" applyNumberFormat="1" applyFont="1" applyFill="1" applyBorder="1" applyAlignment="1">
      <alignment vertical="center"/>
    </xf>
    <xf numFmtId="3" fontId="18" fillId="35" borderId="62" xfId="0" applyNumberFormat="1" applyFont="1" applyFill="1" applyBorder="1" applyAlignment="1">
      <alignment vertical="center"/>
    </xf>
    <xf numFmtId="0" fontId="0" fillId="0" borderId="23" xfId="0" applyBorder="1" applyAlignment="1">
      <alignment vertical="center"/>
    </xf>
    <xf numFmtId="3" fontId="18" fillId="0" borderId="70" xfId="0" applyNumberFormat="1" applyFont="1" applyBorder="1" applyAlignment="1">
      <alignment vertical="center"/>
    </xf>
    <xf numFmtId="3" fontId="18" fillId="0" borderId="71" xfId="0" applyNumberFormat="1" applyFont="1" applyBorder="1" applyAlignment="1">
      <alignment vertical="center"/>
    </xf>
    <xf numFmtId="3" fontId="18" fillId="0" borderId="72" xfId="0" applyNumberFormat="1" applyFont="1" applyBorder="1" applyAlignment="1">
      <alignment vertical="center"/>
    </xf>
    <xf numFmtId="3" fontId="18" fillId="0" borderId="73" xfId="0" applyNumberFormat="1" applyFont="1" applyBorder="1" applyAlignment="1">
      <alignment vertical="center"/>
    </xf>
    <xf numFmtId="0" fontId="24" fillId="0" borderId="15" xfId="0" applyFont="1" applyBorder="1" applyAlignment="1">
      <alignment vertical="center"/>
    </xf>
    <xf numFmtId="0" fontId="25" fillId="0" borderId="22" xfId="0" applyFont="1" applyFill="1" applyBorder="1" applyAlignment="1">
      <alignment vertical="center"/>
    </xf>
    <xf numFmtId="3" fontId="25" fillId="0" borderId="50" xfId="0" applyNumberFormat="1" applyFont="1" applyBorder="1" applyAlignment="1">
      <alignment vertical="center"/>
    </xf>
    <xf numFmtId="3" fontId="25" fillId="0" borderId="49" xfId="0" applyNumberFormat="1" applyFont="1" applyBorder="1" applyAlignment="1">
      <alignment vertical="center"/>
    </xf>
    <xf numFmtId="0" fontId="19" fillId="0" borderId="34" xfId="0" applyFont="1" applyFill="1" applyBorder="1" applyAlignment="1">
      <alignment vertical="center"/>
    </xf>
    <xf numFmtId="0" fontId="19" fillId="0" borderId="35" xfId="0" applyFont="1" applyFill="1" applyBorder="1" applyAlignment="1">
      <alignment vertical="center"/>
    </xf>
    <xf numFmtId="0" fontId="13" fillId="0" borderId="35" xfId="0" applyFont="1" applyFill="1" applyBorder="1" applyAlignment="1">
      <alignment vertical="center"/>
    </xf>
    <xf numFmtId="0" fontId="19" fillId="0" borderId="37" xfId="0" applyFont="1" applyFill="1" applyBorder="1" applyAlignment="1">
      <alignment vertical="center"/>
    </xf>
    <xf numFmtId="0" fontId="19" fillId="0" borderId="0" xfId="0" applyFont="1" applyFill="1" applyBorder="1" applyAlignment="1">
      <alignment vertical="center"/>
    </xf>
    <xf numFmtId="0" fontId="21" fillId="0" borderId="0" xfId="0" applyFont="1" applyAlignment="1">
      <alignment horizontal="left" vertical="center"/>
    </xf>
    <xf numFmtId="0" fontId="0" fillId="0" borderId="0" xfId="0" applyAlignment="1">
      <alignment horizontal="left" vertical="center"/>
    </xf>
    <xf numFmtId="0" fontId="0" fillId="0" borderId="0" xfId="0" applyBorder="1" applyAlignment="1">
      <alignment horizontal="left" vertical="center"/>
    </xf>
    <xf numFmtId="3" fontId="14" fillId="0" borderId="50" xfId="0" applyNumberFormat="1" applyFont="1" applyBorder="1" applyAlignment="1">
      <alignment horizontal="right" vertical="center"/>
    </xf>
    <xf numFmtId="3" fontId="14" fillId="0" borderId="49" xfId="0" applyNumberFormat="1" applyFont="1" applyBorder="1" applyAlignment="1">
      <alignment horizontal="right" vertical="center"/>
    </xf>
    <xf numFmtId="3" fontId="14" fillId="0" borderId="65" xfId="0" applyNumberFormat="1" applyFont="1" applyBorder="1" applyAlignment="1">
      <alignment horizontal="right" vertical="center"/>
    </xf>
    <xf numFmtId="3" fontId="14" fillId="0" borderId="24" xfId="0" applyNumberFormat="1" applyFont="1" applyBorder="1" applyAlignment="1">
      <alignment horizontal="right" vertical="center"/>
    </xf>
    <xf numFmtId="3" fontId="18" fillId="0" borderId="10" xfId="0" applyNumberFormat="1" applyFont="1" applyBorder="1" applyAlignment="1">
      <alignment horizontal="right" vertical="center"/>
    </xf>
    <xf numFmtId="3" fontId="18" fillId="0" borderId="10" xfId="0" applyNumberFormat="1" applyFont="1" applyBorder="1" applyAlignment="1">
      <alignment horizontal="right" vertical="center" shrinkToFit="1"/>
    </xf>
    <xf numFmtId="3" fontId="18" fillId="0" borderId="57" xfId="0" applyNumberFormat="1" applyFont="1" applyBorder="1" applyAlignment="1">
      <alignment horizontal="right" vertical="center"/>
    </xf>
    <xf numFmtId="3" fontId="18" fillId="0" borderId="73" xfId="0" applyNumberFormat="1" applyFont="1" applyBorder="1" applyAlignment="1">
      <alignment horizontal="right" vertical="center"/>
    </xf>
    <xf numFmtId="3" fontId="18" fillId="0" borderId="55" xfId="0" applyNumberFormat="1" applyFont="1" applyBorder="1" applyAlignment="1">
      <alignment horizontal="right" vertical="center"/>
    </xf>
    <xf numFmtId="3" fontId="18" fillId="0" borderId="55" xfId="0" applyNumberFormat="1" applyFont="1" applyBorder="1" applyAlignment="1">
      <alignment horizontal="right" vertical="center" wrapText="1"/>
    </xf>
    <xf numFmtId="3" fontId="18" fillId="0" borderId="55" xfId="0" applyNumberFormat="1" applyFont="1" applyFill="1" applyBorder="1" applyAlignment="1">
      <alignment vertical="center"/>
    </xf>
    <xf numFmtId="3" fontId="18" fillId="0" borderId="56" xfId="0" applyNumberFormat="1" applyFont="1" applyFill="1" applyBorder="1" applyAlignment="1">
      <alignment vertical="center"/>
    </xf>
    <xf numFmtId="3" fontId="18" fillId="0" borderId="10" xfId="0" applyNumberFormat="1" applyFont="1" applyFill="1" applyBorder="1" applyAlignment="1">
      <alignment vertical="center"/>
    </xf>
    <xf numFmtId="3" fontId="18" fillId="0" borderId="36" xfId="0" applyNumberFormat="1" applyFont="1" applyFill="1" applyBorder="1" applyAlignment="1">
      <alignment vertical="center"/>
    </xf>
    <xf numFmtId="0" fontId="24" fillId="0" borderId="15" xfId="0" applyFont="1" applyBorder="1" applyAlignment="1">
      <alignment vertical="center"/>
    </xf>
    <xf numFmtId="0" fontId="24" fillId="0" borderId="0" xfId="0" applyFont="1" applyBorder="1" applyAlignment="1">
      <alignment vertical="center"/>
    </xf>
    <xf numFmtId="0" fontId="14" fillId="0" borderId="32" xfId="0" applyFont="1" applyFill="1" applyBorder="1" applyAlignment="1">
      <alignment vertical="center"/>
    </xf>
    <xf numFmtId="0" fontId="13" fillId="0" borderId="45" xfId="0" applyFont="1" applyFill="1" applyBorder="1" applyAlignment="1">
      <alignment vertical="center"/>
    </xf>
    <xf numFmtId="0" fontId="24" fillId="0" borderId="0" xfId="0" applyFont="1" applyFill="1" applyBorder="1" applyAlignment="1">
      <alignment vertical="center"/>
    </xf>
    <xf numFmtId="0" fontId="19" fillId="0" borderId="43" xfId="0" applyFont="1" applyFill="1" applyBorder="1" applyAlignment="1">
      <alignment vertical="center"/>
    </xf>
    <xf numFmtId="0" fontId="19" fillId="0" borderId="47" xfId="0" applyFont="1" applyFill="1" applyBorder="1" applyAlignment="1">
      <alignment vertical="center"/>
    </xf>
    <xf numFmtId="0" fontId="17" fillId="0" borderId="0" xfId="0" applyFont="1" applyAlignment="1">
      <alignment vertical="center"/>
    </xf>
    <xf numFmtId="0" fontId="12" fillId="0" borderId="0" xfId="0" applyFont="1" applyAlignment="1">
      <alignment horizontal="right" vertical="center"/>
    </xf>
    <xf numFmtId="0" fontId="19" fillId="0" borderId="13" xfId="0" applyFont="1" applyBorder="1" applyAlignment="1">
      <alignment horizontal="right" vertical="center"/>
    </xf>
    <xf numFmtId="0" fontId="26" fillId="0" borderId="13" xfId="0" applyFont="1" applyBorder="1" applyAlignment="1">
      <alignment horizontal="right" vertical="center"/>
    </xf>
    <xf numFmtId="0" fontId="19" fillId="0" borderId="74" xfId="0" applyFont="1" applyBorder="1" applyAlignment="1">
      <alignment vertical="center"/>
    </xf>
    <xf numFmtId="0" fontId="26" fillId="0" borderId="13" xfId="0" applyFont="1" applyBorder="1" applyAlignment="1">
      <alignment vertical="center"/>
    </xf>
    <xf numFmtId="0" fontId="26" fillId="0" borderId="13" xfId="0" applyFont="1" applyFill="1" applyBorder="1" applyAlignment="1">
      <alignment vertical="center"/>
    </xf>
    <xf numFmtId="0" fontId="26" fillId="0" borderId="13" xfId="0" applyFont="1" applyBorder="1" applyAlignment="1">
      <alignment horizontal="left" vertical="center"/>
    </xf>
    <xf numFmtId="0" fontId="18" fillId="0" borderId="13" xfId="0" applyFont="1" applyBorder="1" applyAlignment="1">
      <alignment vertical="center"/>
    </xf>
    <xf numFmtId="0" fontId="16" fillId="0" borderId="0" xfId="0" applyFont="1" applyBorder="1" applyAlignment="1">
      <alignment vertical="center"/>
    </xf>
    <xf numFmtId="0" fontId="26" fillId="0" borderId="0" xfId="0" applyFont="1" applyBorder="1" applyAlignment="1">
      <alignment vertical="center"/>
    </xf>
    <xf numFmtId="0" fontId="23" fillId="0" borderId="0" xfId="0" applyFont="1" applyAlignment="1">
      <alignment vertical="center"/>
    </xf>
    <xf numFmtId="0" fontId="2" fillId="0" borderId="0" xfId="0" applyFont="1" applyAlignment="1">
      <alignment vertical="center"/>
    </xf>
    <xf numFmtId="0" fontId="19" fillId="0" borderId="40" xfId="0" applyFont="1" applyBorder="1" applyAlignment="1">
      <alignment horizontal="right" vertical="center"/>
    </xf>
    <xf numFmtId="0" fontId="26" fillId="0" borderId="26" xfId="0" applyFont="1" applyBorder="1" applyAlignment="1">
      <alignment horizontal="right" vertical="center"/>
    </xf>
    <xf numFmtId="0" fontId="2" fillId="0" borderId="26" xfId="0" applyFont="1" applyBorder="1" applyAlignment="1">
      <alignment horizontal="right" vertical="center"/>
    </xf>
    <xf numFmtId="0" fontId="19" fillId="0" borderId="54" xfId="0" applyFont="1" applyBorder="1" applyAlignment="1">
      <alignment vertical="center"/>
    </xf>
    <xf numFmtId="3" fontId="26" fillId="0" borderId="26" xfId="0" applyNumberFormat="1" applyFont="1" applyBorder="1" applyAlignment="1">
      <alignment vertical="center"/>
    </xf>
    <xf numFmtId="0" fontId="26" fillId="0" borderId="26" xfId="0" applyFont="1" applyFill="1" applyBorder="1" applyAlignment="1">
      <alignment vertical="center"/>
    </xf>
    <xf numFmtId="0" fontId="26" fillId="0" borderId="26" xfId="0" applyFont="1" applyBorder="1" applyAlignment="1">
      <alignment vertical="center"/>
    </xf>
    <xf numFmtId="3" fontId="26" fillId="0" borderId="26" xfId="0" applyNumberFormat="1" applyFont="1" applyBorder="1" applyAlignment="1">
      <alignment horizontal="right" vertical="center"/>
    </xf>
    <xf numFmtId="0" fontId="19" fillId="0" borderId="64" xfId="0" applyFont="1" applyBorder="1" applyAlignment="1">
      <alignment vertical="center"/>
    </xf>
    <xf numFmtId="0" fontId="26" fillId="0" borderId="26" xfId="0" applyFont="1" applyBorder="1" applyAlignment="1">
      <alignment horizontal="left" vertical="center"/>
    </xf>
    <xf numFmtId="0" fontId="18" fillId="0" borderId="26" xfId="0" applyFont="1" applyBorder="1" applyAlignment="1">
      <alignment vertical="center"/>
    </xf>
    <xf numFmtId="0" fontId="19" fillId="0" borderId="57" xfId="0" applyFont="1" applyBorder="1" applyAlignment="1">
      <alignment vertical="center"/>
    </xf>
    <xf numFmtId="0" fontId="26" fillId="0" borderId="40" xfId="0" applyFont="1" applyBorder="1" applyAlignment="1">
      <alignment horizontal="left" vertical="center"/>
    </xf>
    <xf numFmtId="0" fontId="18" fillId="0" borderId="40" xfId="0" applyFont="1" applyBorder="1" applyAlignment="1">
      <alignment vertical="center"/>
    </xf>
    <xf numFmtId="0" fontId="2" fillId="0" borderId="75" xfId="0" applyFont="1" applyBorder="1" applyAlignment="1">
      <alignment horizontal="right" vertical="center"/>
    </xf>
    <xf numFmtId="0" fontId="19" fillId="0" borderId="54" xfId="0" applyFont="1" applyFill="1" applyBorder="1" applyAlignment="1">
      <alignment vertical="center"/>
    </xf>
    <xf numFmtId="0" fontId="0" fillId="0" borderId="26" xfId="0" applyBorder="1" applyAlignment="1">
      <alignment vertical="center"/>
    </xf>
    <xf numFmtId="0" fontId="0" fillId="0" borderId="75" xfId="0" applyBorder="1" applyAlignment="1">
      <alignment vertical="center"/>
    </xf>
    <xf numFmtId="0" fontId="19" fillId="0" borderId="37" xfId="0" applyFont="1" applyBorder="1" applyAlignment="1">
      <alignment vertical="center"/>
    </xf>
    <xf numFmtId="3" fontId="26" fillId="0" borderId="38" xfId="0" applyNumberFormat="1" applyFont="1" applyBorder="1" applyAlignment="1">
      <alignment vertical="center"/>
    </xf>
    <xf numFmtId="0" fontId="26" fillId="0" borderId="38" xfId="0" applyFont="1" applyFill="1" applyBorder="1" applyAlignment="1">
      <alignment vertical="center"/>
    </xf>
    <xf numFmtId="0" fontId="26" fillId="0" borderId="38" xfId="0" applyFont="1" applyBorder="1" applyAlignment="1">
      <alignment horizontal="right" vertical="center"/>
    </xf>
    <xf numFmtId="0" fontId="19" fillId="0" borderId="69" xfId="0" applyFont="1" applyBorder="1" applyAlignment="1">
      <alignment vertical="center"/>
    </xf>
    <xf numFmtId="0" fontId="26" fillId="0" borderId="38" xfId="0" applyFont="1" applyBorder="1" applyAlignment="1">
      <alignment vertical="center"/>
    </xf>
    <xf numFmtId="0" fontId="19" fillId="0" borderId="0" xfId="0" applyFont="1" applyBorder="1" applyAlignment="1">
      <alignment horizontal="right" vertical="center" wrapText="1"/>
    </xf>
    <xf numFmtId="3" fontId="26" fillId="0" borderId="0" xfId="0" applyNumberFormat="1" applyFont="1" applyBorder="1" applyAlignment="1">
      <alignment vertical="center"/>
    </xf>
    <xf numFmtId="0" fontId="26" fillId="0" borderId="0" xfId="0" applyFont="1" applyFill="1" applyBorder="1" applyAlignment="1">
      <alignment vertical="center"/>
    </xf>
    <xf numFmtId="0" fontId="13" fillId="0" borderId="31" xfId="0" applyFont="1" applyFill="1" applyBorder="1" applyAlignment="1">
      <alignment vertical="center"/>
    </xf>
    <xf numFmtId="0" fontId="16" fillId="0" borderId="40" xfId="0" applyFont="1" applyBorder="1" applyAlignment="1">
      <alignment horizontal="right" vertical="center"/>
    </xf>
    <xf numFmtId="0" fontId="13" fillId="0" borderId="12" xfId="0" applyFont="1" applyFill="1" applyBorder="1" applyAlignment="1">
      <alignment vertical="center"/>
    </xf>
    <xf numFmtId="0" fontId="19" fillId="0" borderId="31" xfId="0" applyFont="1" applyBorder="1" applyAlignment="1">
      <alignment/>
    </xf>
    <xf numFmtId="3" fontId="18" fillId="0" borderId="55" xfId="0" applyNumberFormat="1" applyFont="1" applyBorder="1" applyAlignment="1">
      <alignment/>
    </xf>
    <xf numFmtId="3" fontId="18" fillId="0" borderId="56" xfId="0" applyNumberFormat="1" applyFont="1" applyBorder="1" applyAlignment="1">
      <alignment/>
    </xf>
    <xf numFmtId="3" fontId="18" fillId="0" borderId="10" xfId="0" applyNumberFormat="1" applyFont="1" applyBorder="1" applyAlignment="1">
      <alignment/>
    </xf>
    <xf numFmtId="3" fontId="18" fillId="0" borderId="57" xfId="0" applyNumberFormat="1" applyFont="1" applyBorder="1" applyAlignment="1">
      <alignment/>
    </xf>
    <xf numFmtId="3" fontId="18" fillId="0" borderId="36" xfId="0" applyNumberFormat="1" applyFont="1" applyBorder="1" applyAlignment="1">
      <alignment/>
    </xf>
    <xf numFmtId="3" fontId="18" fillId="0" borderId="0" xfId="0" applyNumberFormat="1" applyFont="1" applyFill="1" applyBorder="1" applyAlignment="1">
      <alignment/>
    </xf>
    <xf numFmtId="0" fontId="24" fillId="0" borderId="0" xfId="0" applyFont="1" applyBorder="1" applyAlignment="1">
      <alignment/>
    </xf>
    <xf numFmtId="0" fontId="24" fillId="0" borderId="0" xfId="0" applyFont="1" applyAlignment="1">
      <alignment/>
    </xf>
    <xf numFmtId="0" fontId="19" fillId="0" borderId="25" xfId="0" applyFont="1" applyBorder="1" applyAlignment="1">
      <alignment/>
    </xf>
    <xf numFmtId="3" fontId="18" fillId="0" borderId="51" xfId="0" applyNumberFormat="1" applyFont="1" applyBorder="1" applyAlignment="1">
      <alignment/>
    </xf>
    <xf numFmtId="3" fontId="18" fillId="0" borderId="52" xfId="0" applyNumberFormat="1" applyFont="1" applyBorder="1" applyAlignment="1">
      <alignment/>
    </xf>
    <xf numFmtId="3" fontId="18" fillId="0" borderId="53" xfId="0" applyNumberFormat="1" applyFont="1" applyBorder="1" applyAlignment="1">
      <alignment/>
    </xf>
    <xf numFmtId="3" fontId="18" fillId="0" borderId="54" xfId="0" applyNumberFormat="1" applyFont="1" applyBorder="1" applyAlignment="1">
      <alignment/>
    </xf>
    <xf numFmtId="3" fontId="18" fillId="0" borderId="27" xfId="0" applyNumberFormat="1" applyFont="1" applyBorder="1" applyAlignment="1">
      <alignment/>
    </xf>
    <xf numFmtId="3" fontId="18" fillId="0" borderId="51" xfId="0" applyNumberFormat="1" applyFont="1" applyFill="1" applyBorder="1" applyAlignment="1">
      <alignment/>
    </xf>
    <xf numFmtId="3" fontId="18" fillId="0" borderId="52" xfId="0" applyNumberFormat="1" applyFont="1" applyFill="1" applyBorder="1" applyAlignment="1">
      <alignment/>
    </xf>
    <xf numFmtId="3" fontId="18" fillId="0" borderId="53" xfId="0" applyNumberFormat="1" applyFont="1" applyFill="1" applyBorder="1" applyAlignment="1">
      <alignment/>
    </xf>
    <xf numFmtId="3" fontId="18" fillId="0" borderId="54" xfId="0" applyNumberFormat="1" applyFont="1" applyFill="1" applyBorder="1" applyAlignment="1">
      <alignment/>
    </xf>
    <xf numFmtId="3" fontId="18" fillId="0" borderId="27" xfId="0" applyNumberFormat="1" applyFont="1" applyFill="1" applyBorder="1" applyAlignment="1">
      <alignment/>
    </xf>
    <xf numFmtId="0" fontId="24" fillId="0" borderId="0" xfId="0" applyFont="1" applyAlignment="1">
      <alignment/>
    </xf>
    <xf numFmtId="3" fontId="18" fillId="0" borderId="53" xfId="0" applyNumberFormat="1" applyFont="1" applyBorder="1" applyAlignment="1">
      <alignment/>
    </xf>
    <xf numFmtId="3" fontId="24" fillId="0" borderId="0" xfId="0" applyNumberFormat="1" applyFont="1" applyFill="1" applyBorder="1" applyAlignment="1">
      <alignment/>
    </xf>
    <xf numFmtId="0" fontId="19" fillId="0" borderId="35" xfId="0" applyFont="1" applyBorder="1" applyAlignment="1">
      <alignment/>
    </xf>
    <xf numFmtId="0" fontId="19" fillId="0" borderId="15" xfId="0" applyFont="1" applyBorder="1" applyAlignment="1">
      <alignment/>
    </xf>
    <xf numFmtId="3" fontId="18" fillId="0" borderId="15" xfId="0" applyNumberFormat="1" applyFont="1" applyBorder="1" applyAlignment="1">
      <alignment/>
    </xf>
    <xf numFmtId="3" fontId="18" fillId="0" borderId="59" xfId="0" applyNumberFormat="1" applyFont="1" applyBorder="1" applyAlignment="1">
      <alignment/>
    </xf>
    <xf numFmtId="3" fontId="18" fillId="0" borderId="60" xfId="0" applyNumberFormat="1" applyFont="1" applyBorder="1" applyAlignment="1">
      <alignment/>
    </xf>
    <xf numFmtId="3" fontId="18" fillId="0" borderId="41" xfId="0" applyNumberFormat="1" applyFont="1" applyBorder="1" applyAlignment="1">
      <alignment/>
    </xf>
    <xf numFmtId="3" fontId="18" fillId="0" borderId="16" xfId="0" applyNumberFormat="1" applyFont="1" applyBorder="1" applyAlignment="1">
      <alignment/>
    </xf>
    <xf numFmtId="0" fontId="19" fillId="0" borderId="28" xfId="0" applyFont="1" applyBorder="1" applyAlignment="1">
      <alignment/>
    </xf>
    <xf numFmtId="3" fontId="18" fillId="0" borderId="61" xfId="0" applyNumberFormat="1" applyFont="1" applyBorder="1" applyAlignment="1">
      <alignment/>
    </xf>
    <xf numFmtId="3" fontId="18" fillId="0" borderId="62" xfId="0" applyNumberFormat="1" applyFont="1" applyBorder="1" applyAlignment="1">
      <alignment/>
    </xf>
    <xf numFmtId="3" fontId="18" fillId="0" borderId="63" xfId="0" applyNumberFormat="1" applyFont="1" applyBorder="1" applyAlignment="1">
      <alignment/>
    </xf>
    <xf numFmtId="3" fontId="18" fillId="0" borderId="64" xfId="0" applyNumberFormat="1" applyFont="1" applyBorder="1" applyAlignment="1">
      <alignment/>
    </xf>
    <xf numFmtId="3" fontId="18" fillId="0" borderId="30" xfId="0" applyNumberFormat="1" applyFont="1" applyBorder="1" applyAlignment="1">
      <alignment/>
    </xf>
    <xf numFmtId="0" fontId="19" fillId="0" borderId="46" xfId="0" applyFont="1" applyBorder="1" applyAlignment="1">
      <alignment/>
    </xf>
    <xf numFmtId="0" fontId="19" fillId="0" borderId="25" xfId="0" applyFont="1" applyBorder="1" applyAlignment="1">
      <alignment wrapText="1"/>
    </xf>
    <xf numFmtId="0" fontId="19" fillId="0" borderId="34" xfId="0" applyFont="1" applyFill="1" applyBorder="1" applyAlignment="1">
      <alignment/>
    </xf>
    <xf numFmtId="3" fontId="18" fillId="0" borderId="58" xfId="0" applyNumberFormat="1" applyFont="1" applyBorder="1" applyAlignment="1">
      <alignment/>
    </xf>
    <xf numFmtId="0" fontId="24" fillId="0" borderId="15" xfId="0" applyFont="1" applyBorder="1" applyAlignment="1">
      <alignment/>
    </xf>
    <xf numFmtId="0" fontId="19" fillId="0" borderId="43" xfId="0" applyFont="1" applyBorder="1" applyAlignment="1">
      <alignment/>
    </xf>
    <xf numFmtId="0" fontId="19" fillId="0" borderId="15" xfId="0" applyFont="1" applyBorder="1" applyAlignment="1">
      <alignment wrapText="1"/>
    </xf>
    <xf numFmtId="0" fontId="19" fillId="0" borderId="28" xfId="0" applyFont="1" applyFill="1" applyBorder="1" applyAlignment="1">
      <alignment vertical="center"/>
    </xf>
    <xf numFmtId="3" fontId="14" fillId="0" borderId="17" xfId="0" applyNumberFormat="1" applyFont="1" applyBorder="1" applyAlignment="1">
      <alignment horizontal="center" vertical="center"/>
    </xf>
    <xf numFmtId="3" fontId="14" fillId="0" borderId="42" xfId="0" applyNumberFormat="1" applyFont="1" applyBorder="1" applyAlignment="1">
      <alignment horizontal="center" vertical="center"/>
    </xf>
    <xf numFmtId="0" fontId="13" fillId="0" borderId="45" xfId="0" applyFont="1" applyFill="1" applyBorder="1" applyAlignment="1">
      <alignment/>
    </xf>
    <xf numFmtId="0" fontId="21" fillId="0" borderId="15" xfId="0" applyFont="1" applyBorder="1" applyAlignment="1">
      <alignment/>
    </xf>
    <xf numFmtId="0" fontId="0" fillId="0" borderId="0" xfId="0" applyBorder="1" applyAlignment="1">
      <alignment/>
    </xf>
    <xf numFmtId="3" fontId="14" fillId="0" borderId="42" xfId="0" applyNumberFormat="1" applyFont="1" applyBorder="1" applyAlignment="1">
      <alignment horizontal="centerContinuous" vertical="center"/>
    </xf>
    <xf numFmtId="0" fontId="0" fillId="0" borderId="0" xfId="0" applyFont="1" applyBorder="1" applyAlignment="1">
      <alignment horizontal="right" vertical="center"/>
    </xf>
    <xf numFmtId="0" fontId="0" fillId="0" borderId="0" xfId="0" applyFont="1" applyAlignment="1">
      <alignment vertical="center"/>
    </xf>
    <xf numFmtId="3" fontId="14" fillId="0" borderId="21" xfId="0" applyNumberFormat="1" applyFont="1" applyBorder="1" applyAlignment="1">
      <alignment horizontal="right" vertical="center"/>
    </xf>
    <xf numFmtId="0" fontId="0" fillId="0" borderId="0" xfId="0" applyFont="1" applyAlignment="1">
      <alignment horizontal="left" vertical="center"/>
    </xf>
    <xf numFmtId="0" fontId="3" fillId="0" borderId="0" xfId="0" applyFont="1" applyAlignment="1">
      <alignment horizontal="center" vertical="center"/>
    </xf>
    <xf numFmtId="3" fontId="3" fillId="0" borderId="0" xfId="0" applyNumberFormat="1" applyFont="1" applyAlignment="1">
      <alignment horizontal="center" vertical="center"/>
    </xf>
    <xf numFmtId="0" fontId="19" fillId="0" borderId="34" xfId="0" applyFont="1" applyBorder="1" applyAlignment="1">
      <alignment horizontal="left" vertical="center" wrapText="1"/>
    </xf>
    <xf numFmtId="0" fontId="14" fillId="0" borderId="17" xfId="0" applyFont="1" applyBorder="1" applyAlignment="1">
      <alignment vertical="center" wrapText="1"/>
    </xf>
    <xf numFmtId="3" fontId="13" fillId="0" borderId="17" xfId="0" applyNumberFormat="1" applyFont="1" applyBorder="1" applyAlignment="1">
      <alignment horizontal="left" vertical="center"/>
    </xf>
    <xf numFmtId="3" fontId="13" fillId="0" borderId="42" xfId="0" applyNumberFormat="1" applyFont="1" applyBorder="1" applyAlignment="1">
      <alignment horizontal="left" vertical="center"/>
    </xf>
    <xf numFmtId="3" fontId="14" fillId="0" borderId="21" xfId="0" applyNumberFormat="1" applyFont="1" applyBorder="1" applyAlignment="1">
      <alignment vertical="center"/>
    </xf>
    <xf numFmtId="3" fontId="15" fillId="0" borderId="17" xfId="0" applyNumberFormat="1" applyFont="1" applyBorder="1" applyAlignment="1">
      <alignment horizontal="left" vertical="center"/>
    </xf>
    <xf numFmtId="3" fontId="14" fillId="0" borderId="22" xfId="0" applyNumberFormat="1" applyFont="1" applyBorder="1" applyAlignment="1">
      <alignment horizontal="centerContinuous" vertical="center"/>
    </xf>
    <xf numFmtId="3" fontId="14" fillId="0" borderId="23" xfId="0" applyNumberFormat="1" applyFont="1" applyBorder="1" applyAlignment="1">
      <alignment horizontal="centerContinuous" vertical="center"/>
    </xf>
    <xf numFmtId="3" fontId="14" fillId="0" borderId="24" xfId="0" applyNumberFormat="1" applyFont="1" applyBorder="1" applyAlignment="1">
      <alignment horizontal="right" vertical="center"/>
    </xf>
    <xf numFmtId="3" fontId="14" fillId="0" borderId="22" xfId="0" applyNumberFormat="1" applyFont="1" applyBorder="1" applyAlignment="1">
      <alignment horizontal="center" vertical="center"/>
    </xf>
    <xf numFmtId="3" fontId="14" fillId="0" borderId="23" xfId="0" applyNumberFormat="1" applyFont="1" applyBorder="1" applyAlignment="1">
      <alignment horizontal="center" vertical="center"/>
    </xf>
    <xf numFmtId="0" fontId="19" fillId="0" borderId="46" xfId="0" applyFont="1" applyBorder="1" applyAlignment="1">
      <alignment vertical="center" wrapText="1"/>
    </xf>
    <xf numFmtId="3" fontId="18" fillId="0" borderId="30" xfId="0" applyNumberFormat="1" applyFont="1" applyFill="1" applyBorder="1" applyAlignment="1">
      <alignment horizontal="right" vertical="center"/>
    </xf>
    <xf numFmtId="0" fontId="24" fillId="0" borderId="25" xfId="0" applyFont="1" applyBorder="1" applyAlignment="1">
      <alignment vertical="center"/>
    </xf>
    <xf numFmtId="0" fontId="24" fillId="36" borderId="0" xfId="0" applyFont="1" applyFill="1" applyAlignment="1">
      <alignment vertical="center"/>
    </xf>
    <xf numFmtId="0" fontId="19" fillId="36" borderId="35" xfId="0" applyFont="1" applyFill="1" applyBorder="1" applyAlignment="1">
      <alignment vertical="center" wrapText="1"/>
    </xf>
    <xf numFmtId="3" fontId="0" fillId="36" borderId="27" xfId="0" applyNumberFormat="1" applyFill="1" applyBorder="1" applyAlignment="1">
      <alignment vertical="center" wrapText="1"/>
    </xf>
    <xf numFmtId="3" fontId="18" fillId="36" borderId="27" xfId="0" applyNumberFormat="1" applyFont="1" applyFill="1" applyBorder="1" applyAlignment="1">
      <alignment horizontal="right" vertical="center"/>
    </xf>
    <xf numFmtId="3" fontId="19" fillId="0" borderId="25" xfId="0" applyNumberFormat="1" applyFont="1" applyFill="1" applyBorder="1" applyAlignment="1">
      <alignment horizontal="left" vertical="center"/>
    </xf>
    <xf numFmtId="3" fontId="19" fillId="0" borderId="26" xfId="0" applyNumberFormat="1" applyFont="1" applyFill="1" applyBorder="1" applyAlignment="1">
      <alignment horizontal="left" vertical="center"/>
    </xf>
    <xf numFmtId="0" fontId="29" fillId="0" borderId="0" xfId="0" applyFont="1" applyAlignment="1">
      <alignment vertical="center"/>
    </xf>
    <xf numFmtId="0" fontId="14" fillId="0" borderId="0" xfId="0" applyFont="1" applyAlignment="1">
      <alignment horizontal="left" vertical="center"/>
    </xf>
    <xf numFmtId="3" fontId="18" fillId="0" borderId="19" xfId="0" applyNumberFormat="1" applyFont="1" applyBorder="1" applyAlignment="1">
      <alignment horizontal="right" vertical="center"/>
    </xf>
    <xf numFmtId="0" fontId="19" fillId="0" borderId="18" xfId="0" applyFont="1" applyFill="1" applyBorder="1" applyAlignment="1">
      <alignment horizontal="left" vertical="center" wrapText="1"/>
    </xf>
    <xf numFmtId="3" fontId="18" fillId="0" borderId="19" xfId="0" applyNumberFormat="1" applyFont="1" applyBorder="1" applyAlignment="1">
      <alignment horizontal="right" vertical="center" wrapText="1"/>
    </xf>
    <xf numFmtId="3" fontId="19" fillId="0" borderId="28" xfId="0" applyNumberFormat="1" applyFont="1" applyBorder="1" applyAlignment="1">
      <alignment horizontal="left" vertical="center" wrapText="1"/>
    </xf>
    <xf numFmtId="0" fontId="0" fillId="0" borderId="29" xfId="0" applyBorder="1" applyAlignment="1">
      <alignment horizontal="left" vertical="center" wrapText="1"/>
    </xf>
    <xf numFmtId="0" fontId="0" fillId="0" borderId="62" xfId="0" applyBorder="1" applyAlignment="1">
      <alignment horizontal="left" vertical="center" wrapText="1"/>
    </xf>
    <xf numFmtId="3" fontId="19" fillId="0" borderId="37" xfId="0" applyNumberFormat="1" applyFont="1" applyBorder="1" applyAlignment="1">
      <alignment horizontal="left" vertical="center" wrapText="1"/>
    </xf>
    <xf numFmtId="0" fontId="0" fillId="0" borderId="38" xfId="0" applyBorder="1" applyAlignment="1">
      <alignment horizontal="left" vertical="center" wrapText="1"/>
    </xf>
    <xf numFmtId="0" fontId="0" fillId="0" borderId="67" xfId="0" applyBorder="1" applyAlignment="1">
      <alignment horizontal="left" vertical="center" wrapText="1"/>
    </xf>
    <xf numFmtId="3" fontId="19" fillId="0" borderId="12" xfId="0" applyNumberFormat="1" applyFont="1" applyBorder="1" applyAlignment="1">
      <alignment horizontal="left" vertical="center" wrapText="1"/>
    </xf>
    <xf numFmtId="0" fontId="0" fillId="0" borderId="13" xfId="0" applyBorder="1" applyAlignment="1">
      <alignment horizontal="left" vertical="center" wrapText="1"/>
    </xf>
    <xf numFmtId="0" fontId="0" fillId="0" borderId="76" xfId="0" applyBorder="1" applyAlignment="1">
      <alignment horizontal="left" vertical="center" wrapText="1"/>
    </xf>
    <xf numFmtId="3" fontId="19" fillId="0" borderId="25" xfId="0" applyNumberFormat="1" applyFont="1" applyBorder="1" applyAlignment="1">
      <alignment horizontal="left" vertical="center" wrapText="1"/>
    </xf>
    <xf numFmtId="0" fontId="0" fillId="0" borderId="26" xfId="0" applyBorder="1" applyAlignment="1">
      <alignment horizontal="left" vertical="center" wrapText="1"/>
    </xf>
    <xf numFmtId="0" fontId="0" fillId="0" borderId="52" xfId="0" applyBorder="1" applyAlignment="1">
      <alignment horizontal="left" vertical="center" wrapText="1"/>
    </xf>
    <xf numFmtId="0" fontId="0" fillId="0" borderId="31" xfId="0" applyBorder="1" applyAlignment="1">
      <alignment horizontal="left" vertical="center" wrapText="1"/>
    </xf>
    <xf numFmtId="0" fontId="0" fillId="0" borderId="40" xfId="0" applyBorder="1" applyAlignment="1">
      <alignment horizontal="left" vertical="center" wrapText="1"/>
    </xf>
    <xf numFmtId="0" fontId="0" fillId="0" borderId="56" xfId="0" applyBorder="1" applyAlignment="1">
      <alignment horizontal="left" vertical="center" wrapText="1"/>
    </xf>
    <xf numFmtId="0" fontId="19" fillId="0" borderId="46" xfId="0" applyFont="1" applyBorder="1" applyAlignment="1">
      <alignment horizontal="left" vertical="center" wrapText="1"/>
    </xf>
    <xf numFmtId="0" fontId="19" fillId="0" borderId="34" xfId="0" applyFont="1" applyBorder="1" applyAlignment="1">
      <alignment horizontal="left" vertical="center" wrapText="1"/>
    </xf>
    <xf numFmtId="3" fontId="18" fillId="0" borderId="30" xfId="0" applyNumberFormat="1" applyFont="1" applyBorder="1" applyAlignment="1">
      <alignment vertical="center"/>
    </xf>
    <xf numFmtId="0" fontId="0" fillId="0" borderId="36" xfId="0" applyBorder="1" applyAlignment="1">
      <alignment vertical="center"/>
    </xf>
    <xf numFmtId="3" fontId="19" fillId="0" borderId="28" xfId="0" applyNumberFormat="1" applyFont="1" applyBorder="1" applyAlignment="1">
      <alignment vertical="center" wrapText="1"/>
    </xf>
    <xf numFmtId="0" fontId="0" fillId="0" borderId="29" xfId="0" applyBorder="1" applyAlignment="1">
      <alignment vertical="center" wrapText="1"/>
    </xf>
    <xf numFmtId="0" fontId="0" fillId="0" borderId="62" xfId="0" applyBorder="1" applyAlignment="1">
      <alignment vertical="center" wrapText="1"/>
    </xf>
    <xf numFmtId="0" fontId="0" fillId="0" borderId="31" xfId="0" applyBorder="1" applyAlignment="1">
      <alignment vertical="center" wrapText="1"/>
    </xf>
    <xf numFmtId="0" fontId="0" fillId="0" borderId="40" xfId="0" applyBorder="1" applyAlignment="1">
      <alignment vertical="center" wrapText="1"/>
    </xf>
    <xf numFmtId="0" fontId="0" fillId="0" borderId="56" xfId="0" applyBorder="1" applyAlignment="1">
      <alignment vertical="center" wrapText="1"/>
    </xf>
    <xf numFmtId="3" fontId="18" fillId="0" borderId="36" xfId="0" applyNumberFormat="1" applyFont="1" applyBorder="1" applyAlignment="1">
      <alignment vertical="center"/>
    </xf>
    <xf numFmtId="0" fontId="10" fillId="0" borderId="0" xfId="0" applyFont="1" applyBorder="1" applyAlignment="1">
      <alignment horizontal="center" vertical="center"/>
    </xf>
    <xf numFmtId="3" fontId="14" fillId="0" borderId="11" xfId="0" applyNumberFormat="1" applyFont="1" applyBorder="1" applyAlignment="1">
      <alignment horizontal="center" vertical="center"/>
    </xf>
    <xf numFmtId="3" fontId="14" fillId="0" borderId="77" xfId="0" applyNumberFormat="1" applyFont="1" applyBorder="1" applyAlignment="1">
      <alignment horizontal="center" vertical="center"/>
    </xf>
    <xf numFmtId="3" fontId="14" fillId="0" borderId="71" xfId="0" applyNumberFormat="1" applyFont="1" applyBorder="1" applyAlignment="1">
      <alignment horizontal="center" vertical="center"/>
    </xf>
    <xf numFmtId="3" fontId="14" fillId="0" borderId="17" xfId="0" applyNumberFormat="1" applyFont="1" applyBorder="1" applyAlignment="1">
      <alignment horizontal="center" vertical="center"/>
    </xf>
    <xf numFmtId="3" fontId="14" fillId="0" borderId="42" xfId="0" applyNumberFormat="1" applyFont="1" applyBorder="1" applyAlignment="1">
      <alignment horizontal="center" vertical="center"/>
    </xf>
    <xf numFmtId="3" fontId="14" fillId="0" borderId="78" xfId="0" applyNumberFormat="1" applyFont="1" applyBorder="1" applyAlignment="1">
      <alignment horizontal="center" vertical="center"/>
    </xf>
    <xf numFmtId="3" fontId="18" fillId="0" borderId="30" xfId="0" applyNumberFormat="1" applyFont="1" applyFill="1" applyBorder="1" applyAlignment="1">
      <alignment horizontal="right" vertical="center" wrapText="1"/>
    </xf>
    <xf numFmtId="0" fontId="24" fillId="0" borderId="36" xfId="0" applyFont="1" applyFill="1" applyBorder="1" applyAlignment="1">
      <alignment vertical="center" wrapText="1"/>
    </xf>
    <xf numFmtId="3" fontId="31" fillId="0" borderId="28" xfId="0" applyNumberFormat="1" applyFont="1" applyBorder="1" applyAlignment="1">
      <alignment horizontal="center" vertical="center"/>
    </xf>
    <xf numFmtId="3" fontId="31" fillId="0" borderId="29" xfId="0" applyNumberFormat="1" applyFont="1" applyBorder="1" applyAlignment="1">
      <alignment horizontal="center" vertical="center"/>
    </xf>
    <xf numFmtId="3" fontId="31" fillId="0" borderId="62" xfId="0" applyNumberFormat="1" applyFont="1" applyBorder="1" applyAlignment="1">
      <alignment horizontal="center" vertical="center"/>
    </xf>
    <xf numFmtId="3" fontId="31" fillId="0" borderId="31" xfId="0" applyNumberFormat="1" applyFont="1" applyBorder="1" applyAlignment="1">
      <alignment horizontal="center" vertical="center"/>
    </xf>
    <xf numFmtId="3" fontId="31" fillId="0" borderId="40" xfId="0" applyNumberFormat="1" applyFont="1" applyBorder="1" applyAlignment="1">
      <alignment horizontal="center" vertical="center"/>
    </xf>
    <xf numFmtId="3" fontId="31" fillId="0" borderId="56" xfId="0" applyNumberFormat="1" applyFont="1" applyBorder="1" applyAlignment="1">
      <alignment horizontal="center" vertical="center"/>
    </xf>
    <xf numFmtId="3" fontId="19" fillId="0" borderId="26" xfId="0" applyNumberFormat="1" applyFont="1" applyBorder="1" applyAlignment="1">
      <alignment horizontal="left" vertical="center" wrapText="1"/>
    </xf>
    <xf numFmtId="3" fontId="19" fillId="0" borderId="52" xfId="0" applyNumberFormat="1" applyFont="1" applyBorder="1" applyAlignment="1">
      <alignment horizontal="left" vertical="center" wrapText="1"/>
    </xf>
    <xf numFmtId="0" fontId="19" fillId="0" borderId="18" xfId="0" applyFont="1" applyBorder="1" applyAlignment="1">
      <alignment horizontal="left" vertical="center" wrapText="1"/>
    </xf>
    <xf numFmtId="3" fontId="19" fillId="0" borderId="11" xfId="0" applyNumberFormat="1" applyFont="1" applyBorder="1" applyAlignment="1">
      <alignment horizontal="left" vertical="center" wrapText="1"/>
    </xf>
    <xf numFmtId="0" fontId="0" fillId="0" borderId="77" xfId="0" applyBorder="1" applyAlignment="1">
      <alignment horizontal="left" vertical="center" wrapText="1"/>
    </xf>
    <xf numFmtId="0" fontId="0" fillId="0" borderId="71" xfId="0" applyBorder="1" applyAlignment="1">
      <alignment horizontal="left" vertical="center" wrapText="1"/>
    </xf>
    <xf numFmtId="0" fontId="0" fillId="0" borderId="15" xfId="0" applyBorder="1" applyAlignment="1">
      <alignment horizontal="left" vertical="center" wrapText="1"/>
    </xf>
    <xf numFmtId="0" fontId="0" fillId="0" borderId="0" xfId="0" applyBorder="1" applyAlignment="1">
      <alignment horizontal="left" vertical="center" wrapText="1"/>
    </xf>
    <xf numFmtId="0" fontId="0" fillId="0" borderId="59" xfId="0" applyBorder="1" applyAlignment="1">
      <alignment horizontal="left" vertical="center" wrapText="1"/>
    </xf>
    <xf numFmtId="0" fontId="19" fillId="0" borderId="46" xfId="0" applyFont="1" applyBorder="1" applyAlignment="1">
      <alignment vertical="center" wrapText="1"/>
    </xf>
    <xf numFmtId="0" fontId="19" fillId="0" borderId="34" xfId="0" applyFont="1" applyBorder="1" applyAlignment="1">
      <alignment vertical="center" wrapText="1"/>
    </xf>
    <xf numFmtId="3" fontId="18" fillId="0" borderId="30" xfId="0" applyNumberFormat="1" applyFont="1" applyBorder="1" applyAlignment="1">
      <alignment horizontal="right" vertical="center"/>
    </xf>
    <xf numFmtId="3" fontId="18" fillId="0" borderId="36" xfId="0" applyNumberFormat="1" applyFont="1" applyBorder="1" applyAlignment="1">
      <alignment horizontal="right" vertical="center"/>
    </xf>
    <xf numFmtId="3" fontId="26" fillId="0" borderId="0" xfId="0" applyNumberFormat="1" applyFont="1" applyBorder="1" applyAlignment="1">
      <alignment horizontal="right" vertical="center"/>
    </xf>
    <xf numFmtId="0" fontId="0" fillId="0" borderId="0" xfId="0" applyBorder="1" applyAlignment="1">
      <alignment horizontal="right" vertical="center"/>
    </xf>
    <xf numFmtId="3" fontId="19" fillId="0" borderId="28" xfId="0" applyNumberFormat="1" applyFont="1" applyBorder="1" applyAlignment="1">
      <alignment horizontal="left" vertical="top" wrapText="1"/>
    </xf>
    <xf numFmtId="3" fontId="19" fillId="0" borderId="29" xfId="0" applyNumberFormat="1" applyFont="1" applyBorder="1" applyAlignment="1">
      <alignment horizontal="left" vertical="top" wrapText="1"/>
    </xf>
    <xf numFmtId="3" fontId="19" fillId="0" borderId="62" xfId="0" applyNumberFormat="1" applyFont="1" applyBorder="1" applyAlignment="1">
      <alignment horizontal="left" vertical="top" wrapText="1"/>
    </xf>
    <xf numFmtId="3" fontId="19" fillId="0" borderId="31" xfId="0" applyNumberFormat="1" applyFont="1" applyBorder="1" applyAlignment="1">
      <alignment horizontal="left" vertical="top" wrapText="1"/>
    </xf>
    <xf numFmtId="3" fontId="19" fillId="0" borderId="40" xfId="0" applyNumberFormat="1" applyFont="1" applyBorder="1" applyAlignment="1">
      <alignment horizontal="left" vertical="top" wrapText="1"/>
    </xf>
    <xf numFmtId="3" fontId="19" fillId="0" borderId="56" xfId="0" applyNumberFormat="1" applyFont="1" applyBorder="1" applyAlignment="1">
      <alignment horizontal="left" vertical="top" wrapText="1"/>
    </xf>
    <xf numFmtId="3" fontId="19" fillId="0" borderId="29" xfId="0" applyNumberFormat="1" applyFont="1" applyBorder="1" applyAlignment="1">
      <alignment horizontal="left" vertical="center" wrapText="1"/>
    </xf>
    <xf numFmtId="3" fontId="19" fillId="0" borderId="62" xfId="0" applyNumberFormat="1" applyFont="1" applyBorder="1" applyAlignment="1">
      <alignment horizontal="left" vertical="center" wrapText="1"/>
    </xf>
    <xf numFmtId="3" fontId="19" fillId="0" borderId="15" xfId="0" applyNumberFormat="1" applyFont="1" applyBorder="1" applyAlignment="1">
      <alignment horizontal="left" vertical="center" wrapText="1"/>
    </xf>
    <xf numFmtId="3" fontId="19" fillId="0" borderId="0" xfId="0" applyNumberFormat="1" applyFont="1" applyBorder="1" applyAlignment="1">
      <alignment horizontal="left" vertical="center" wrapText="1"/>
    </xf>
    <xf numFmtId="3" fontId="19" fillId="0" borderId="59" xfId="0" applyNumberFormat="1" applyFont="1" applyBorder="1" applyAlignment="1">
      <alignment horizontal="left" vertical="center" wrapText="1"/>
    </xf>
    <xf numFmtId="3" fontId="19" fillId="0" borderId="17" xfId="0" applyNumberFormat="1" applyFont="1" applyBorder="1" applyAlignment="1">
      <alignment horizontal="left" vertical="center" wrapText="1"/>
    </xf>
    <xf numFmtId="3" fontId="19" fillId="0" borderId="42" xfId="0" applyNumberFormat="1" applyFont="1" applyBorder="1" applyAlignment="1">
      <alignment horizontal="left" vertical="center" wrapText="1"/>
    </xf>
    <xf numFmtId="3" fontId="19" fillId="0" borderId="78" xfId="0" applyNumberFormat="1" applyFont="1" applyBorder="1" applyAlignment="1">
      <alignment horizontal="left" vertical="center" wrapText="1"/>
    </xf>
    <xf numFmtId="3" fontId="18" fillId="0" borderId="30" xfId="0" applyNumberFormat="1" applyFont="1" applyBorder="1" applyAlignment="1">
      <alignment horizontal="right" vertical="center" wrapText="1"/>
    </xf>
    <xf numFmtId="3" fontId="18" fillId="0" borderId="41" xfId="0" applyNumberFormat="1" applyFont="1" applyBorder="1" applyAlignment="1">
      <alignment horizontal="right" vertical="center" wrapText="1"/>
    </xf>
    <xf numFmtId="3" fontId="18" fillId="0" borderId="21" xfId="0" applyNumberFormat="1" applyFont="1" applyBorder="1" applyAlignment="1">
      <alignment horizontal="right" vertical="center" wrapText="1"/>
    </xf>
    <xf numFmtId="0" fontId="19" fillId="0" borderId="45" xfId="0" applyFont="1" applyBorder="1" applyAlignment="1">
      <alignment horizontal="left" vertical="center" wrapText="1"/>
    </xf>
    <xf numFmtId="0" fontId="19" fillId="0" borderId="20" xfId="0" applyFont="1" applyBorder="1" applyAlignment="1">
      <alignment horizontal="left" vertical="center" wrapText="1"/>
    </xf>
    <xf numFmtId="3" fontId="0" fillId="0" borderId="30" xfId="0" applyNumberFormat="1" applyBorder="1" applyAlignment="1">
      <alignment vertical="center"/>
    </xf>
    <xf numFmtId="0" fontId="0" fillId="0" borderId="41" xfId="0" applyBorder="1" applyAlignment="1">
      <alignment horizontal="right" vertical="center"/>
    </xf>
    <xf numFmtId="0" fontId="0" fillId="0" borderId="36" xfId="0" applyBorder="1" applyAlignment="1">
      <alignment horizontal="right" vertical="center"/>
    </xf>
    <xf numFmtId="3" fontId="18" fillId="0" borderId="0" xfId="0" applyNumberFormat="1" applyFont="1" applyBorder="1" applyAlignment="1">
      <alignment horizontal="center" vertical="center"/>
    </xf>
    <xf numFmtId="3" fontId="18" fillId="0" borderId="59" xfId="0" applyNumberFormat="1" applyFont="1" applyBorder="1" applyAlignment="1">
      <alignment horizontal="center" vertical="center"/>
    </xf>
    <xf numFmtId="3" fontId="18" fillId="0" borderId="40" xfId="0" applyNumberFormat="1" applyFont="1" applyBorder="1" applyAlignment="1">
      <alignment horizontal="center" vertical="center"/>
    </xf>
    <xf numFmtId="3" fontId="18" fillId="0" borderId="56" xfId="0" applyNumberFormat="1" applyFont="1" applyBorder="1" applyAlignment="1">
      <alignment horizontal="center" vertical="center"/>
    </xf>
    <xf numFmtId="3" fontId="18" fillId="0" borderId="19" xfId="0" applyNumberFormat="1" applyFont="1" applyBorder="1" applyAlignment="1">
      <alignment vertical="center"/>
    </xf>
    <xf numFmtId="0" fontId="0" fillId="0" borderId="34" xfId="0" applyBorder="1" applyAlignment="1">
      <alignment vertical="center" wrapText="1"/>
    </xf>
    <xf numFmtId="3" fontId="19" fillId="0" borderId="31" xfId="0" applyNumberFormat="1" applyFont="1" applyBorder="1" applyAlignment="1">
      <alignment horizontal="left" vertical="center" wrapText="1"/>
    </xf>
    <xf numFmtId="3" fontId="19" fillId="0" borderId="40" xfId="0" applyNumberFormat="1" applyFont="1" applyBorder="1" applyAlignment="1">
      <alignment horizontal="left" vertical="center" wrapText="1"/>
    </xf>
    <xf numFmtId="3" fontId="19" fillId="0" borderId="56" xfId="0" applyNumberFormat="1" applyFont="1" applyBorder="1" applyAlignment="1">
      <alignment horizontal="left" vertical="center" wrapText="1"/>
    </xf>
    <xf numFmtId="3" fontId="13" fillId="0" borderId="62" xfId="0" applyNumberFormat="1" applyFont="1" applyBorder="1" applyAlignment="1">
      <alignment horizontal="center" vertical="center" wrapText="1"/>
    </xf>
    <xf numFmtId="3" fontId="13" fillId="0" borderId="59" xfId="0" applyNumberFormat="1" applyFont="1" applyBorder="1" applyAlignment="1">
      <alignment horizontal="center" vertical="center" wrapText="1"/>
    </xf>
    <xf numFmtId="3" fontId="13" fillId="0" borderId="78" xfId="0" applyNumberFormat="1" applyFont="1" applyBorder="1" applyAlignment="1">
      <alignment horizontal="center" vertical="center" wrapText="1"/>
    </xf>
    <xf numFmtId="3" fontId="13" fillId="0" borderId="61" xfId="0" applyNumberFormat="1" applyFont="1" applyBorder="1" applyAlignment="1">
      <alignment horizontal="center" vertical="center" wrapText="1"/>
    </xf>
    <xf numFmtId="3" fontId="13" fillId="0" borderId="58" xfId="0" applyNumberFormat="1" applyFont="1" applyBorder="1" applyAlignment="1">
      <alignment horizontal="center" vertical="center" wrapText="1"/>
    </xf>
    <xf numFmtId="3" fontId="13" fillId="0" borderId="79" xfId="0" applyNumberFormat="1" applyFont="1" applyBorder="1" applyAlignment="1">
      <alignment horizontal="center" vertical="center" wrapText="1"/>
    </xf>
    <xf numFmtId="0" fontId="13" fillId="0" borderId="30"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21" xfId="0" applyFont="1" applyBorder="1" applyAlignment="1">
      <alignment horizontal="center" vertical="center" wrapText="1"/>
    </xf>
    <xf numFmtId="3" fontId="16" fillId="0" borderId="63" xfId="0" applyNumberFormat="1" applyFont="1" applyBorder="1" applyAlignment="1">
      <alignment horizontal="center" vertical="center" wrapText="1"/>
    </xf>
    <xf numFmtId="3" fontId="16" fillId="0" borderId="60" xfId="0" applyNumberFormat="1" applyFont="1" applyBorder="1" applyAlignment="1">
      <alignment horizontal="center" vertical="center" wrapText="1"/>
    </xf>
    <xf numFmtId="3" fontId="16" fillId="0" borderId="80" xfId="0" applyNumberFormat="1" applyFont="1" applyBorder="1" applyAlignment="1">
      <alignment horizontal="center" vertical="center" wrapText="1"/>
    </xf>
    <xf numFmtId="0" fontId="13" fillId="0" borderId="63" xfId="0" applyFont="1" applyBorder="1" applyAlignment="1">
      <alignment horizontal="center" vertical="center" wrapText="1"/>
    </xf>
    <xf numFmtId="0" fontId="13" fillId="0" borderId="60" xfId="0" applyFont="1" applyBorder="1" applyAlignment="1">
      <alignment horizontal="center" vertical="center" wrapText="1"/>
    </xf>
    <xf numFmtId="0" fontId="13" fillId="0" borderId="80" xfId="0" applyFont="1" applyBorder="1" applyAlignment="1">
      <alignment horizontal="center" vertical="center" wrapText="1"/>
    </xf>
    <xf numFmtId="3" fontId="13" fillId="0" borderId="63" xfId="0" applyNumberFormat="1" applyFont="1" applyBorder="1" applyAlignment="1">
      <alignment horizontal="center" vertical="center" wrapText="1"/>
    </xf>
    <xf numFmtId="3" fontId="13" fillId="0" borderId="60" xfId="0" applyNumberFormat="1" applyFont="1" applyBorder="1" applyAlignment="1">
      <alignment horizontal="center" vertical="center" wrapText="1"/>
    </xf>
    <xf numFmtId="3" fontId="13" fillId="0" borderId="80" xfId="0" applyNumberFormat="1" applyFont="1" applyBorder="1" applyAlignment="1">
      <alignment horizontal="center" vertical="center" wrapText="1"/>
    </xf>
    <xf numFmtId="0" fontId="13" fillId="0" borderId="63" xfId="0" applyFont="1" applyBorder="1" applyAlignment="1">
      <alignment horizontal="center" vertical="center" wrapText="1" shrinkToFit="1"/>
    </xf>
    <xf numFmtId="0" fontId="13" fillId="0" borderId="80" xfId="0" applyFont="1" applyBorder="1" applyAlignment="1">
      <alignment horizontal="center" vertical="center" wrapText="1" shrinkToFit="1"/>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3" fontId="19" fillId="0" borderId="25" xfId="0" applyNumberFormat="1" applyFont="1" applyFill="1" applyBorder="1" applyAlignment="1">
      <alignment horizontal="left" vertical="center" wrapText="1"/>
    </xf>
    <xf numFmtId="0" fontId="0" fillId="0" borderId="26" xfId="0" applyFill="1" applyBorder="1" applyAlignment="1">
      <alignment horizontal="left" vertical="center" wrapText="1"/>
    </xf>
    <xf numFmtId="0" fontId="0" fillId="0" borderId="52" xfId="0" applyFill="1" applyBorder="1" applyAlignment="1">
      <alignment horizontal="left" vertical="center" wrapText="1"/>
    </xf>
    <xf numFmtId="3" fontId="12" fillId="0" borderId="30" xfId="0" applyNumberFormat="1" applyFont="1" applyBorder="1" applyAlignment="1">
      <alignment horizontal="right" vertical="center" wrapText="1"/>
    </xf>
    <xf numFmtId="0" fontId="0" fillId="0" borderId="21" xfId="0" applyBorder="1" applyAlignment="1">
      <alignment horizontal="right" vertical="center" wrapText="1"/>
    </xf>
    <xf numFmtId="3" fontId="18" fillId="0" borderId="19" xfId="0" applyNumberFormat="1" applyFont="1" applyBorder="1" applyAlignment="1">
      <alignment horizontal="right" vertical="center"/>
    </xf>
    <xf numFmtId="3" fontId="18" fillId="0" borderId="21" xfId="0" applyNumberFormat="1" applyFont="1" applyBorder="1" applyAlignment="1">
      <alignment horizontal="right" vertical="center"/>
    </xf>
    <xf numFmtId="0" fontId="19" fillId="0" borderId="18" xfId="0" applyFont="1" applyFill="1" applyBorder="1" applyAlignment="1">
      <alignment horizontal="left" vertical="center" wrapText="1"/>
    </xf>
    <xf numFmtId="0" fontId="19" fillId="0" borderId="45" xfId="0" applyFont="1" applyFill="1" applyBorder="1" applyAlignment="1">
      <alignment horizontal="left" vertical="center" wrapText="1"/>
    </xf>
    <xf numFmtId="0" fontId="19" fillId="0" borderId="20" xfId="0" applyFont="1" applyFill="1" applyBorder="1" applyAlignment="1">
      <alignment horizontal="left" vertical="center" wrapText="1"/>
    </xf>
    <xf numFmtId="3" fontId="19" fillId="0" borderId="11" xfId="0" applyNumberFormat="1" applyFont="1" applyBorder="1" applyAlignment="1">
      <alignment vertical="center" wrapText="1"/>
    </xf>
    <xf numFmtId="0" fontId="0" fillId="0" borderId="77" xfId="0" applyBorder="1" applyAlignment="1">
      <alignment vertical="center" wrapText="1"/>
    </xf>
    <xf numFmtId="0" fontId="0" fillId="0" borderId="71" xfId="0" applyBorder="1" applyAlignment="1">
      <alignment vertical="center" wrapText="1"/>
    </xf>
    <xf numFmtId="0" fontId="0" fillId="0" borderId="15" xfId="0" applyBorder="1" applyAlignment="1">
      <alignment vertical="center" wrapText="1"/>
    </xf>
    <xf numFmtId="0" fontId="0" fillId="0" borderId="0" xfId="0" applyAlignment="1">
      <alignment vertical="center" wrapText="1"/>
    </xf>
    <xf numFmtId="0" fontId="0" fillId="0" borderId="59" xfId="0" applyBorder="1" applyAlignment="1">
      <alignment vertical="center" wrapText="1"/>
    </xf>
    <xf numFmtId="0" fontId="0" fillId="0" borderId="17" xfId="0" applyBorder="1" applyAlignment="1">
      <alignment vertical="center" wrapText="1"/>
    </xf>
    <xf numFmtId="0" fontId="0" fillId="0" borderId="42" xfId="0" applyBorder="1" applyAlignment="1">
      <alignment vertical="center" wrapText="1"/>
    </xf>
    <xf numFmtId="0" fontId="0" fillId="0" borderId="78" xfId="0" applyBorder="1" applyAlignment="1">
      <alignment vertical="center" wrapText="1"/>
    </xf>
    <xf numFmtId="3" fontId="18" fillId="0" borderId="41" xfId="0" applyNumberFormat="1" applyFont="1" applyBorder="1" applyAlignment="1">
      <alignment horizontal="right" vertical="center"/>
    </xf>
    <xf numFmtId="3" fontId="13" fillId="0" borderId="11" xfId="0" applyNumberFormat="1" applyFont="1" applyFill="1" applyBorder="1" applyAlignment="1">
      <alignment horizontal="left" vertical="center" wrapText="1"/>
    </xf>
    <xf numFmtId="3" fontId="13" fillId="0" borderId="77" xfId="0" applyNumberFormat="1" applyFont="1" applyFill="1" applyBorder="1" applyAlignment="1">
      <alignment horizontal="left" vertical="center" wrapText="1"/>
    </xf>
    <xf numFmtId="3" fontId="13" fillId="0" borderId="71" xfId="0" applyNumberFormat="1" applyFont="1" applyFill="1" applyBorder="1" applyAlignment="1">
      <alignment horizontal="left" vertical="center" wrapText="1"/>
    </xf>
    <xf numFmtId="3" fontId="13" fillId="0" borderId="15" xfId="0" applyNumberFormat="1" applyFont="1" applyFill="1" applyBorder="1" applyAlignment="1">
      <alignment horizontal="left" vertical="center" wrapText="1"/>
    </xf>
    <xf numFmtId="3" fontId="13" fillId="0" borderId="0" xfId="0" applyNumberFormat="1" applyFont="1" applyFill="1" applyBorder="1" applyAlignment="1">
      <alignment horizontal="left" vertical="center" wrapText="1"/>
    </xf>
    <xf numFmtId="3" fontId="13" fillId="0" borderId="59" xfId="0" applyNumberFormat="1" applyFont="1" applyFill="1" applyBorder="1" applyAlignment="1">
      <alignment horizontal="left" vertical="center" wrapText="1"/>
    </xf>
    <xf numFmtId="3" fontId="13" fillId="0" borderId="17" xfId="0" applyNumberFormat="1" applyFont="1" applyFill="1" applyBorder="1" applyAlignment="1">
      <alignment horizontal="left" vertical="center" wrapText="1"/>
    </xf>
    <xf numFmtId="3" fontId="13" fillId="0" borderId="42" xfId="0" applyNumberFormat="1" applyFont="1" applyFill="1" applyBorder="1" applyAlignment="1">
      <alignment horizontal="left" vertical="center" wrapText="1"/>
    </xf>
    <xf numFmtId="3" fontId="13" fillId="0" borderId="78" xfId="0" applyNumberFormat="1" applyFont="1" applyFill="1" applyBorder="1" applyAlignment="1">
      <alignment horizontal="left" vertical="center" wrapText="1"/>
    </xf>
    <xf numFmtId="3" fontId="19" fillId="0" borderId="22" xfId="0" applyNumberFormat="1" applyFont="1" applyBorder="1" applyAlignment="1">
      <alignment horizontal="left" vertical="center" wrapText="1"/>
    </xf>
    <xf numFmtId="0" fontId="0" fillId="0" borderId="23" xfId="0" applyBorder="1" applyAlignment="1">
      <alignment horizontal="left" vertical="center" wrapText="1"/>
    </xf>
    <xf numFmtId="0" fontId="0" fillId="0" borderId="44" xfId="0" applyBorder="1" applyAlignment="1">
      <alignment horizontal="left" vertical="center" wrapText="1"/>
    </xf>
    <xf numFmtId="3" fontId="13" fillId="0" borderId="11" xfId="0" applyNumberFormat="1" applyFont="1" applyBorder="1" applyAlignment="1">
      <alignment horizontal="left" vertical="center" wrapText="1"/>
    </xf>
    <xf numFmtId="3" fontId="13" fillId="0" borderId="77" xfId="0" applyNumberFormat="1" applyFont="1" applyBorder="1" applyAlignment="1">
      <alignment horizontal="left" vertical="center" wrapText="1"/>
    </xf>
    <xf numFmtId="3" fontId="13" fillId="0" borderId="71" xfId="0" applyNumberFormat="1" applyFont="1" applyBorder="1" applyAlignment="1">
      <alignment horizontal="left" vertical="center" wrapText="1"/>
    </xf>
    <xf numFmtId="3" fontId="13" fillId="0" borderId="17" xfId="0" applyNumberFormat="1" applyFont="1" applyBorder="1" applyAlignment="1">
      <alignment horizontal="left" vertical="center" wrapText="1"/>
    </xf>
    <xf numFmtId="3" fontId="13" fillId="0" borderId="42" xfId="0" applyNumberFormat="1" applyFont="1" applyBorder="1" applyAlignment="1">
      <alignment horizontal="left" vertical="center" wrapText="1"/>
    </xf>
    <xf numFmtId="3" fontId="13" fillId="0" borderId="78" xfId="0" applyNumberFormat="1" applyFont="1" applyBorder="1" applyAlignment="1">
      <alignment horizontal="left" vertical="center" wrapText="1"/>
    </xf>
    <xf numFmtId="3" fontId="13" fillId="0" borderId="28" xfId="0" applyNumberFormat="1" applyFont="1" applyBorder="1" applyAlignment="1">
      <alignment horizontal="left" vertical="center" wrapText="1"/>
    </xf>
    <xf numFmtId="0" fontId="0" fillId="0" borderId="17" xfId="0" applyBorder="1" applyAlignment="1">
      <alignment horizontal="left" vertical="center" wrapText="1"/>
    </xf>
    <xf numFmtId="0" fontId="0" fillId="0" borderId="42" xfId="0" applyBorder="1" applyAlignment="1">
      <alignment horizontal="left" vertical="center" wrapText="1"/>
    </xf>
    <xf numFmtId="0" fontId="0" fillId="0" borderId="78" xfId="0" applyBorder="1" applyAlignment="1">
      <alignment horizontal="left" vertical="center" wrapText="1"/>
    </xf>
    <xf numFmtId="3" fontId="12" fillId="0" borderId="30" xfId="0" applyNumberFormat="1" applyFont="1" applyBorder="1" applyAlignment="1">
      <alignment vertical="center" wrapText="1"/>
    </xf>
    <xf numFmtId="0" fontId="0" fillId="0" borderId="21" xfId="0" applyBorder="1" applyAlignment="1">
      <alignment vertical="center" wrapText="1"/>
    </xf>
    <xf numFmtId="0" fontId="13" fillId="0" borderId="46" xfId="0" applyFont="1" applyBorder="1" applyAlignment="1">
      <alignment horizontal="left" vertical="center" wrapText="1"/>
    </xf>
    <xf numFmtId="0" fontId="13" fillId="0" borderId="20" xfId="0" applyFont="1" applyBorder="1" applyAlignment="1">
      <alignment horizontal="left" vertical="center" wrapText="1"/>
    </xf>
    <xf numFmtId="3" fontId="13" fillId="0" borderId="25" xfId="0" applyNumberFormat="1" applyFont="1" applyBorder="1" applyAlignment="1">
      <alignment horizontal="left" vertical="center" wrapText="1"/>
    </xf>
    <xf numFmtId="3" fontId="13" fillId="0" borderId="26" xfId="0" applyNumberFormat="1" applyFont="1" applyBorder="1" applyAlignment="1">
      <alignment horizontal="left" vertical="center" wrapText="1"/>
    </xf>
    <xf numFmtId="3" fontId="13" fillId="0" borderId="52" xfId="0" applyNumberFormat="1" applyFont="1" applyBorder="1" applyAlignment="1">
      <alignment horizontal="left" vertical="center" wrapText="1"/>
    </xf>
    <xf numFmtId="3" fontId="18" fillId="0" borderId="19" xfId="0" applyNumberFormat="1" applyFont="1" applyBorder="1" applyAlignment="1">
      <alignment horizontal="center" vertical="center"/>
    </xf>
    <xf numFmtId="3" fontId="18" fillId="0" borderId="41" xfId="0" applyNumberFormat="1" applyFont="1" applyBorder="1" applyAlignment="1">
      <alignment horizontal="center" vertical="center"/>
    </xf>
    <xf numFmtId="3" fontId="18" fillId="0" borderId="21" xfId="0" applyNumberFormat="1" applyFont="1" applyBorder="1" applyAlignment="1">
      <alignment horizontal="center" vertical="center"/>
    </xf>
    <xf numFmtId="3" fontId="13" fillId="33" borderId="28" xfId="0" applyNumberFormat="1" applyFont="1" applyFill="1" applyBorder="1" applyAlignment="1">
      <alignment horizontal="left" vertical="center" wrapText="1"/>
    </xf>
    <xf numFmtId="3" fontId="13" fillId="33" borderId="29" xfId="0" applyNumberFormat="1" applyFont="1" applyFill="1" applyBorder="1" applyAlignment="1">
      <alignment horizontal="left" vertical="center" wrapText="1"/>
    </xf>
    <xf numFmtId="3" fontId="13" fillId="33" borderId="62" xfId="0" applyNumberFormat="1" applyFont="1" applyFill="1" applyBorder="1" applyAlignment="1">
      <alignment horizontal="left" vertical="center" wrapText="1"/>
    </xf>
    <xf numFmtId="3" fontId="13" fillId="33" borderId="31" xfId="0" applyNumberFormat="1" applyFont="1" applyFill="1" applyBorder="1" applyAlignment="1">
      <alignment horizontal="left" vertical="center" wrapText="1"/>
    </xf>
    <xf numFmtId="3" fontId="13" fillId="33" borderId="40" xfId="0" applyNumberFormat="1" applyFont="1" applyFill="1" applyBorder="1" applyAlignment="1">
      <alignment horizontal="left" vertical="center" wrapText="1"/>
    </xf>
    <xf numFmtId="3" fontId="13" fillId="33" borderId="56" xfId="0" applyNumberFormat="1" applyFont="1" applyFill="1" applyBorder="1" applyAlignment="1">
      <alignment horizontal="left" vertical="center" wrapText="1"/>
    </xf>
    <xf numFmtId="3" fontId="19" fillId="0" borderId="37" xfId="0" applyNumberFormat="1" applyFont="1" applyBorder="1" applyAlignment="1">
      <alignment horizontal="center" vertical="center"/>
    </xf>
    <xf numFmtId="3" fontId="19" fillId="0" borderId="38" xfId="0" applyNumberFormat="1" applyFont="1" applyBorder="1" applyAlignment="1">
      <alignment horizontal="center" vertical="center"/>
    </xf>
    <xf numFmtId="3" fontId="19" fillId="0" borderId="67" xfId="0" applyNumberFormat="1" applyFont="1" applyBorder="1" applyAlignment="1">
      <alignment horizontal="center" vertical="center"/>
    </xf>
    <xf numFmtId="3" fontId="19" fillId="0" borderId="38" xfId="0" applyNumberFormat="1" applyFont="1" applyBorder="1" applyAlignment="1">
      <alignment horizontal="left" vertical="center" wrapText="1"/>
    </xf>
    <xf numFmtId="3" fontId="19" fillId="0" borderId="67" xfId="0" applyNumberFormat="1" applyFont="1" applyBorder="1" applyAlignment="1">
      <alignment horizontal="left" vertical="center" wrapText="1"/>
    </xf>
    <xf numFmtId="3" fontId="13" fillId="33" borderId="25" xfId="0" applyNumberFormat="1" applyFont="1" applyFill="1" applyBorder="1" applyAlignment="1">
      <alignment horizontal="left" vertical="center"/>
    </xf>
    <xf numFmtId="3" fontId="13" fillId="33" borderId="26" xfId="0" applyNumberFormat="1" applyFont="1" applyFill="1" applyBorder="1" applyAlignment="1">
      <alignment horizontal="left" vertical="center"/>
    </xf>
    <xf numFmtId="3" fontId="13" fillId="33" borderId="52" xfId="0" applyNumberFormat="1" applyFont="1" applyFill="1" applyBorder="1" applyAlignment="1">
      <alignment horizontal="left" vertical="center"/>
    </xf>
    <xf numFmtId="3" fontId="13" fillId="0" borderId="12" xfId="0" applyNumberFormat="1" applyFont="1" applyBorder="1" applyAlignment="1">
      <alignment horizontal="left" vertical="center" wrapText="1"/>
    </xf>
    <xf numFmtId="0" fontId="0" fillId="0" borderId="13" xfId="0" applyFont="1" applyBorder="1" applyAlignment="1">
      <alignment horizontal="left" vertical="center" wrapText="1"/>
    </xf>
    <xf numFmtId="0" fontId="0" fillId="0" borderId="76" xfId="0" applyFont="1" applyBorder="1" applyAlignment="1">
      <alignment horizontal="left" vertical="center" wrapText="1"/>
    </xf>
    <xf numFmtId="3" fontId="19" fillId="0" borderId="31" xfId="0" applyNumberFormat="1" applyFont="1" applyBorder="1" applyAlignment="1">
      <alignment horizontal="left" vertical="center"/>
    </xf>
    <xf numFmtId="0" fontId="0" fillId="0" borderId="40" xfId="0" applyBorder="1" applyAlignment="1">
      <alignment horizontal="left" vertical="center"/>
    </xf>
    <xf numFmtId="0" fontId="0" fillId="0" borderId="56" xfId="0" applyBorder="1" applyAlignment="1">
      <alignment horizontal="left" vertical="center"/>
    </xf>
    <xf numFmtId="3" fontId="19" fillId="0" borderId="26" xfId="0" applyNumberFormat="1" applyFont="1" applyFill="1" applyBorder="1" applyAlignment="1">
      <alignment horizontal="left" vertical="center" wrapText="1"/>
    </xf>
    <xf numFmtId="3" fontId="19" fillId="0" borderId="52" xfId="0" applyNumberFormat="1" applyFont="1" applyFill="1" applyBorder="1" applyAlignment="1">
      <alignment horizontal="left" vertical="center" wrapText="1"/>
    </xf>
    <xf numFmtId="3" fontId="19" fillId="0" borderId="25" xfId="0" applyNumberFormat="1" applyFont="1" applyFill="1" applyBorder="1" applyAlignment="1">
      <alignment horizontal="left" vertical="center"/>
    </xf>
    <xf numFmtId="3" fontId="19" fillId="0" borderId="26" xfId="0" applyNumberFormat="1" applyFont="1" applyFill="1" applyBorder="1" applyAlignment="1">
      <alignment horizontal="left" vertical="center"/>
    </xf>
    <xf numFmtId="3" fontId="19" fillId="0" borderId="52" xfId="0" applyNumberFormat="1" applyFont="1" applyFill="1" applyBorder="1" applyAlignment="1">
      <alignment horizontal="left" vertical="center"/>
    </xf>
    <xf numFmtId="3" fontId="18" fillId="0" borderId="19" xfId="0" applyNumberFormat="1" applyFont="1" applyBorder="1" applyAlignment="1">
      <alignment horizontal="right" vertical="center" wrapText="1"/>
    </xf>
    <xf numFmtId="0" fontId="0" fillId="0" borderId="36" xfId="0" applyBorder="1" applyAlignment="1">
      <alignment horizontal="right" vertical="center" wrapText="1"/>
    </xf>
    <xf numFmtId="0" fontId="0" fillId="0" borderId="26" xfId="0" applyFont="1" applyBorder="1" applyAlignment="1">
      <alignment horizontal="left" vertical="center" wrapText="1"/>
    </xf>
    <xf numFmtId="0" fontId="0" fillId="0" borderId="52" xfId="0" applyFont="1" applyBorder="1" applyAlignment="1">
      <alignment horizontal="left" vertical="center" wrapText="1"/>
    </xf>
    <xf numFmtId="3" fontId="12" fillId="0" borderId="30" xfId="0" applyNumberFormat="1" applyFont="1" applyBorder="1" applyAlignment="1">
      <alignment horizontal="right" vertical="center"/>
    </xf>
    <xf numFmtId="3" fontId="18" fillId="0" borderId="19" xfId="0" applyNumberFormat="1" applyFont="1" applyBorder="1" applyAlignment="1">
      <alignment vertical="center" wrapText="1"/>
    </xf>
    <xf numFmtId="0" fontId="0" fillId="0" borderId="36" xfId="0" applyBorder="1" applyAlignment="1">
      <alignment vertical="center" wrapText="1"/>
    </xf>
    <xf numFmtId="0" fontId="0" fillId="0" borderId="29" xfId="0" applyFont="1" applyBorder="1" applyAlignment="1">
      <alignment horizontal="left" vertical="center" wrapText="1"/>
    </xf>
    <xf numFmtId="0" fontId="0" fillId="0" borderId="62" xfId="0" applyFont="1" applyBorder="1" applyAlignment="1">
      <alignment horizontal="left" vertical="center" wrapText="1"/>
    </xf>
    <xf numFmtId="3" fontId="13" fillId="0" borderId="15" xfId="0" applyNumberFormat="1" applyFont="1" applyBorder="1" applyAlignment="1">
      <alignment horizontal="left" vertical="center" wrapText="1"/>
    </xf>
    <xf numFmtId="0" fontId="0" fillId="0" borderId="0" xfId="0" applyFont="1" applyBorder="1" applyAlignment="1">
      <alignment horizontal="left" vertical="center" wrapText="1"/>
    </xf>
    <xf numFmtId="0" fontId="0" fillId="0" borderId="59" xfId="0" applyFont="1" applyBorder="1" applyAlignment="1">
      <alignment horizontal="left" vertical="center" wrapText="1"/>
    </xf>
    <xf numFmtId="0" fontId="0" fillId="0" borderId="17" xfId="0" applyFont="1" applyBorder="1" applyAlignment="1">
      <alignment horizontal="left" vertical="center" wrapText="1"/>
    </xf>
    <xf numFmtId="0" fontId="0" fillId="0" borderId="42" xfId="0" applyFont="1" applyBorder="1" applyAlignment="1">
      <alignment horizontal="left" vertical="center" wrapText="1"/>
    </xf>
    <xf numFmtId="0" fontId="0" fillId="0" borderId="78" xfId="0" applyFont="1" applyBorder="1" applyAlignment="1">
      <alignment horizontal="left" vertical="center" wrapText="1"/>
    </xf>
    <xf numFmtId="0" fontId="0" fillId="0" borderId="26" xfId="0" applyFont="1" applyBorder="1" applyAlignment="1">
      <alignment horizontal="left" vertical="center" wrapText="1"/>
    </xf>
    <xf numFmtId="0" fontId="0" fillId="0" borderId="52" xfId="0" applyFont="1" applyBorder="1" applyAlignment="1">
      <alignment horizontal="left" vertical="center" wrapText="1"/>
    </xf>
    <xf numFmtId="3" fontId="19" fillId="0" borderId="25" xfId="0" applyNumberFormat="1" applyFont="1" applyBorder="1" applyAlignment="1">
      <alignment vertical="center" wrapText="1"/>
    </xf>
    <xf numFmtId="0" fontId="0" fillId="0" borderId="26" xfId="0" applyBorder="1" applyAlignment="1">
      <alignment vertical="center" wrapText="1"/>
    </xf>
    <xf numFmtId="3" fontId="12" fillId="0" borderId="36" xfId="0" applyNumberFormat="1" applyFont="1" applyBorder="1" applyAlignment="1">
      <alignment horizontal="right" vertical="center"/>
    </xf>
    <xf numFmtId="3" fontId="19" fillId="0" borderId="28" xfId="0" applyNumberFormat="1" applyFont="1" applyBorder="1" applyAlignment="1">
      <alignment horizontal="left" vertical="center"/>
    </xf>
    <xf numFmtId="3" fontId="19" fillId="0" borderId="29" xfId="0" applyNumberFormat="1" applyFont="1" applyBorder="1" applyAlignment="1">
      <alignment horizontal="left" vertical="center"/>
    </xf>
    <xf numFmtId="3" fontId="19" fillId="0" borderId="62" xfId="0" applyNumberFormat="1" applyFont="1" applyBorder="1" applyAlignment="1">
      <alignment horizontal="left" vertical="center"/>
    </xf>
    <xf numFmtId="3" fontId="19" fillId="0" borderId="40" xfId="0" applyNumberFormat="1" applyFont="1" applyBorder="1" applyAlignment="1">
      <alignment horizontal="left" vertical="center"/>
    </xf>
    <xf numFmtId="3" fontId="19" fillId="0" borderId="56" xfId="0" applyNumberFormat="1" applyFont="1" applyBorder="1" applyAlignment="1">
      <alignment horizontal="left" vertical="center"/>
    </xf>
    <xf numFmtId="0" fontId="26" fillId="0" borderId="0" xfId="0" applyFont="1" applyBorder="1" applyAlignment="1">
      <alignment horizontal="right" vertical="center"/>
    </xf>
    <xf numFmtId="3" fontId="19" fillId="0" borderId="25" xfId="0" applyNumberFormat="1" applyFont="1" applyBorder="1" applyAlignment="1">
      <alignment horizontal="left" vertical="center"/>
    </xf>
    <xf numFmtId="0" fontId="18" fillId="0" borderId="26" xfId="0" applyFont="1" applyBorder="1" applyAlignment="1">
      <alignment horizontal="left" vertical="center"/>
    </xf>
    <xf numFmtId="0" fontId="0" fillId="0" borderId="29" xfId="0" applyBorder="1" applyAlignment="1">
      <alignment horizontal="left" vertical="center"/>
    </xf>
    <xf numFmtId="0" fontId="0" fillId="0" borderId="62" xfId="0" applyBorder="1" applyAlignment="1">
      <alignment horizontal="left" vertical="center"/>
    </xf>
    <xf numFmtId="0" fontId="0" fillId="0" borderId="31" xfId="0" applyBorder="1" applyAlignment="1">
      <alignment horizontal="left" vertical="center"/>
    </xf>
    <xf numFmtId="0" fontId="29" fillId="0" borderId="0" xfId="0" applyFont="1" applyAlignment="1">
      <alignment horizontal="left" vertical="center"/>
    </xf>
    <xf numFmtId="0" fontId="29" fillId="0" borderId="0" xfId="0" applyFont="1" applyAlignment="1">
      <alignment vertical="center"/>
    </xf>
    <xf numFmtId="0" fontId="10" fillId="0" borderId="0" xfId="0" applyFont="1" applyAlignment="1">
      <alignment horizontal="center" vertical="center"/>
    </xf>
    <xf numFmtId="3" fontId="26" fillId="0" borderId="13" xfId="0" applyNumberFormat="1" applyFont="1" applyBorder="1" applyAlignment="1">
      <alignment horizontal="right" vertical="center"/>
    </xf>
    <xf numFmtId="0" fontId="0" fillId="0" borderId="14" xfId="0" applyBorder="1" applyAlignment="1">
      <alignment horizontal="right" vertical="center"/>
    </xf>
    <xf numFmtId="0" fontId="26" fillId="0" borderId="38" xfId="0" applyFont="1" applyBorder="1" applyAlignment="1">
      <alignment horizontal="right" vertical="center"/>
    </xf>
    <xf numFmtId="0" fontId="0" fillId="0" borderId="81" xfId="0" applyBorder="1" applyAlignment="1">
      <alignment horizontal="right" vertical="center"/>
    </xf>
    <xf numFmtId="3" fontId="26" fillId="0" borderId="38" xfId="0" applyNumberFormat="1" applyFont="1" applyBorder="1" applyAlignment="1">
      <alignment horizontal="right" vertical="center"/>
    </xf>
    <xf numFmtId="0" fontId="0" fillId="0" borderId="67" xfId="0" applyBorder="1" applyAlignment="1">
      <alignment horizontal="right" vertical="center"/>
    </xf>
    <xf numFmtId="3" fontId="26" fillId="0" borderId="26" xfId="0" applyNumberFormat="1" applyFont="1" applyBorder="1" applyAlignment="1">
      <alignment horizontal="right" vertical="center"/>
    </xf>
    <xf numFmtId="0" fontId="0" fillId="0" borderId="52" xfId="0" applyBorder="1" applyAlignment="1">
      <alignment horizontal="right" vertical="center"/>
    </xf>
    <xf numFmtId="0" fontId="0" fillId="0" borderId="75" xfId="0" applyBorder="1" applyAlignment="1">
      <alignment horizontal="right" vertical="center"/>
    </xf>
    <xf numFmtId="0" fontId="26" fillId="0" borderId="13" xfId="0" applyFont="1" applyBorder="1" applyAlignment="1">
      <alignment horizontal="right" vertical="center"/>
    </xf>
    <xf numFmtId="0" fontId="0" fillId="0" borderId="13" xfId="0" applyBorder="1" applyAlignment="1">
      <alignment horizontal="right" vertical="center"/>
    </xf>
    <xf numFmtId="0" fontId="35" fillId="0" borderId="26" xfId="0" applyFont="1" applyBorder="1" applyAlignment="1">
      <alignment horizontal="left" vertical="center" wrapText="1"/>
    </xf>
    <xf numFmtId="0" fontId="35" fillId="0" borderId="52" xfId="0" applyFont="1" applyBorder="1" applyAlignment="1">
      <alignment horizontal="left" vertical="center" wrapText="1"/>
    </xf>
    <xf numFmtId="3" fontId="13" fillId="0" borderId="28" xfId="0" applyNumberFormat="1" applyFont="1" applyBorder="1" applyAlignment="1">
      <alignment horizontal="left" vertical="center" wrapText="1"/>
    </xf>
    <xf numFmtId="0" fontId="0" fillId="0" borderId="29" xfId="0" applyFont="1" applyBorder="1" applyAlignment="1">
      <alignment horizontal="left" vertical="center" wrapText="1"/>
    </xf>
    <xf numFmtId="0" fontId="0" fillId="0" borderId="62" xfId="0" applyFont="1" applyBorder="1" applyAlignment="1">
      <alignment horizontal="left" vertical="center" wrapText="1"/>
    </xf>
    <xf numFmtId="0" fontId="0" fillId="0" borderId="31" xfId="0" applyFont="1" applyBorder="1" applyAlignment="1">
      <alignment horizontal="left" vertical="center" wrapText="1"/>
    </xf>
    <xf numFmtId="0" fontId="0" fillId="0" borderId="40" xfId="0" applyFont="1" applyBorder="1" applyAlignment="1">
      <alignment horizontal="left" vertical="center" wrapText="1"/>
    </xf>
    <xf numFmtId="0" fontId="0" fillId="0" borderId="56" xfId="0" applyFont="1" applyBorder="1" applyAlignment="1">
      <alignment horizontal="left" vertical="center" wrapText="1"/>
    </xf>
    <xf numFmtId="0" fontId="0" fillId="0" borderId="36" xfId="0" applyFont="1" applyBorder="1" applyAlignment="1">
      <alignment horizontal="right" vertical="center" wrapText="1"/>
    </xf>
    <xf numFmtId="0" fontId="0" fillId="0" borderId="31" xfId="0" applyFont="1" applyBorder="1" applyAlignment="1">
      <alignment horizontal="left" vertical="center" wrapText="1"/>
    </xf>
    <xf numFmtId="0" fontId="0" fillId="0" borderId="40" xfId="0" applyFont="1" applyBorder="1" applyAlignment="1">
      <alignment horizontal="left" vertical="center" wrapText="1"/>
    </xf>
    <xf numFmtId="0" fontId="14" fillId="0" borderId="0" xfId="0" applyFont="1" applyAlignment="1">
      <alignment horizontal="left" vertical="center"/>
    </xf>
    <xf numFmtId="3" fontId="19" fillId="0" borderId="26" xfId="0" applyNumberFormat="1" applyFont="1" applyBorder="1" applyAlignment="1">
      <alignment horizontal="left" vertical="center"/>
    </xf>
    <xf numFmtId="3" fontId="19" fillId="0" borderId="52" xfId="0" applyNumberFormat="1" applyFont="1" applyBorder="1" applyAlignment="1">
      <alignment horizontal="left" vertical="center"/>
    </xf>
    <xf numFmtId="3" fontId="19" fillId="0" borderId="25" xfId="0" applyNumberFormat="1" applyFont="1" applyFill="1" applyBorder="1" applyAlignment="1">
      <alignment vertical="center" wrapText="1"/>
    </xf>
    <xf numFmtId="0" fontId="0" fillId="0" borderId="26" xfId="0" applyFill="1" applyBorder="1" applyAlignment="1">
      <alignment vertical="center" wrapText="1"/>
    </xf>
    <xf numFmtId="0" fontId="0" fillId="0" borderId="0" xfId="0" applyAlignment="1">
      <alignment horizontal="left" vertical="center"/>
    </xf>
    <xf numFmtId="3" fontId="13" fillId="0" borderId="31" xfId="0" applyNumberFormat="1" applyFont="1" applyBorder="1" applyAlignment="1">
      <alignment horizontal="left" vertical="center" wrapText="1"/>
    </xf>
    <xf numFmtId="0" fontId="0" fillId="0" borderId="56" xfId="0" applyFont="1" applyBorder="1" applyAlignment="1">
      <alignment horizontal="left" vertical="center" wrapText="1"/>
    </xf>
    <xf numFmtId="0" fontId="0" fillId="0" borderId="26"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26" xfId="0" applyFont="1" applyBorder="1" applyAlignment="1">
      <alignment horizontal="left" vertical="center" wrapText="1"/>
    </xf>
    <xf numFmtId="0" fontId="0" fillId="0" borderId="52" xfId="0" applyFont="1" applyBorder="1" applyAlignment="1">
      <alignment horizontal="left" vertical="center" wrapText="1"/>
    </xf>
    <xf numFmtId="3" fontId="19" fillId="0" borderId="31" xfId="0" applyNumberFormat="1" applyFont="1" applyFill="1" applyBorder="1" applyAlignment="1">
      <alignment horizontal="left" vertical="center" wrapText="1"/>
    </xf>
    <xf numFmtId="0" fontId="0" fillId="0" borderId="40" xfId="0" applyFill="1" applyBorder="1" applyAlignment="1">
      <alignment horizontal="left" vertical="center" wrapText="1"/>
    </xf>
    <xf numFmtId="0" fontId="0" fillId="0" borderId="56" xfId="0" applyFill="1" applyBorder="1" applyAlignment="1">
      <alignment horizontal="left" vertical="center" wrapText="1"/>
    </xf>
    <xf numFmtId="0" fontId="19" fillId="36" borderId="46" xfId="0" applyFont="1" applyFill="1" applyBorder="1" applyAlignment="1">
      <alignment horizontal="left" vertical="center" wrapText="1"/>
    </xf>
    <xf numFmtId="0" fontId="19" fillId="36" borderId="34" xfId="0" applyFont="1" applyFill="1" applyBorder="1" applyAlignment="1">
      <alignment horizontal="left" vertical="center" wrapText="1"/>
    </xf>
    <xf numFmtId="3" fontId="13" fillId="0" borderId="28" xfId="0" applyNumberFormat="1" applyFont="1" applyBorder="1" applyAlignment="1">
      <alignment vertical="center" wrapText="1"/>
    </xf>
    <xf numFmtId="0" fontId="0" fillId="0" borderId="29" xfId="0" applyFont="1" applyBorder="1" applyAlignment="1">
      <alignment vertical="center" wrapText="1"/>
    </xf>
    <xf numFmtId="0" fontId="0" fillId="0" borderId="62" xfId="0" applyFont="1" applyBorder="1" applyAlignment="1">
      <alignment vertical="center" wrapText="1"/>
    </xf>
    <xf numFmtId="0" fontId="0" fillId="0" borderId="31" xfId="0" applyFont="1" applyBorder="1" applyAlignment="1">
      <alignment vertical="center" wrapText="1"/>
    </xf>
    <xf numFmtId="0" fontId="0" fillId="0" borderId="40" xfId="0" applyFont="1" applyBorder="1" applyAlignment="1">
      <alignment vertical="center" wrapText="1"/>
    </xf>
    <xf numFmtId="0" fontId="0" fillId="0" borderId="56" xfId="0" applyFont="1" applyBorder="1" applyAlignment="1">
      <alignment vertical="center" wrapText="1"/>
    </xf>
    <xf numFmtId="0" fontId="19" fillId="36" borderId="45" xfId="0" applyFont="1" applyFill="1" applyBorder="1" applyAlignment="1">
      <alignment horizontal="left" vertical="center" wrapText="1"/>
    </xf>
    <xf numFmtId="3" fontId="19" fillId="36" borderId="28" xfId="0" applyNumberFormat="1" applyFont="1" applyFill="1" applyBorder="1" applyAlignment="1">
      <alignment horizontal="left" vertical="center" wrapText="1"/>
    </xf>
    <xf numFmtId="0" fontId="0" fillId="36" borderId="29" xfId="0" applyFill="1" applyBorder="1" applyAlignment="1">
      <alignment horizontal="left" vertical="center" wrapText="1"/>
    </xf>
    <xf numFmtId="0" fontId="0" fillId="36" borderId="62" xfId="0" applyFill="1" applyBorder="1" applyAlignment="1">
      <alignment horizontal="left" vertical="center" wrapText="1"/>
    </xf>
    <xf numFmtId="0" fontId="0" fillId="36" borderId="31" xfId="0" applyFill="1" applyBorder="1" applyAlignment="1">
      <alignment horizontal="left" vertical="center" wrapText="1"/>
    </xf>
    <xf numFmtId="0" fontId="0" fillId="36" borderId="40" xfId="0" applyFill="1" applyBorder="1" applyAlignment="1">
      <alignment horizontal="left" vertical="center" wrapText="1"/>
    </xf>
    <xf numFmtId="0" fontId="0" fillId="36" borderId="56" xfId="0" applyFill="1" applyBorder="1" applyAlignment="1">
      <alignment horizontal="left" vertical="center" wrapText="1"/>
    </xf>
    <xf numFmtId="3" fontId="19" fillId="36" borderId="25" xfId="0" applyNumberFormat="1" applyFont="1" applyFill="1" applyBorder="1" applyAlignment="1">
      <alignment vertical="center" wrapText="1"/>
    </xf>
    <xf numFmtId="0" fontId="0" fillId="36" borderId="26" xfId="0" applyFill="1" applyBorder="1" applyAlignment="1">
      <alignment vertical="center" wrapText="1"/>
    </xf>
    <xf numFmtId="3" fontId="18" fillId="36" borderId="30" xfId="0" applyNumberFormat="1" applyFont="1" applyFill="1" applyBorder="1" applyAlignment="1">
      <alignment horizontal="right" vertical="center"/>
    </xf>
    <xf numFmtId="0" fontId="0" fillId="36" borderId="36" xfId="0" applyFill="1" applyBorder="1" applyAlignment="1">
      <alignment horizontal="right" vertical="center"/>
    </xf>
    <xf numFmtId="3" fontId="18" fillId="36" borderId="30" xfId="0" applyNumberFormat="1" applyFont="1" applyFill="1" applyBorder="1" applyAlignment="1">
      <alignment horizontal="right" vertical="center" wrapText="1"/>
    </xf>
    <xf numFmtId="3" fontId="18" fillId="36" borderId="41" xfId="0" applyNumberFormat="1" applyFont="1" applyFill="1" applyBorder="1" applyAlignment="1">
      <alignment horizontal="right" vertical="center" wrapText="1"/>
    </xf>
    <xf numFmtId="3" fontId="18" fillId="36" borderId="36" xfId="0" applyNumberFormat="1" applyFont="1" applyFill="1" applyBorder="1" applyAlignment="1">
      <alignment horizontal="right" vertical="center" wrapText="1"/>
    </xf>
    <xf numFmtId="3" fontId="13" fillId="0" borderId="29" xfId="0" applyNumberFormat="1" applyFont="1" applyBorder="1" applyAlignment="1">
      <alignment horizontal="left" vertical="center" wrapText="1"/>
    </xf>
    <xf numFmtId="3" fontId="13" fillId="0" borderId="62" xfId="0" applyNumberFormat="1" applyFont="1" applyBorder="1" applyAlignment="1">
      <alignment horizontal="left" vertical="center" wrapText="1"/>
    </xf>
    <xf numFmtId="0" fontId="19" fillId="0" borderId="46" xfId="0" applyFont="1" applyFill="1" applyBorder="1" applyAlignment="1">
      <alignment horizontal="left" vertical="center" wrapText="1"/>
    </xf>
    <xf numFmtId="0" fontId="19" fillId="0" borderId="34" xfId="0" applyFont="1" applyFill="1" applyBorder="1" applyAlignment="1">
      <alignment horizontal="left" vertical="center" wrapText="1"/>
    </xf>
    <xf numFmtId="3" fontId="19" fillId="0" borderId="28" xfId="0" applyNumberFormat="1" applyFont="1" applyFill="1" applyBorder="1" applyAlignment="1">
      <alignment horizontal="left" vertical="center" wrapText="1"/>
    </xf>
    <xf numFmtId="0" fontId="0" fillId="0" borderId="29" xfId="0" applyFill="1" applyBorder="1" applyAlignment="1">
      <alignment horizontal="left" vertical="center" wrapText="1"/>
    </xf>
    <xf numFmtId="0" fontId="0" fillId="0" borderId="62" xfId="0" applyFill="1" applyBorder="1" applyAlignment="1">
      <alignment horizontal="left" vertical="center" wrapText="1"/>
    </xf>
    <xf numFmtId="3" fontId="31" fillId="0" borderId="28" xfId="0" applyNumberFormat="1" applyFont="1" applyFill="1" applyBorder="1" applyAlignment="1">
      <alignment horizontal="center" vertical="center"/>
    </xf>
    <xf numFmtId="3" fontId="31" fillId="0" borderId="29" xfId="0" applyNumberFormat="1" applyFont="1" applyFill="1" applyBorder="1" applyAlignment="1">
      <alignment horizontal="center" vertical="center"/>
    </xf>
    <xf numFmtId="3" fontId="31" fillId="0" borderId="62" xfId="0" applyNumberFormat="1" applyFont="1" applyFill="1" applyBorder="1" applyAlignment="1">
      <alignment horizontal="center" vertical="center"/>
    </xf>
    <xf numFmtId="3" fontId="31" fillId="0" borderId="31" xfId="0" applyNumberFormat="1" applyFont="1" applyFill="1" applyBorder="1" applyAlignment="1">
      <alignment horizontal="center" vertical="center"/>
    </xf>
    <xf numFmtId="3" fontId="31" fillId="0" borderId="40" xfId="0" applyNumberFormat="1" applyFont="1" applyFill="1" applyBorder="1" applyAlignment="1">
      <alignment horizontal="center" vertical="center"/>
    </xf>
    <xf numFmtId="3" fontId="31" fillId="0" borderId="56" xfId="0" applyNumberFormat="1" applyFont="1" applyFill="1" applyBorder="1" applyAlignment="1">
      <alignment horizontal="center" vertical="center"/>
    </xf>
    <xf numFmtId="3" fontId="19" fillId="36" borderId="28" xfId="0" applyNumberFormat="1" applyFont="1" applyFill="1" applyBorder="1" applyAlignment="1">
      <alignment horizontal="left" vertical="center"/>
    </xf>
    <xf numFmtId="3" fontId="19" fillId="36" borderId="29" xfId="0" applyNumberFormat="1" applyFont="1" applyFill="1" applyBorder="1" applyAlignment="1">
      <alignment horizontal="left" vertical="center"/>
    </xf>
    <xf numFmtId="3" fontId="19" fillId="36" borderId="62" xfId="0" applyNumberFormat="1" applyFont="1" applyFill="1" applyBorder="1" applyAlignment="1">
      <alignment horizontal="left" vertical="center"/>
    </xf>
    <xf numFmtId="3" fontId="19" fillId="36" borderId="31" xfId="0" applyNumberFormat="1" applyFont="1" applyFill="1" applyBorder="1" applyAlignment="1">
      <alignment horizontal="left" vertical="center"/>
    </xf>
    <xf numFmtId="3" fontId="19" fillId="36" borderId="40" xfId="0" applyNumberFormat="1" applyFont="1" applyFill="1" applyBorder="1" applyAlignment="1">
      <alignment horizontal="left" vertical="center"/>
    </xf>
    <xf numFmtId="3" fontId="19" fillId="36" borderId="56" xfId="0" applyNumberFormat="1" applyFont="1" applyFill="1" applyBorder="1" applyAlignment="1">
      <alignment horizontal="left" vertical="center"/>
    </xf>
    <xf numFmtId="3" fontId="18" fillId="36" borderId="30" xfId="0" applyNumberFormat="1" applyFont="1" applyFill="1" applyBorder="1" applyAlignment="1">
      <alignment vertical="center"/>
    </xf>
    <xf numFmtId="0" fontId="0" fillId="36" borderId="36" xfId="0" applyFill="1" applyBorder="1" applyAlignment="1">
      <alignment vertical="center"/>
    </xf>
    <xf numFmtId="0" fontId="35" fillId="36" borderId="26" xfId="0" applyFont="1" applyFill="1" applyBorder="1" applyAlignment="1">
      <alignment horizontal="left" vertical="center" wrapText="1"/>
    </xf>
    <xf numFmtId="0" fontId="35" fillId="36" borderId="52" xfId="0" applyFont="1" applyFill="1" applyBorder="1" applyAlignment="1">
      <alignment horizontal="left" vertical="center" wrapText="1"/>
    </xf>
    <xf numFmtId="3" fontId="12" fillId="0" borderId="30" xfId="0" applyNumberFormat="1" applyFont="1" applyFill="1" applyBorder="1" applyAlignment="1">
      <alignment horizontal="right" vertical="center"/>
    </xf>
    <xf numFmtId="3" fontId="12" fillId="0" borderId="36" xfId="0" applyNumberFormat="1" applyFont="1" applyFill="1" applyBorder="1" applyAlignment="1">
      <alignment horizontal="right" vertical="center"/>
    </xf>
    <xf numFmtId="3" fontId="13" fillId="0" borderId="28" xfId="0" applyNumberFormat="1"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56" xfId="0" applyFont="1" applyFill="1" applyBorder="1" applyAlignment="1">
      <alignment horizontal="left" vertical="center" wrapText="1"/>
    </xf>
    <xf numFmtId="3" fontId="12" fillId="0" borderId="30" xfId="0" applyNumberFormat="1" applyFont="1" applyFill="1" applyBorder="1" applyAlignment="1">
      <alignment horizontal="right" vertical="center" wrapText="1"/>
    </xf>
    <xf numFmtId="0" fontId="0" fillId="0" borderId="36" xfId="0" applyFont="1" applyFill="1" applyBorder="1" applyAlignment="1">
      <alignment horizontal="right" vertical="center" wrapText="1"/>
    </xf>
    <xf numFmtId="3" fontId="13" fillId="36" borderId="28" xfId="0" applyNumberFormat="1" applyFont="1" applyFill="1" applyBorder="1" applyAlignment="1">
      <alignment horizontal="left" vertical="center" wrapText="1"/>
    </xf>
    <xf numFmtId="0" fontId="0" fillId="36" borderId="29" xfId="0" applyFont="1" applyFill="1" applyBorder="1" applyAlignment="1">
      <alignment horizontal="left" vertical="center" wrapText="1"/>
    </xf>
    <xf numFmtId="0" fontId="0" fillId="36" borderId="62" xfId="0" applyFont="1" applyFill="1" applyBorder="1" applyAlignment="1">
      <alignment horizontal="left" vertical="center" wrapText="1"/>
    </xf>
    <xf numFmtId="3" fontId="13" fillId="36" borderId="15" xfId="0" applyNumberFormat="1" applyFont="1" applyFill="1" applyBorder="1" applyAlignment="1">
      <alignment horizontal="left" vertical="center" wrapText="1"/>
    </xf>
    <xf numFmtId="0" fontId="0" fillId="36" borderId="0" xfId="0" applyFont="1" applyFill="1" applyBorder="1" applyAlignment="1">
      <alignment horizontal="left" vertical="center" wrapText="1"/>
    </xf>
    <xf numFmtId="0" fontId="0" fillId="36" borderId="59" xfId="0" applyFont="1" applyFill="1" applyBorder="1" applyAlignment="1">
      <alignment horizontal="left" vertical="center" wrapText="1"/>
    </xf>
    <xf numFmtId="0" fontId="0" fillId="36" borderId="31" xfId="0" applyFont="1" applyFill="1" applyBorder="1" applyAlignment="1">
      <alignment horizontal="left" vertical="center" wrapText="1"/>
    </xf>
    <xf numFmtId="0" fontId="0" fillId="36" borderId="40" xfId="0" applyFont="1" applyFill="1" applyBorder="1" applyAlignment="1">
      <alignment horizontal="left" vertical="center" wrapText="1"/>
    </xf>
    <xf numFmtId="0" fontId="0" fillId="36" borderId="56" xfId="0" applyFont="1" applyFill="1" applyBorder="1" applyAlignment="1">
      <alignment horizontal="left" vertical="center" wrapText="1"/>
    </xf>
    <xf numFmtId="3" fontId="19" fillId="0" borderId="22" xfId="0" applyNumberFormat="1" applyFont="1" applyBorder="1" applyAlignment="1">
      <alignment vertical="center" wrapText="1"/>
    </xf>
    <xf numFmtId="0" fontId="0" fillId="0" borderId="23" xfId="0" applyBorder="1" applyAlignment="1">
      <alignment vertical="center" wrapText="1"/>
    </xf>
    <xf numFmtId="3" fontId="13" fillId="0" borderId="40" xfId="0" applyNumberFormat="1" applyFont="1" applyBorder="1" applyAlignment="1">
      <alignment horizontal="left" vertical="center" wrapText="1"/>
    </xf>
    <xf numFmtId="3" fontId="13" fillId="0" borderId="56" xfId="0" applyNumberFormat="1" applyFont="1" applyBorder="1" applyAlignment="1">
      <alignment horizontal="left" vertical="center" wrapText="1"/>
    </xf>
    <xf numFmtId="3" fontId="13" fillId="33" borderId="25" xfId="0" applyNumberFormat="1" applyFont="1" applyFill="1" applyBorder="1" applyAlignment="1">
      <alignment horizontal="left" vertical="center" wrapText="1"/>
    </xf>
    <xf numFmtId="3" fontId="13" fillId="33" borderId="26" xfId="0" applyNumberFormat="1" applyFont="1" applyFill="1" applyBorder="1" applyAlignment="1">
      <alignment horizontal="left" vertical="center" wrapText="1"/>
    </xf>
    <xf numFmtId="3" fontId="13" fillId="33" borderId="52" xfId="0" applyNumberFormat="1" applyFont="1" applyFill="1" applyBorder="1" applyAlignment="1">
      <alignment horizontal="left" vertical="center" wrapText="1"/>
    </xf>
    <xf numFmtId="0" fontId="9" fillId="0" borderId="18" xfId="0" applyFont="1" applyBorder="1" applyAlignment="1">
      <alignment horizontal="center" vertical="center" wrapText="1"/>
    </xf>
    <xf numFmtId="0" fontId="4" fillId="0" borderId="20" xfId="0" applyFont="1" applyBorder="1" applyAlignment="1">
      <alignment horizontal="center" vertical="center" wrapText="1"/>
    </xf>
    <xf numFmtId="3" fontId="19" fillId="36" borderId="29" xfId="0" applyNumberFormat="1" applyFont="1" applyFill="1" applyBorder="1" applyAlignment="1">
      <alignment horizontal="left" vertical="center" wrapText="1"/>
    </xf>
    <xf numFmtId="3" fontId="19" fillId="36" borderId="62" xfId="0" applyNumberFormat="1" applyFont="1" applyFill="1" applyBorder="1" applyAlignment="1">
      <alignment horizontal="left" vertical="center" wrapText="1"/>
    </xf>
    <xf numFmtId="3" fontId="19" fillId="36" borderId="15" xfId="0" applyNumberFormat="1" applyFont="1" applyFill="1" applyBorder="1" applyAlignment="1">
      <alignment horizontal="left" vertical="center" wrapText="1"/>
    </xf>
    <xf numFmtId="3" fontId="19" fillId="36" borderId="0" xfId="0" applyNumberFormat="1" applyFont="1" applyFill="1" applyBorder="1" applyAlignment="1">
      <alignment horizontal="left" vertical="center" wrapText="1"/>
    </xf>
    <xf numFmtId="3" fontId="19" fillId="36" borderId="59" xfId="0" applyNumberFormat="1" applyFont="1" applyFill="1" applyBorder="1" applyAlignment="1">
      <alignment horizontal="left" vertical="center" wrapText="1"/>
    </xf>
    <xf numFmtId="3" fontId="19" fillId="36" borderId="31" xfId="0" applyNumberFormat="1" applyFont="1" applyFill="1" applyBorder="1" applyAlignment="1">
      <alignment horizontal="left" vertical="center" wrapText="1"/>
    </xf>
    <xf numFmtId="3" fontId="19" fillId="36" borderId="40" xfId="0" applyNumberFormat="1" applyFont="1" applyFill="1" applyBorder="1" applyAlignment="1">
      <alignment horizontal="left" vertical="center" wrapText="1"/>
    </xf>
    <xf numFmtId="3" fontId="19" fillId="36" borderId="56" xfId="0" applyNumberFormat="1" applyFont="1" applyFill="1" applyBorder="1" applyAlignment="1">
      <alignment horizontal="left" vertical="center" wrapText="1"/>
    </xf>
    <xf numFmtId="3" fontId="13" fillId="0" borderId="25" xfId="0" applyNumberFormat="1" applyFont="1" applyBorder="1" applyAlignment="1">
      <alignment horizontal="left" vertical="center"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V256"/>
  <sheetViews>
    <sheetView showGridLines="0" zoomScalePageLayoutView="0" workbookViewId="0" topLeftCell="D234">
      <selection activeCell="D234" sqref="A1:IV16384"/>
    </sheetView>
  </sheetViews>
  <sheetFormatPr defaultColWidth="9.00390625" defaultRowHeight="12.75"/>
  <cols>
    <col min="1" max="1" width="35.25390625" style="8" customWidth="1"/>
    <col min="2" max="7" width="7.125" style="8" customWidth="1"/>
    <col min="8" max="8" width="7.625" style="8" customWidth="1"/>
    <col min="9" max="9" width="7.875" style="8" customWidth="1"/>
    <col min="10" max="13" width="7.125" style="8" customWidth="1"/>
    <col min="14" max="14" width="7.75390625" style="8" customWidth="1"/>
    <col min="15" max="15" width="7.125" style="8" customWidth="1"/>
    <col min="16" max="16" width="7.625" style="8" customWidth="1"/>
    <col min="17" max="17" width="7.125" style="8" customWidth="1"/>
    <col min="18" max="18" width="7.875" style="8" customWidth="1"/>
    <col min="19" max="20" width="7.125" style="8" customWidth="1"/>
    <col min="21" max="21" width="7.25390625" style="8" customWidth="1"/>
    <col min="22" max="22" width="7.875" style="8" customWidth="1"/>
    <col min="23" max="16384" width="9.125" style="8" customWidth="1"/>
  </cols>
  <sheetData>
    <row r="1" spans="1:22" ht="12.75" customHeight="1">
      <c r="A1" s="154"/>
      <c r="B1" s="155" t="s">
        <v>19</v>
      </c>
      <c r="C1" s="156"/>
      <c r="D1" s="155" t="s">
        <v>19</v>
      </c>
      <c r="E1" s="155"/>
      <c r="F1" s="155" t="s">
        <v>19</v>
      </c>
      <c r="G1" s="155"/>
      <c r="H1" s="155"/>
      <c r="I1" s="155"/>
      <c r="J1" s="155"/>
      <c r="K1" s="155"/>
      <c r="L1" s="155"/>
      <c r="M1" s="155" t="s">
        <v>19</v>
      </c>
      <c r="N1" s="155"/>
      <c r="O1" s="155"/>
      <c r="P1" s="155"/>
      <c r="Q1" s="155"/>
      <c r="R1" s="617" t="s">
        <v>154</v>
      </c>
      <c r="S1" s="617"/>
      <c r="T1" s="617"/>
      <c r="U1" s="617"/>
      <c r="V1" s="617"/>
    </row>
    <row r="2" spans="1:22" ht="12.75" customHeight="1">
      <c r="A2" s="157" t="s">
        <v>19</v>
      </c>
      <c r="B2" s="158" t="s">
        <v>19</v>
      </c>
      <c r="C2" s="158" t="s">
        <v>19</v>
      </c>
      <c r="D2" s="158"/>
      <c r="E2" s="158"/>
      <c r="F2" s="159"/>
      <c r="G2" s="158"/>
      <c r="H2" s="158"/>
      <c r="I2" s="158"/>
      <c r="J2" s="158"/>
      <c r="K2" s="158"/>
      <c r="L2" s="158"/>
      <c r="M2" s="158"/>
      <c r="N2" s="158"/>
      <c r="O2" s="158"/>
      <c r="P2" s="158"/>
      <c r="Q2" s="158"/>
      <c r="R2" s="618" t="s">
        <v>105</v>
      </c>
      <c r="S2" s="618"/>
      <c r="T2" s="618"/>
      <c r="U2" s="618"/>
      <c r="V2" s="618"/>
    </row>
    <row r="3" spans="1:22" ht="16.5" customHeight="1">
      <c r="A3" s="619" t="s">
        <v>147</v>
      </c>
      <c r="B3" s="619"/>
      <c r="C3" s="619"/>
      <c r="D3" s="619"/>
      <c r="E3" s="619"/>
      <c r="F3" s="619"/>
      <c r="G3" s="619"/>
      <c r="H3" s="619"/>
      <c r="I3" s="619"/>
      <c r="J3" s="619"/>
      <c r="K3" s="619"/>
      <c r="L3" s="619"/>
      <c r="M3" s="619"/>
      <c r="N3" s="619"/>
      <c r="O3" s="619"/>
      <c r="P3" s="619"/>
      <c r="Q3" s="619"/>
      <c r="R3" s="619"/>
      <c r="S3" s="619"/>
      <c r="T3" s="619"/>
      <c r="U3" s="619"/>
      <c r="V3" s="619"/>
    </row>
    <row r="4" spans="1:22" ht="15" customHeight="1" thickBot="1">
      <c r="A4" s="160" t="s">
        <v>54</v>
      </c>
      <c r="B4" s="161"/>
      <c r="C4" s="161"/>
      <c r="D4" s="162"/>
      <c r="E4" s="162"/>
      <c r="F4" s="162"/>
      <c r="G4" s="162"/>
      <c r="H4" s="162"/>
      <c r="I4" s="162"/>
      <c r="J4" s="162"/>
      <c r="K4" s="162"/>
      <c r="L4" s="162"/>
      <c r="M4" s="162"/>
      <c r="N4" s="162"/>
      <c r="O4" s="162"/>
      <c r="P4" s="162"/>
      <c r="Q4" s="162"/>
      <c r="R4" s="162"/>
      <c r="S4" s="162"/>
      <c r="T4" s="162"/>
      <c r="U4" s="162"/>
      <c r="V4" s="163" t="s">
        <v>11</v>
      </c>
    </row>
    <row r="5" spans="1:22" ht="12.75">
      <c r="A5" s="3"/>
      <c r="B5" s="4" t="s">
        <v>12</v>
      </c>
      <c r="C5" s="5"/>
      <c r="D5" s="5"/>
      <c r="E5" s="5"/>
      <c r="F5" s="5"/>
      <c r="G5" s="5"/>
      <c r="H5" s="5"/>
      <c r="I5" s="6"/>
      <c r="J5" s="4" t="s">
        <v>13</v>
      </c>
      <c r="K5" s="5"/>
      <c r="L5" s="7"/>
      <c r="M5" s="5"/>
      <c r="N5" s="6"/>
      <c r="O5" s="504" t="s">
        <v>14</v>
      </c>
      <c r="P5" s="505"/>
      <c r="Q5" s="505"/>
      <c r="R5" s="506"/>
      <c r="S5" s="504" t="s">
        <v>15</v>
      </c>
      <c r="T5" s="507"/>
      <c r="U5" s="507"/>
      <c r="V5" s="508"/>
    </row>
    <row r="6" spans="1:23" s="13" customFormat="1" ht="14.25" customHeight="1">
      <c r="A6" s="9" t="s">
        <v>3</v>
      </c>
      <c r="B6" s="487" t="s">
        <v>149</v>
      </c>
      <c r="C6" s="499" t="s">
        <v>150</v>
      </c>
      <c r="D6" s="484" t="s">
        <v>81</v>
      </c>
      <c r="E6" s="10" t="s">
        <v>16</v>
      </c>
      <c r="F6" s="10"/>
      <c r="G6" s="10"/>
      <c r="H6" s="11"/>
      <c r="I6" s="490" t="s">
        <v>196</v>
      </c>
      <c r="J6" s="487" t="s">
        <v>149</v>
      </c>
      <c r="K6" s="499" t="s">
        <v>197</v>
      </c>
      <c r="L6" s="484" t="s">
        <v>83</v>
      </c>
      <c r="M6" s="496" t="s">
        <v>84</v>
      </c>
      <c r="N6" s="490" t="s">
        <v>151</v>
      </c>
      <c r="O6" s="487" t="s">
        <v>152</v>
      </c>
      <c r="P6" s="493" t="s">
        <v>153</v>
      </c>
      <c r="Q6" s="496" t="s">
        <v>84</v>
      </c>
      <c r="R6" s="490" t="s">
        <v>196</v>
      </c>
      <c r="S6" s="487" t="s">
        <v>152</v>
      </c>
      <c r="T6" s="493" t="s">
        <v>153</v>
      </c>
      <c r="U6" s="496" t="s">
        <v>84</v>
      </c>
      <c r="V6" s="490" t="s">
        <v>196</v>
      </c>
      <c r="W6" s="12" t="s">
        <v>19</v>
      </c>
    </row>
    <row r="7" spans="1:22" ht="12.75" customHeight="1">
      <c r="A7" s="14"/>
      <c r="B7" s="488"/>
      <c r="C7" s="500" t="s">
        <v>33</v>
      </c>
      <c r="D7" s="485"/>
      <c r="E7" s="502" t="s">
        <v>90</v>
      </c>
      <c r="F7" s="502" t="s">
        <v>62</v>
      </c>
      <c r="G7" s="502" t="s">
        <v>63</v>
      </c>
      <c r="H7" s="496" t="s">
        <v>82</v>
      </c>
      <c r="I7" s="491"/>
      <c r="J7" s="488"/>
      <c r="K7" s="500" t="s">
        <v>33</v>
      </c>
      <c r="L7" s="485"/>
      <c r="M7" s="497"/>
      <c r="N7" s="491"/>
      <c r="O7" s="488"/>
      <c r="P7" s="494"/>
      <c r="Q7" s="497"/>
      <c r="R7" s="491"/>
      <c r="S7" s="488"/>
      <c r="T7" s="494"/>
      <c r="U7" s="497"/>
      <c r="V7" s="491"/>
    </row>
    <row r="8" spans="1:22" ht="53.25" customHeight="1" thickBot="1">
      <c r="A8" s="15" t="s">
        <v>19</v>
      </c>
      <c r="B8" s="489"/>
      <c r="C8" s="501" t="s">
        <v>61</v>
      </c>
      <c r="D8" s="486"/>
      <c r="E8" s="503"/>
      <c r="F8" s="503"/>
      <c r="G8" s="503"/>
      <c r="H8" s="498"/>
      <c r="I8" s="492"/>
      <c r="J8" s="489"/>
      <c r="K8" s="501" t="s">
        <v>61</v>
      </c>
      <c r="L8" s="486"/>
      <c r="M8" s="498"/>
      <c r="N8" s="492"/>
      <c r="O8" s="489"/>
      <c r="P8" s="495"/>
      <c r="Q8" s="498"/>
      <c r="R8" s="492"/>
      <c r="S8" s="489"/>
      <c r="T8" s="495"/>
      <c r="U8" s="498"/>
      <c r="V8" s="492"/>
    </row>
    <row r="9" spans="1:22" s="42" customFormat="1" ht="13.5" thickBot="1">
      <c r="A9" s="164"/>
      <c r="B9" s="165">
        <f aca="true" t="shared" si="0" ref="B9:V9">SUM(B10+B25+B40+B64+B81+B83+B85+B96+B98+B101+B103+B105+B107)</f>
        <v>46924</v>
      </c>
      <c r="C9" s="165">
        <f t="shared" si="0"/>
        <v>38609</v>
      </c>
      <c r="D9" s="165">
        <f t="shared" si="0"/>
        <v>73747</v>
      </c>
      <c r="E9" s="165">
        <f t="shared" si="0"/>
        <v>32879</v>
      </c>
      <c r="F9" s="165">
        <f t="shared" si="0"/>
        <v>8276</v>
      </c>
      <c r="G9" s="165">
        <f t="shared" si="0"/>
        <v>10343</v>
      </c>
      <c r="H9" s="165">
        <f t="shared" si="0"/>
        <v>82570</v>
      </c>
      <c r="I9" s="165">
        <f t="shared" si="0"/>
        <v>38101</v>
      </c>
      <c r="J9" s="165">
        <f t="shared" si="0"/>
        <v>35503</v>
      </c>
      <c r="K9" s="165">
        <f t="shared" si="0"/>
        <v>27951</v>
      </c>
      <c r="L9" s="165">
        <f t="shared" si="0"/>
        <v>8435</v>
      </c>
      <c r="M9" s="165">
        <f t="shared" si="0"/>
        <v>19461</v>
      </c>
      <c r="N9" s="165">
        <f t="shared" si="0"/>
        <v>24477</v>
      </c>
      <c r="O9" s="165">
        <f t="shared" si="0"/>
        <v>26547</v>
      </c>
      <c r="P9" s="165">
        <f t="shared" si="0"/>
        <v>24651</v>
      </c>
      <c r="Q9" s="165">
        <f t="shared" si="0"/>
        <v>17895</v>
      </c>
      <c r="R9" s="165">
        <f t="shared" si="0"/>
        <v>8652</v>
      </c>
      <c r="S9" s="165">
        <f t="shared" si="0"/>
        <v>11865</v>
      </c>
      <c r="T9" s="165">
        <f t="shared" si="0"/>
        <v>11835</v>
      </c>
      <c r="U9" s="165">
        <f t="shared" si="0"/>
        <v>4213</v>
      </c>
      <c r="V9" s="165">
        <f t="shared" si="0"/>
        <v>7652</v>
      </c>
    </row>
    <row r="10" spans="1:22" s="86" customFormat="1" ht="13.5" thickBot="1">
      <c r="A10" s="166" t="s">
        <v>17</v>
      </c>
      <c r="B10" s="167">
        <f aca="true" t="shared" si="1" ref="B10:V10">SUM(B11:B24)</f>
        <v>1988</v>
      </c>
      <c r="C10" s="165">
        <f t="shared" si="1"/>
        <v>1988</v>
      </c>
      <c r="D10" s="165">
        <f t="shared" si="1"/>
        <v>1674</v>
      </c>
      <c r="E10" s="165">
        <f t="shared" si="1"/>
        <v>852</v>
      </c>
      <c r="F10" s="165">
        <f t="shared" si="1"/>
        <v>0</v>
      </c>
      <c r="G10" s="165">
        <f t="shared" si="1"/>
        <v>0</v>
      </c>
      <c r="H10" s="165">
        <f t="shared" si="1"/>
        <v>1350</v>
      </c>
      <c r="I10" s="29">
        <f t="shared" si="1"/>
        <v>2312</v>
      </c>
      <c r="J10" s="167">
        <f t="shared" si="1"/>
        <v>1399</v>
      </c>
      <c r="K10" s="165">
        <f t="shared" si="1"/>
        <v>1399</v>
      </c>
      <c r="L10" s="165">
        <f t="shared" si="1"/>
        <v>361</v>
      </c>
      <c r="M10" s="165">
        <f t="shared" si="1"/>
        <v>892</v>
      </c>
      <c r="N10" s="29">
        <f t="shared" si="1"/>
        <v>868</v>
      </c>
      <c r="O10" s="167">
        <f t="shared" si="1"/>
        <v>1570</v>
      </c>
      <c r="P10" s="165">
        <f t="shared" si="1"/>
        <v>1543</v>
      </c>
      <c r="Q10" s="165">
        <f t="shared" si="1"/>
        <v>1069</v>
      </c>
      <c r="R10" s="29">
        <f t="shared" si="1"/>
        <v>501</v>
      </c>
      <c r="S10" s="167">
        <f t="shared" si="1"/>
        <v>152</v>
      </c>
      <c r="T10" s="165">
        <f t="shared" si="1"/>
        <v>127</v>
      </c>
      <c r="U10" s="165">
        <f t="shared" si="1"/>
        <v>30</v>
      </c>
      <c r="V10" s="29">
        <f t="shared" si="1"/>
        <v>122</v>
      </c>
    </row>
    <row r="11" spans="1:22" s="40" customFormat="1" ht="12.75">
      <c r="A11" s="141" t="s">
        <v>107</v>
      </c>
      <c r="B11" s="168">
        <v>58</v>
      </c>
      <c r="C11" s="169">
        <v>58</v>
      </c>
      <c r="D11" s="169">
        <v>6</v>
      </c>
      <c r="E11" s="170">
        <v>0</v>
      </c>
      <c r="F11" s="170">
        <v>0</v>
      </c>
      <c r="G11" s="170">
        <v>0</v>
      </c>
      <c r="H11" s="171">
        <v>0</v>
      </c>
      <c r="I11" s="38">
        <f>B11+D11-H11</f>
        <v>64</v>
      </c>
      <c r="J11" s="168">
        <v>44</v>
      </c>
      <c r="K11" s="169">
        <v>44</v>
      </c>
      <c r="L11" s="169">
        <v>39</v>
      </c>
      <c r="M11" s="170">
        <v>0</v>
      </c>
      <c r="N11" s="171">
        <f>J11+L11-M11</f>
        <v>83</v>
      </c>
      <c r="O11" s="168">
        <f>46+29</f>
        <v>75</v>
      </c>
      <c r="P11" s="169">
        <f>42+29</f>
        <v>71</v>
      </c>
      <c r="Q11" s="170">
        <v>75</v>
      </c>
      <c r="R11" s="38">
        <f>O11-Q11</f>
        <v>0</v>
      </c>
      <c r="S11" s="168">
        <f>14+9</f>
        <v>23</v>
      </c>
      <c r="T11" s="169">
        <f>14+9</f>
        <v>23</v>
      </c>
      <c r="U11" s="170">
        <v>0</v>
      </c>
      <c r="V11" s="38">
        <f>S11-U11</f>
        <v>23</v>
      </c>
    </row>
    <row r="12" spans="1:23" s="40" customFormat="1" ht="12.75">
      <c r="A12" s="141" t="s">
        <v>117</v>
      </c>
      <c r="B12" s="168">
        <v>257</v>
      </c>
      <c r="C12" s="169">
        <v>257</v>
      </c>
      <c r="D12" s="169">
        <v>155</v>
      </c>
      <c r="E12" s="170">
        <v>350</v>
      </c>
      <c r="F12" s="170">
        <v>0</v>
      </c>
      <c r="G12" s="170">
        <v>0</v>
      </c>
      <c r="H12" s="171">
        <v>396</v>
      </c>
      <c r="I12" s="38">
        <f aca="true" t="shared" si="2" ref="I12:I24">B12+D12-H12</f>
        <v>16</v>
      </c>
      <c r="J12" s="168">
        <v>137</v>
      </c>
      <c r="K12" s="169">
        <v>137</v>
      </c>
      <c r="L12" s="169">
        <v>1</v>
      </c>
      <c r="M12" s="170">
        <v>0</v>
      </c>
      <c r="N12" s="171">
        <f aca="true" t="shared" si="3" ref="N12:N24">J12+L12-M12</f>
        <v>138</v>
      </c>
      <c r="O12" s="168">
        <f>14+80</f>
        <v>94</v>
      </c>
      <c r="P12" s="169">
        <v>94</v>
      </c>
      <c r="Q12" s="170">
        <v>94</v>
      </c>
      <c r="R12" s="38">
        <f aca="true" t="shared" si="4" ref="R12:R24">O12-Q12</f>
        <v>0</v>
      </c>
      <c r="S12" s="168">
        <v>0</v>
      </c>
      <c r="T12" s="169">
        <v>0</v>
      </c>
      <c r="U12" s="170">
        <v>0</v>
      </c>
      <c r="V12" s="38">
        <f aca="true" t="shared" si="5" ref="V12:V24">S12-U12</f>
        <v>0</v>
      </c>
      <c r="W12" s="172"/>
    </row>
    <row r="13" spans="1:23" ht="12.75">
      <c r="A13" s="173" t="s">
        <v>45</v>
      </c>
      <c r="B13" s="168">
        <v>337</v>
      </c>
      <c r="C13" s="169">
        <v>337</v>
      </c>
      <c r="D13" s="169">
        <v>34</v>
      </c>
      <c r="E13" s="170">
        <v>0</v>
      </c>
      <c r="F13" s="170">
        <v>0</v>
      </c>
      <c r="G13" s="170">
        <v>0</v>
      </c>
      <c r="H13" s="171">
        <v>0</v>
      </c>
      <c r="I13" s="38">
        <f t="shared" si="2"/>
        <v>371</v>
      </c>
      <c r="J13" s="168">
        <v>3</v>
      </c>
      <c r="K13" s="169">
        <v>3</v>
      </c>
      <c r="L13" s="169">
        <v>2</v>
      </c>
      <c r="M13" s="170">
        <v>0</v>
      </c>
      <c r="N13" s="171">
        <f t="shared" si="3"/>
        <v>5</v>
      </c>
      <c r="O13" s="168">
        <f>82+55</f>
        <v>137</v>
      </c>
      <c r="P13" s="169">
        <v>137</v>
      </c>
      <c r="Q13" s="170">
        <v>90</v>
      </c>
      <c r="R13" s="38">
        <f t="shared" si="4"/>
        <v>47</v>
      </c>
      <c r="S13" s="168">
        <v>0</v>
      </c>
      <c r="T13" s="169">
        <v>0</v>
      </c>
      <c r="U13" s="170">
        <v>0</v>
      </c>
      <c r="V13" s="38">
        <f t="shared" si="5"/>
        <v>0</v>
      </c>
      <c r="W13" s="40"/>
    </row>
    <row r="14" spans="1:23" s="40" customFormat="1" ht="12.75">
      <c r="A14" s="141" t="s">
        <v>108</v>
      </c>
      <c r="B14" s="168">
        <v>18</v>
      </c>
      <c r="C14" s="169">
        <v>18</v>
      </c>
      <c r="D14" s="169">
        <v>80</v>
      </c>
      <c r="E14" s="170">
        <v>0</v>
      </c>
      <c r="F14" s="170">
        <v>0</v>
      </c>
      <c r="G14" s="170">
        <v>0</v>
      </c>
      <c r="H14" s="171">
        <v>70</v>
      </c>
      <c r="I14" s="38">
        <f t="shared" si="2"/>
        <v>28</v>
      </c>
      <c r="J14" s="168">
        <v>2</v>
      </c>
      <c r="K14" s="169">
        <v>2</v>
      </c>
      <c r="L14" s="169">
        <v>173</v>
      </c>
      <c r="M14" s="170">
        <v>80</v>
      </c>
      <c r="N14" s="171">
        <f t="shared" si="3"/>
        <v>95</v>
      </c>
      <c r="O14" s="168">
        <f>218+111</f>
        <v>329</v>
      </c>
      <c r="P14" s="169">
        <v>329</v>
      </c>
      <c r="Q14" s="170">
        <v>100</v>
      </c>
      <c r="R14" s="38">
        <f t="shared" si="4"/>
        <v>229</v>
      </c>
      <c r="S14" s="168">
        <v>0</v>
      </c>
      <c r="T14" s="169">
        <v>0</v>
      </c>
      <c r="U14" s="170">
        <v>0</v>
      </c>
      <c r="V14" s="38">
        <f t="shared" si="5"/>
        <v>0</v>
      </c>
      <c r="W14" s="172"/>
    </row>
    <row r="15" spans="1:22" s="40" customFormat="1" ht="12.75">
      <c r="A15" s="141" t="s">
        <v>60</v>
      </c>
      <c r="B15" s="168">
        <v>0</v>
      </c>
      <c r="C15" s="169">
        <v>0</v>
      </c>
      <c r="D15" s="169">
        <v>0</v>
      </c>
      <c r="E15" s="170">
        <v>0</v>
      </c>
      <c r="F15" s="170">
        <v>0</v>
      </c>
      <c r="G15" s="170">
        <v>0</v>
      </c>
      <c r="H15" s="171">
        <v>0</v>
      </c>
      <c r="I15" s="38">
        <f t="shared" si="2"/>
        <v>0</v>
      </c>
      <c r="J15" s="168">
        <v>281</v>
      </c>
      <c r="K15" s="169">
        <v>281</v>
      </c>
      <c r="L15" s="169">
        <v>0</v>
      </c>
      <c r="M15" s="170">
        <v>281</v>
      </c>
      <c r="N15" s="171">
        <f t="shared" si="3"/>
        <v>0</v>
      </c>
      <c r="O15" s="168">
        <f>57+52</f>
        <v>109</v>
      </c>
      <c r="P15" s="169">
        <v>109</v>
      </c>
      <c r="Q15" s="170">
        <v>65</v>
      </c>
      <c r="R15" s="38">
        <f t="shared" si="4"/>
        <v>44</v>
      </c>
      <c r="S15" s="168">
        <v>0</v>
      </c>
      <c r="T15" s="169">
        <v>0</v>
      </c>
      <c r="U15" s="170">
        <v>0</v>
      </c>
      <c r="V15" s="38">
        <f t="shared" si="5"/>
        <v>0</v>
      </c>
    </row>
    <row r="16" spans="1:22" s="40" customFormat="1" ht="12.75">
      <c r="A16" s="141" t="s">
        <v>109</v>
      </c>
      <c r="B16" s="168">
        <v>64</v>
      </c>
      <c r="C16" s="169">
        <v>64</v>
      </c>
      <c r="D16" s="169">
        <v>20</v>
      </c>
      <c r="E16" s="170">
        <v>0</v>
      </c>
      <c r="F16" s="170">
        <v>0</v>
      </c>
      <c r="G16" s="170">
        <v>0</v>
      </c>
      <c r="H16" s="171">
        <v>0</v>
      </c>
      <c r="I16" s="38">
        <f t="shared" si="2"/>
        <v>84</v>
      </c>
      <c r="J16" s="168">
        <v>2</v>
      </c>
      <c r="K16" s="169">
        <v>2</v>
      </c>
      <c r="L16" s="169">
        <v>1</v>
      </c>
      <c r="M16" s="170">
        <v>0</v>
      </c>
      <c r="N16" s="171">
        <f t="shared" si="3"/>
        <v>3</v>
      </c>
      <c r="O16" s="168">
        <f>63+56</f>
        <v>119</v>
      </c>
      <c r="P16" s="169">
        <v>119</v>
      </c>
      <c r="Q16" s="170">
        <v>72</v>
      </c>
      <c r="R16" s="38">
        <f t="shared" si="4"/>
        <v>47</v>
      </c>
      <c r="S16" s="168">
        <v>0</v>
      </c>
      <c r="T16" s="169">
        <v>0</v>
      </c>
      <c r="U16" s="170">
        <v>0</v>
      </c>
      <c r="V16" s="38">
        <f t="shared" si="5"/>
        <v>0</v>
      </c>
    </row>
    <row r="17" spans="1:23" s="40" customFormat="1" ht="12.75">
      <c r="A17" s="141" t="s">
        <v>106</v>
      </c>
      <c r="B17" s="168">
        <v>91</v>
      </c>
      <c r="C17" s="169">
        <v>91</v>
      </c>
      <c r="D17" s="169">
        <v>16</v>
      </c>
      <c r="E17" s="170">
        <v>0</v>
      </c>
      <c r="F17" s="170">
        <v>0</v>
      </c>
      <c r="G17" s="170">
        <v>0</v>
      </c>
      <c r="H17" s="171">
        <v>0</v>
      </c>
      <c r="I17" s="38">
        <f t="shared" si="2"/>
        <v>107</v>
      </c>
      <c r="J17" s="168">
        <v>41</v>
      </c>
      <c r="K17" s="169">
        <v>41</v>
      </c>
      <c r="L17" s="169">
        <v>1</v>
      </c>
      <c r="M17" s="170">
        <v>20</v>
      </c>
      <c r="N17" s="171">
        <f t="shared" si="3"/>
        <v>22</v>
      </c>
      <c r="O17" s="168">
        <f>44+70</f>
        <v>114</v>
      </c>
      <c r="P17" s="169">
        <v>114</v>
      </c>
      <c r="Q17" s="170">
        <v>80</v>
      </c>
      <c r="R17" s="38">
        <f t="shared" si="4"/>
        <v>34</v>
      </c>
      <c r="S17" s="168">
        <v>0</v>
      </c>
      <c r="T17" s="169">
        <v>0</v>
      </c>
      <c r="U17" s="170">
        <v>0</v>
      </c>
      <c r="V17" s="38">
        <f t="shared" si="5"/>
        <v>0</v>
      </c>
      <c r="W17" s="174"/>
    </row>
    <row r="18" spans="1:23" s="40" customFormat="1" ht="12.75">
      <c r="A18" s="141" t="s">
        <v>114</v>
      </c>
      <c r="B18" s="168">
        <v>183</v>
      </c>
      <c r="C18" s="169">
        <v>183</v>
      </c>
      <c r="D18" s="169">
        <v>121</v>
      </c>
      <c r="E18" s="170">
        <v>67</v>
      </c>
      <c r="F18" s="170">
        <v>0</v>
      </c>
      <c r="G18" s="170">
        <v>0</v>
      </c>
      <c r="H18" s="171">
        <v>84</v>
      </c>
      <c r="I18" s="38">
        <f t="shared" si="2"/>
        <v>220</v>
      </c>
      <c r="J18" s="168">
        <v>8</v>
      </c>
      <c r="K18" s="169">
        <v>8</v>
      </c>
      <c r="L18" s="169">
        <v>35</v>
      </c>
      <c r="M18" s="170">
        <v>0</v>
      </c>
      <c r="N18" s="171">
        <f t="shared" si="3"/>
        <v>43</v>
      </c>
      <c r="O18" s="168">
        <f>60+114</f>
        <v>174</v>
      </c>
      <c r="P18" s="169">
        <v>174</v>
      </c>
      <c r="Q18" s="170">
        <v>174</v>
      </c>
      <c r="R18" s="38">
        <f t="shared" si="4"/>
        <v>0</v>
      </c>
      <c r="S18" s="168">
        <v>25</v>
      </c>
      <c r="T18" s="169">
        <v>0</v>
      </c>
      <c r="U18" s="170">
        <v>0</v>
      </c>
      <c r="V18" s="38">
        <f t="shared" si="5"/>
        <v>25</v>
      </c>
      <c r="W18" s="172"/>
    </row>
    <row r="19" spans="1:22" s="40" customFormat="1" ht="12.75">
      <c r="A19" s="141" t="s">
        <v>115</v>
      </c>
      <c r="B19" s="168">
        <v>105</v>
      </c>
      <c r="C19" s="169">
        <v>105</v>
      </c>
      <c r="D19" s="169">
        <v>278</v>
      </c>
      <c r="E19" s="170">
        <v>235</v>
      </c>
      <c r="F19" s="170">
        <v>0</v>
      </c>
      <c r="G19" s="170">
        <v>0</v>
      </c>
      <c r="H19" s="171">
        <v>235</v>
      </c>
      <c r="I19" s="38">
        <f t="shared" si="2"/>
        <v>148</v>
      </c>
      <c r="J19" s="168">
        <f>21+435</f>
        <v>456</v>
      </c>
      <c r="K19" s="169">
        <v>456</v>
      </c>
      <c r="L19" s="169">
        <f>26+10</f>
        <v>36</v>
      </c>
      <c r="M19" s="170">
        <f>20+445</f>
        <v>465</v>
      </c>
      <c r="N19" s="171">
        <f t="shared" si="3"/>
        <v>27</v>
      </c>
      <c r="O19" s="168">
        <f>47+55</f>
        <v>102</v>
      </c>
      <c r="P19" s="169">
        <v>102</v>
      </c>
      <c r="Q19" s="170">
        <v>60</v>
      </c>
      <c r="R19" s="38">
        <f t="shared" si="4"/>
        <v>42</v>
      </c>
      <c r="S19" s="168">
        <v>10</v>
      </c>
      <c r="T19" s="169">
        <v>10</v>
      </c>
      <c r="U19" s="170">
        <v>0</v>
      </c>
      <c r="V19" s="38">
        <f t="shared" si="5"/>
        <v>10</v>
      </c>
    </row>
    <row r="20" spans="1:22" s="40" customFormat="1" ht="12.75">
      <c r="A20" s="141" t="s">
        <v>171</v>
      </c>
      <c r="B20" s="168">
        <v>99</v>
      </c>
      <c r="C20" s="170">
        <v>99</v>
      </c>
      <c r="D20" s="170">
        <v>19</v>
      </c>
      <c r="E20" s="170">
        <v>0</v>
      </c>
      <c r="F20" s="170">
        <v>0</v>
      </c>
      <c r="G20" s="170">
        <v>0</v>
      </c>
      <c r="H20" s="170">
        <v>0</v>
      </c>
      <c r="I20" s="38">
        <f t="shared" si="2"/>
        <v>118</v>
      </c>
      <c r="J20" s="169">
        <v>317</v>
      </c>
      <c r="K20" s="169">
        <v>317</v>
      </c>
      <c r="L20" s="169">
        <v>38</v>
      </c>
      <c r="M20" s="170">
        <v>38</v>
      </c>
      <c r="N20" s="171">
        <f t="shared" si="3"/>
        <v>317</v>
      </c>
      <c r="O20" s="168">
        <f>33+33</f>
        <v>66</v>
      </c>
      <c r="P20" s="169">
        <v>66</v>
      </c>
      <c r="Q20" s="170">
        <v>50</v>
      </c>
      <c r="R20" s="38">
        <f t="shared" si="4"/>
        <v>16</v>
      </c>
      <c r="S20" s="168">
        <f>57+9</f>
        <v>66</v>
      </c>
      <c r="T20" s="170">
        <v>66</v>
      </c>
      <c r="U20" s="170">
        <v>30</v>
      </c>
      <c r="V20" s="38">
        <f t="shared" si="5"/>
        <v>36</v>
      </c>
    </row>
    <row r="21" spans="1:22" s="40" customFormat="1" ht="12.75">
      <c r="A21" s="141" t="s">
        <v>110</v>
      </c>
      <c r="B21" s="168">
        <v>716</v>
      </c>
      <c r="C21" s="170">
        <v>716</v>
      </c>
      <c r="D21" s="170">
        <v>348</v>
      </c>
      <c r="E21" s="170">
        <v>0</v>
      </c>
      <c r="F21" s="170">
        <v>0</v>
      </c>
      <c r="G21" s="170">
        <v>0</v>
      </c>
      <c r="H21" s="170">
        <v>1</v>
      </c>
      <c r="I21" s="171">
        <f t="shared" si="2"/>
        <v>1063</v>
      </c>
      <c r="J21" s="168">
        <v>21</v>
      </c>
      <c r="K21" s="170">
        <v>21</v>
      </c>
      <c r="L21" s="170">
        <v>0</v>
      </c>
      <c r="M21" s="170">
        <v>0</v>
      </c>
      <c r="N21" s="171">
        <f t="shared" si="3"/>
        <v>21</v>
      </c>
      <c r="O21" s="168">
        <f>10+22</f>
        <v>32</v>
      </c>
      <c r="P21" s="170">
        <v>32</v>
      </c>
      <c r="Q21" s="170">
        <v>30</v>
      </c>
      <c r="R21" s="38">
        <f t="shared" si="4"/>
        <v>2</v>
      </c>
      <c r="S21" s="168">
        <v>8</v>
      </c>
      <c r="T21" s="170">
        <v>8</v>
      </c>
      <c r="U21" s="170">
        <v>0</v>
      </c>
      <c r="V21" s="38">
        <f t="shared" si="5"/>
        <v>8</v>
      </c>
    </row>
    <row r="22" spans="1:22" s="40" customFormat="1" ht="12.75">
      <c r="A22" s="141" t="s">
        <v>111</v>
      </c>
      <c r="B22" s="175">
        <v>0</v>
      </c>
      <c r="C22" s="176">
        <v>0</v>
      </c>
      <c r="D22" s="176">
        <v>0</v>
      </c>
      <c r="E22" s="177">
        <v>0</v>
      </c>
      <c r="F22" s="177">
        <v>0</v>
      </c>
      <c r="G22" s="177">
        <v>0</v>
      </c>
      <c r="H22" s="178">
        <v>0</v>
      </c>
      <c r="I22" s="70">
        <f t="shared" si="2"/>
        <v>0</v>
      </c>
      <c r="J22" s="175">
        <v>0</v>
      </c>
      <c r="K22" s="176">
        <v>0</v>
      </c>
      <c r="L22" s="176">
        <v>0</v>
      </c>
      <c r="M22" s="177">
        <v>0</v>
      </c>
      <c r="N22" s="178">
        <f t="shared" si="3"/>
        <v>0</v>
      </c>
      <c r="O22" s="175">
        <v>30</v>
      </c>
      <c r="P22" s="176">
        <v>30</v>
      </c>
      <c r="Q22" s="177">
        <v>30</v>
      </c>
      <c r="R22" s="38">
        <f t="shared" si="4"/>
        <v>0</v>
      </c>
      <c r="S22" s="175">
        <v>0</v>
      </c>
      <c r="T22" s="176">
        <v>0</v>
      </c>
      <c r="U22" s="177">
        <v>0</v>
      </c>
      <c r="V22" s="70">
        <f t="shared" si="5"/>
        <v>0</v>
      </c>
    </row>
    <row r="23" spans="1:54" s="179" customFormat="1" ht="12.75">
      <c r="A23" s="141" t="s">
        <v>112</v>
      </c>
      <c r="B23" s="168">
        <v>8</v>
      </c>
      <c r="C23" s="169">
        <v>8</v>
      </c>
      <c r="D23" s="169">
        <v>3</v>
      </c>
      <c r="E23" s="170">
        <v>0</v>
      </c>
      <c r="F23" s="170">
        <v>0</v>
      </c>
      <c r="G23" s="170">
        <v>0</v>
      </c>
      <c r="H23" s="171">
        <v>0</v>
      </c>
      <c r="I23" s="38">
        <f t="shared" si="2"/>
        <v>11</v>
      </c>
      <c r="J23" s="168">
        <v>5</v>
      </c>
      <c r="K23" s="169">
        <v>5</v>
      </c>
      <c r="L23" s="169">
        <v>5</v>
      </c>
      <c r="M23" s="170">
        <v>8</v>
      </c>
      <c r="N23" s="171">
        <f t="shared" si="3"/>
        <v>2</v>
      </c>
      <c r="O23" s="168">
        <f>8+25</f>
        <v>33</v>
      </c>
      <c r="P23" s="169">
        <v>27</v>
      </c>
      <c r="Q23" s="170">
        <v>27</v>
      </c>
      <c r="R23" s="38">
        <f t="shared" si="4"/>
        <v>6</v>
      </c>
      <c r="S23" s="168">
        <v>5</v>
      </c>
      <c r="T23" s="169">
        <v>5</v>
      </c>
      <c r="U23" s="170">
        <v>0</v>
      </c>
      <c r="V23" s="38">
        <f t="shared" si="5"/>
        <v>5</v>
      </c>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row>
    <row r="24" spans="1:22" s="179" customFormat="1" ht="13.5" thickBot="1">
      <c r="A24" s="180" t="s">
        <v>113</v>
      </c>
      <c r="B24" s="175">
        <v>52</v>
      </c>
      <c r="C24" s="176">
        <v>52</v>
      </c>
      <c r="D24" s="177">
        <v>594</v>
      </c>
      <c r="E24" s="177">
        <v>200</v>
      </c>
      <c r="F24" s="177">
        <v>0</v>
      </c>
      <c r="G24" s="177">
        <v>0</v>
      </c>
      <c r="H24" s="177">
        <v>564</v>
      </c>
      <c r="I24" s="70">
        <f t="shared" si="2"/>
        <v>82</v>
      </c>
      <c r="J24" s="175">
        <v>82</v>
      </c>
      <c r="K24" s="176">
        <v>82</v>
      </c>
      <c r="L24" s="177">
        <v>30</v>
      </c>
      <c r="M24" s="177">
        <v>0</v>
      </c>
      <c r="N24" s="70">
        <f t="shared" si="3"/>
        <v>112</v>
      </c>
      <c r="O24" s="175">
        <v>156</v>
      </c>
      <c r="P24" s="176">
        <v>139</v>
      </c>
      <c r="Q24" s="177">
        <v>122</v>
      </c>
      <c r="R24" s="38">
        <f t="shared" si="4"/>
        <v>34</v>
      </c>
      <c r="S24" s="175">
        <v>15</v>
      </c>
      <c r="T24" s="176">
        <v>15</v>
      </c>
      <c r="U24" s="177">
        <v>0</v>
      </c>
      <c r="V24" s="70">
        <f t="shared" si="5"/>
        <v>15</v>
      </c>
    </row>
    <row r="25" spans="1:54" ht="13.5" thickBot="1">
      <c r="A25" s="164" t="s">
        <v>18</v>
      </c>
      <c r="B25" s="167">
        <f>SUM(B26:B39)</f>
        <v>9883</v>
      </c>
      <c r="C25" s="165">
        <f aca="true" t="shared" si="6" ref="C25:V25">SUM(C26:C39)</f>
        <v>9883</v>
      </c>
      <c r="D25" s="165">
        <f t="shared" si="6"/>
        <v>12214</v>
      </c>
      <c r="E25" s="165">
        <f t="shared" si="6"/>
        <v>2110</v>
      </c>
      <c r="F25" s="165">
        <f t="shared" si="6"/>
        <v>325</v>
      </c>
      <c r="G25" s="165">
        <f t="shared" si="6"/>
        <v>1075</v>
      </c>
      <c r="H25" s="165">
        <f t="shared" si="6"/>
        <v>11085</v>
      </c>
      <c r="I25" s="29">
        <f t="shared" si="6"/>
        <v>11012</v>
      </c>
      <c r="J25" s="167">
        <f t="shared" si="6"/>
        <v>3283</v>
      </c>
      <c r="K25" s="165">
        <f t="shared" si="6"/>
        <v>3283</v>
      </c>
      <c r="L25" s="165">
        <f t="shared" si="6"/>
        <v>767</v>
      </c>
      <c r="M25" s="165">
        <f t="shared" si="6"/>
        <v>885</v>
      </c>
      <c r="N25" s="29">
        <f t="shared" si="6"/>
        <v>3165</v>
      </c>
      <c r="O25" s="167">
        <f t="shared" si="6"/>
        <v>4863</v>
      </c>
      <c r="P25" s="165">
        <f t="shared" si="6"/>
        <v>4455</v>
      </c>
      <c r="Q25" s="165">
        <f t="shared" si="6"/>
        <v>3331</v>
      </c>
      <c r="R25" s="29">
        <f t="shared" si="6"/>
        <v>1532</v>
      </c>
      <c r="S25" s="167">
        <f t="shared" si="6"/>
        <v>823</v>
      </c>
      <c r="T25" s="165">
        <f t="shared" si="6"/>
        <v>823</v>
      </c>
      <c r="U25" s="165">
        <f t="shared" si="6"/>
        <v>224</v>
      </c>
      <c r="V25" s="29">
        <f t="shared" si="6"/>
        <v>599</v>
      </c>
      <c r="W25" s="181"/>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row>
    <row r="26" spans="1:54" s="324" customFormat="1" ht="12.75">
      <c r="A26" s="316" t="s">
        <v>68</v>
      </c>
      <c r="B26" s="317">
        <v>101</v>
      </c>
      <c r="C26" s="318">
        <v>101</v>
      </c>
      <c r="D26" s="318">
        <v>516</v>
      </c>
      <c r="E26" s="319">
        <v>150</v>
      </c>
      <c r="F26" s="319">
        <v>0</v>
      </c>
      <c r="G26" s="319">
        <v>80</v>
      </c>
      <c r="H26" s="320">
        <v>560</v>
      </c>
      <c r="I26" s="321">
        <f aca="true" t="shared" si="7" ref="I26:I39">B26+D26-H26</f>
        <v>57</v>
      </c>
      <c r="J26" s="317">
        <v>126</v>
      </c>
      <c r="K26" s="318">
        <v>126</v>
      </c>
      <c r="L26" s="318">
        <v>33</v>
      </c>
      <c r="M26" s="319">
        <v>159</v>
      </c>
      <c r="N26" s="320">
        <f aca="true" t="shared" si="8" ref="N26:N39">J26+L26-M26</f>
        <v>0</v>
      </c>
      <c r="O26" s="317">
        <f>130+150</f>
        <v>280</v>
      </c>
      <c r="P26" s="318">
        <v>130</v>
      </c>
      <c r="Q26" s="319">
        <v>240</v>
      </c>
      <c r="R26" s="321">
        <f aca="true" t="shared" si="9" ref="R26:R39">O26-Q26</f>
        <v>40</v>
      </c>
      <c r="S26" s="317">
        <v>0</v>
      </c>
      <c r="T26" s="318">
        <v>0</v>
      </c>
      <c r="U26" s="319">
        <v>0</v>
      </c>
      <c r="V26" s="321">
        <f aca="true" t="shared" si="10" ref="V26:V39">S26-U26</f>
        <v>0</v>
      </c>
      <c r="W26" s="322"/>
      <c r="X26" s="323"/>
      <c r="Y26" s="323"/>
      <c r="Z26" s="323"/>
      <c r="AA26" s="323"/>
      <c r="AB26" s="323"/>
      <c r="AC26" s="323"/>
      <c r="AD26" s="323"/>
      <c r="AE26" s="323"/>
      <c r="AF26" s="323"/>
      <c r="AG26" s="323"/>
      <c r="AH26" s="323"/>
      <c r="AI26" s="323"/>
      <c r="AJ26" s="323"/>
      <c r="AK26" s="323"/>
      <c r="AL26" s="323"/>
      <c r="AM26" s="323"/>
      <c r="AN26" s="323"/>
      <c r="AO26" s="323"/>
      <c r="AP26" s="323"/>
      <c r="AQ26" s="323"/>
      <c r="AR26" s="323"/>
      <c r="AS26" s="323"/>
      <c r="AT26" s="323"/>
      <c r="AU26" s="323"/>
      <c r="AV26" s="323"/>
      <c r="AW26" s="323"/>
      <c r="AX26" s="323"/>
      <c r="AY26" s="323"/>
      <c r="AZ26" s="323"/>
      <c r="BA26" s="323"/>
      <c r="BB26" s="323"/>
    </row>
    <row r="27" spans="1:54" s="324" customFormat="1" ht="12.75">
      <c r="A27" s="325" t="s">
        <v>4</v>
      </c>
      <c r="B27" s="326">
        <v>111</v>
      </c>
      <c r="C27" s="327">
        <v>111</v>
      </c>
      <c r="D27" s="327">
        <v>1372</v>
      </c>
      <c r="E27" s="328">
        <v>0</v>
      </c>
      <c r="F27" s="328">
        <v>0</v>
      </c>
      <c r="G27" s="328">
        <v>0</v>
      </c>
      <c r="H27" s="329">
        <v>1119</v>
      </c>
      <c r="I27" s="330">
        <f t="shared" si="7"/>
        <v>364</v>
      </c>
      <c r="J27" s="326">
        <v>49</v>
      </c>
      <c r="K27" s="327">
        <v>49</v>
      </c>
      <c r="L27" s="327">
        <v>35</v>
      </c>
      <c r="M27" s="328">
        <v>0</v>
      </c>
      <c r="N27" s="329">
        <f t="shared" si="8"/>
        <v>84</v>
      </c>
      <c r="O27" s="326">
        <f>105+57</f>
        <v>162</v>
      </c>
      <c r="P27" s="327">
        <f>105+62</f>
        <v>167</v>
      </c>
      <c r="Q27" s="328">
        <v>134</v>
      </c>
      <c r="R27" s="330">
        <f t="shared" si="9"/>
        <v>28</v>
      </c>
      <c r="S27" s="326">
        <v>7</v>
      </c>
      <c r="T27" s="327">
        <v>7</v>
      </c>
      <c r="U27" s="328">
        <v>0</v>
      </c>
      <c r="V27" s="330">
        <f t="shared" si="10"/>
        <v>7</v>
      </c>
      <c r="W27" s="323"/>
      <c r="X27" s="323"/>
      <c r="Y27" s="323"/>
      <c r="Z27" s="323"/>
      <c r="AA27" s="323"/>
      <c r="AB27" s="323"/>
      <c r="AC27" s="323"/>
      <c r="AD27" s="323"/>
      <c r="AE27" s="323"/>
      <c r="AF27" s="323"/>
      <c r="AG27" s="323"/>
      <c r="AH27" s="323"/>
      <c r="AI27" s="323"/>
      <c r="AJ27" s="323"/>
      <c r="AK27" s="323"/>
      <c r="AL27" s="323"/>
      <c r="AM27" s="323"/>
      <c r="AN27" s="323"/>
      <c r="AO27" s="323"/>
      <c r="AP27" s="323"/>
      <c r="AQ27" s="323"/>
      <c r="AR27" s="323"/>
      <c r="AS27" s="323"/>
      <c r="AT27" s="323"/>
      <c r="AU27" s="323"/>
      <c r="AV27" s="323"/>
      <c r="AW27" s="323"/>
      <c r="AX27" s="323"/>
      <c r="AY27" s="323"/>
      <c r="AZ27" s="323"/>
      <c r="BA27" s="323"/>
      <c r="BB27" s="323"/>
    </row>
    <row r="28" spans="1:54" s="324" customFormat="1" ht="12.75">
      <c r="A28" s="325" t="s">
        <v>146</v>
      </c>
      <c r="B28" s="326">
        <v>1101</v>
      </c>
      <c r="C28" s="327">
        <v>1101</v>
      </c>
      <c r="D28" s="327">
        <v>1904</v>
      </c>
      <c r="E28" s="328">
        <v>1030</v>
      </c>
      <c r="F28" s="328">
        <v>0</v>
      </c>
      <c r="G28" s="328">
        <v>0</v>
      </c>
      <c r="H28" s="329">
        <v>1917</v>
      </c>
      <c r="I28" s="330">
        <f t="shared" si="7"/>
        <v>1088</v>
      </c>
      <c r="J28" s="326">
        <v>166</v>
      </c>
      <c r="K28" s="327">
        <v>166</v>
      </c>
      <c r="L28" s="327">
        <v>9</v>
      </c>
      <c r="M28" s="328">
        <v>0</v>
      </c>
      <c r="N28" s="329">
        <f t="shared" si="8"/>
        <v>175</v>
      </c>
      <c r="O28" s="326">
        <f>220+387</f>
        <v>607</v>
      </c>
      <c r="P28" s="327">
        <f>220+355</f>
        <v>575</v>
      </c>
      <c r="Q28" s="328">
        <v>447</v>
      </c>
      <c r="R28" s="330">
        <f t="shared" si="9"/>
        <v>160</v>
      </c>
      <c r="S28" s="326">
        <v>52</v>
      </c>
      <c r="T28" s="327">
        <v>52</v>
      </c>
      <c r="U28" s="328">
        <v>0</v>
      </c>
      <c r="V28" s="330">
        <f t="shared" si="10"/>
        <v>52</v>
      </c>
      <c r="W28" s="323"/>
      <c r="X28" s="323"/>
      <c r="Y28" s="323"/>
      <c r="Z28" s="323"/>
      <c r="AA28" s="323"/>
      <c r="AB28" s="323"/>
      <c r="AC28" s="323"/>
      <c r="AD28" s="323"/>
      <c r="AE28" s="323"/>
      <c r="AF28" s="323"/>
      <c r="AG28" s="323"/>
      <c r="AH28" s="323"/>
      <c r="AI28" s="323"/>
      <c r="AJ28" s="323"/>
      <c r="AK28" s="323"/>
      <c r="AL28" s="323"/>
      <c r="AM28" s="323"/>
      <c r="AN28" s="323"/>
      <c r="AO28" s="323"/>
      <c r="AP28" s="323"/>
      <c r="AQ28" s="323"/>
      <c r="AR28" s="323"/>
      <c r="AS28" s="323"/>
      <c r="AT28" s="323"/>
      <c r="AU28" s="323"/>
      <c r="AV28" s="323"/>
      <c r="AW28" s="323"/>
      <c r="AX28" s="323"/>
      <c r="AY28" s="323"/>
      <c r="AZ28" s="323"/>
      <c r="BA28" s="323"/>
      <c r="BB28" s="323"/>
    </row>
    <row r="29" spans="1:54" s="324" customFormat="1" ht="12.75">
      <c r="A29" s="325" t="s">
        <v>5</v>
      </c>
      <c r="B29" s="331">
        <v>745</v>
      </c>
      <c r="C29" s="332">
        <v>745</v>
      </c>
      <c r="D29" s="332">
        <v>735</v>
      </c>
      <c r="E29" s="333">
        <v>110</v>
      </c>
      <c r="F29" s="333">
        <v>0</v>
      </c>
      <c r="G29" s="333">
        <v>100</v>
      </c>
      <c r="H29" s="334">
        <v>670</v>
      </c>
      <c r="I29" s="335">
        <f t="shared" si="7"/>
        <v>810</v>
      </c>
      <c r="J29" s="326">
        <v>69</v>
      </c>
      <c r="K29" s="327">
        <v>69</v>
      </c>
      <c r="L29" s="327">
        <v>43</v>
      </c>
      <c r="M29" s="328">
        <v>2</v>
      </c>
      <c r="N29" s="329">
        <f t="shared" si="8"/>
        <v>110</v>
      </c>
      <c r="O29" s="326">
        <v>250</v>
      </c>
      <c r="P29" s="327">
        <v>250</v>
      </c>
      <c r="Q29" s="328">
        <v>247</v>
      </c>
      <c r="R29" s="330">
        <f t="shared" si="9"/>
        <v>3</v>
      </c>
      <c r="S29" s="326">
        <v>6</v>
      </c>
      <c r="T29" s="327">
        <v>6</v>
      </c>
      <c r="U29" s="328">
        <v>0</v>
      </c>
      <c r="V29" s="330">
        <f t="shared" si="10"/>
        <v>6</v>
      </c>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3"/>
      <c r="AY29" s="323"/>
      <c r="AZ29" s="323"/>
      <c r="BA29" s="323"/>
      <c r="BB29" s="323"/>
    </row>
    <row r="30" spans="1:54" s="324" customFormat="1" ht="12.75">
      <c r="A30" s="325" t="s">
        <v>99</v>
      </c>
      <c r="B30" s="326">
        <v>6296</v>
      </c>
      <c r="C30" s="327">
        <v>6296</v>
      </c>
      <c r="D30" s="327">
        <v>2157</v>
      </c>
      <c r="E30" s="328">
        <v>170</v>
      </c>
      <c r="F30" s="328">
        <v>0</v>
      </c>
      <c r="G30" s="328">
        <v>0</v>
      </c>
      <c r="H30" s="329">
        <v>1023</v>
      </c>
      <c r="I30" s="330">
        <f t="shared" si="7"/>
        <v>7430</v>
      </c>
      <c r="J30" s="326">
        <v>1279</v>
      </c>
      <c r="K30" s="327">
        <v>1279</v>
      </c>
      <c r="L30" s="327">
        <v>254</v>
      </c>
      <c r="M30" s="328">
        <v>0</v>
      </c>
      <c r="N30" s="329">
        <f t="shared" si="8"/>
        <v>1533</v>
      </c>
      <c r="O30" s="326">
        <f>148+433</f>
        <v>581</v>
      </c>
      <c r="P30" s="327">
        <f>148+433</f>
        <v>581</v>
      </c>
      <c r="Q30" s="328">
        <v>250</v>
      </c>
      <c r="R30" s="330">
        <f t="shared" si="9"/>
        <v>331</v>
      </c>
      <c r="S30" s="326">
        <f>85+313</f>
        <v>398</v>
      </c>
      <c r="T30" s="327">
        <f>85+313</f>
        <v>398</v>
      </c>
      <c r="U30" s="328">
        <v>0</v>
      </c>
      <c r="V30" s="330">
        <f t="shared" si="10"/>
        <v>398</v>
      </c>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323"/>
      <c r="AY30" s="323"/>
      <c r="AZ30" s="323"/>
      <c r="BA30" s="323"/>
      <c r="BB30" s="323"/>
    </row>
    <row r="31" spans="1:54" s="324" customFormat="1" ht="12.75" customHeight="1">
      <c r="A31" s="325" t="s">
        <v>101</v>
      </c>
      <c r="B31" s="326">
        <v>172</v>
      </c>
      <c r="C31" s="327">
        <v>172</v>
      </c>
      <c r="D31" s="327">
        <v>724</v>
      </c>
      <c r="E31" s="328">
        <v>430</v>
      </c>
      <c r="F31" s="328">
        <v>0</v>
      </c>
      <c r="G31" s="328">
        <v>63</v>
      </c>
      <c r="H31" s="329">
        <v>838</v>
      </c>
      <c r="I31" s="330">
        <f t="shared" si="7"/>
        <v>58</v>
      </c>
      <c r="J31" s="326">
        <f>98+270</f>
        <v>368</v>
      </c>
      <c r="K31" s="327">
        <v>368</v>
      </c>
      <c r="L31" s="327">
        <v>71</v>
      </c>
      <c r="M31" s="328">
        <v>80</v>
      </c>
      <c r="N31" s="329">
        <f t="shared" si="8"/>
        <v>359</v>
      </c>
      <c r="O31" s="326">
        <f>95+180</f>
        <v>275</v>
      </c>
      <c r="P31" s="327">
        <v>275</v>
      </c>
      <c r="Q31" s="328">
        <v>250</v>
      </c>
      <c r="R31" s="330">
        <f t="shared" si="9"/>
        <v>25</v>
      </c>
      <c r="S31" s="326">
        <f>9+46</f>
        <v>55</v>
      </c>
      <c r="T31" s="327">
        <v>55</v>
      </c>
      <c r="U31" s="328">
        <v>0</v>
      </c>
      <c r="V31" s="330">
        <f t="shared" si="10"/>
        <v>55</v>
      </c>
      <c r="W31" s="323"/>
      <c r="X31" s="323"/>
      <c r="Y31" s="323"/>
      <c r="Z31" s="323"/>
      <c r="AA31" s="323"/>
      <c r="AB31" s="323"/>
      <c r="AC31" s="323"/>
      <c r="AD31" s="323"/>
      <c r="AE31" s="323"/>
      <c r="AF31" s="323"/>
      <c r="AG31" s="323"/>
      <c r="AH31" s="323"/>
      <c r="AI31" s="323"/>
      <c r="AJ31" s="323"/>
      <c r="AK31" s="323"/>
      <c r="AL31" s="323"/>
      <c r="AM31" s="323"/>
      <c r="AN31" s="323"/>
      <c r="AO31" s="323"/>
      <c r="AP31" s="323"/>
      <c r="AQ31" s="323"/>
      <c r="AR31" s="323"/>
      <c r="AS31" s="323"/>
      <c r="AT31" s="323"/>
      <c r="AU31" s="323"/>
      <c r="AV31" s="323"/>
      <c r="AW31" s="323"/>
      <c r="AX31" s="323"/>
      <c r="AY31" s="323"/>
      <c r="AZ31" s="323"/>
      <c r="BA31" s="323"/>
      <c r="BB31" s="323"/>
    </row>
    <row r="32" spans="1:54" s="324" customFormat="1" ht="12" customHeight="1">
      <c r="A32" s="339" t="s">
        <v>6</v>
      </c>
      <c r="B32" s="336">
        <v>121</v>
      </c>
      <c r="C32" s="337">
        <v>121</v>
      </c>
      <c r="D32" s="327">
        <v>608</v>
      </c>
      <c r="E32" s="328">
        <v>70</v>
      </c>
      <c r="F32" s="328">
        <v>0</v>
      </c>
      <c r="G32" s="328">
        <v>0</v>
      </c>
      <c r="H32" s="329">
        <v>545</v>
      </c>
      <c r="I32" s="330">
        <f t="shared" si="7"/>
        <v>184</v>
      </c>
      <c r="J32" s="326">
        <v>156</v>
      </c>
      <c r="K32" s="327">
        <v>156</v>
      </c>
      <c r="L32" s="327">
        <v>2</v>
      </c>
      <c r="M32" s="328">
        <v>158</v>
      </c>
      <c r="N32" s="329">
        <f t="shared" si="8"/>
        <v>0</v>
      </c>
      <c r="O32" s="326">
        <f>41+165</f>
        <v>206</v>
      </c>
      <c r="P32" s="327">
        <f>41+168</f>
        <v>209</v>
      </c>
      <c r="Q32" s="328">
        <v>41</v>
      </c>
      <c r="R32" s="330">
        <f t="shared" si="9"/>
        <v>165</v>
      </c>
      <c r="S32" s="326">
        <v>14</v>
      </c>
      <c r="T32" s="327">
        <v>14</v>
      </c>
      <c r="U32" s="328">
        <v>14</v>
      </c>
      <c r="V32" s="330">
        <f t="shared" si="10"/>
        <v>0</v>
      </c>
      <c r="W32" s="338"/>
      <c r="X32" s="323"/>
      <c r="Y32" s="323"/>
      <c r="Z32" s="323"/>
      <c r="AA32" s="323"/>
      <c r="AB32" s="323"/>
      <c r="AC32" s="323"/>
      <c r="AD32" s="323"/>
      <c r="AE32" s="323"/>
      <c r="AF32" s="323"/>
      <c r="AG32" s="323"/>
      <c r="AH32" s="323"/>
      <c r="AI32" s="323"/>
      <c r="AJ32" s="323"/>
      <c r="AK32" s="323"/>
      <c r="AL32" s="323"/>
      <c r="AM32" s="323"/>
      <c r="AN32" s="323"/>
      <c r="AO32" s="323"/>
      <c r="AP32" s="323"/>
      <c r="AQ32" s="323"/>
      <c r="AR32" s="323"/>
      <c r="AS32" s="323"/>
      <c r="AT32" s="323"/>
      <c r="AU32" s="323"/>
      <c r="AV32" s="323"/>
      <c r="AW32" s="323"/>
      <c r="AX32" s="323"/>
      <c r="AY32" s="323"/>
      <c r="AZ32" s="323"/>
      <c r="BA32" s="323"/>
      <c r="BB32" s="323"/>
    </row>
    <row r="33" spans="1:54" s="324" customFormat="1" ht="12.75">
      <c r="A33" s="339" t="s">
        <v>7</v>
      </c>
      <c r="B33" s="326">
        <v>101</v>
      </c>
      <c r="C33" s="327">
        <v>101</v>
      </c>
      <c r="D33" s="328">
        <v>309</v>
      </c>
      <c r="E33" s="328">
        <v>0</v>
      </c>
      <c r="F33" s="328">
        <v>0</v>
      </c>
      <c r="G33" s="328">
        <v>0</v>
      </c>
      <c r="H33" s="328">
        <v>176</v>
      </c>
      <c r="I33" s="330">
        <f t="shared" si="7"/>
        <v>234</v>
      </c>
      <c r="J33" s="326">
        <v>80</v>
      </c>
      <c r="K33" s="327">
        <v>80</v>
      </c>
      <c r="L33" s="328">
        <v>63</v>
      </c>
      <c r="M33" s="328">
        <v>0</v>
      </c>
      <c r="N33" s="330">
        <f t="shared" si="8"/>
        <v>143</v>
      </c>
      <c r="O33" s="326">
        <f>136+105</f>
        <v>241</v>
      </c>
      <c r="P33" s="327">
        <v>241</v>
      </c>
      <c r="Q33" s="328">
        <v>150</v>
      </c>
      <c r="R33" s="330">
        <f t="shared" si="9"/>
        <v>91</v>
      </c>
      <c r="S33" s="326">
        <v>4</v>
      </c>
      <c r="T33" s="327">
        <v>4</v>
      </c>
      <c r="U33" s="328">
        <v>0</v>
      </c>
      <c r="V33" s="330">
        <f t="shared" si="10"/>
        <v>4</v>
      </c>
      <c r="W33" s="338"/>
      <c r="X33" s="323"/>
      <c r="Y33" s="323"/>
      <c r="Z33" s="323"/>
      <c r="AA33" s="323"/>
      <c r="AB33" s="323"/>
      <c r="AC33" s="323"/>
      <c r="AD33" s="323"/>
      <c r="AE33" s="323"/>
      <c r="AF33" s="323"/>
      <c r="AG33" s="323"/>
      <c r="AH33" s="323"/>
      <c r="AI33" s="323"/>
      <c r="AJ33" s="323"/>
      <c r="AK33" s="323"/>
      <c r="AL33" s="323"/>
      <c r="AM33" s="323"/>
      <c r="AN33" s="323"/>
      <c r="AO33" s="323"/>
      <c r="AP33" s="323"/>
      <c r="AQ33" s="323"/>
      <c r="AR33" s="323"/>
      <c r="AS33" s="323"/>
      <c r="AT33" s="323"/>
      <c r="AU33" s="323"/>
      <c r="AV33" s="323"/>
      <c r="AW33" s="323"/>
      <c r="AX33" s="323"/>
      <c r="AY33" s="323"/>
      <c r="AZ33" s="323"/>
      <c r="BA33" s="323"/>
      <c r="BB33" s="323"/>
    </row>
    <row r="34" spans="1:54" s="324" customFormat="1" ht="12.75">
      <c r="A34" s="340" t="s">
        <v>102</v>
      </c>
      <c r="B34" s="341">
        <v>208</v>
      </c>
      <c r="C34" s="328">
        <v>208</v>
      </c>
      <c r="D34" s="342">
        <v>1023</v>
      </c>
      <c r="E34" s="343">
        <v>0</v>
      </c>
      <c r="F34" s="343">
        <v>120</v>
      </c>
      <c r="G34" s="343">
        <v>412</v>
      </c>
      <c r="H34" s="343">
        <v>1231</v>
      </c>
      <c r="I34" s="344">
        <f t="shared" si="7"/>
        <v>0</v>
      </c>
      <c r="J34" s="342">
        <v>159</v>
      </c>
      <c r="K34" s="342">
        <v>159</v>
      </c>
      <c r="L34" s="342">
        <v>15</v>
      </c>
      <c r="M34" s="343">
        <f>55+119</f>
        <v>174</v>
      </c>
      <c r="N34" s="345">
        <f t="shared" si="8"/>
        <v>0</v>
      </c>
      <c r="O34" s="317">
        <f>133+45</f>
        <v>178</v>
      </c>
      <c r="P34" s="342">
        <v>178</v>
      </c>
      <c r="Q34" s="343">
        <v>178</v>
      </c>
      <c r="R34" s="344">
        <f t="shared" si="9"/>
        <v>0</v>
      </c>
      <c r="S34" s="317">
        <v>50</v>
      </c>
      <c r="T34" s="342">
        <v>50</v>
      </c>
      <c r="U34" s="343">
        <v>50</v>
      </c>
      <c r="V34" s="344">
        <f t="shared" si="10"/>
        <v>0</v>
      </c>
      <c r="W34" s="323"/>
      <c r="X34" s="323"/>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3"/>
      <c r="AY34" s="323"/>
      <c r="AZ34" s="323"/>
      <c r="BA34" s="323"/>
      <c r="BB34" s="323"/>
    </row>
    <row r="35" spans="1:54" s="324" customFormat="1" ht="12.75">
      <c r="A35" s="346" t="s">
        <v>8</v>
      </c>
      <c r="B35" s="347">
        <v>322</v>
      </c>
      <c r="C35" s="342">
        <v>322</v>
      </c>
      <c r="D35" s="348">
        <v>567</v>
      </c>
      <c r="E35" s="349">
        <v>0</v>
      </c>
      <c r="F35" s="349">
        <v>0</v>
      </c>
      <c r="G35" s="349">
        <v>200</v>
      </c>
      <c r="H35" s="350">
        <v>560</v>
      </c>
      <c r="I35" s="351">
        <f t="shared" si="7"/>
        <v>329</v>
      </c>
      <c r="J35" s="347">
        <v>3</v>
      </c>
      <c r="K35" s="348">
        <v>3</v>
      </c>
      <c r="L35" s="348">
        <v>22</v>
      </c>
      <c r="M35" s="349">
        <v>25</v>
      </c>
      <c r="N35" s="350">
        <f t="shared" si="8"/>
        <v>0</v>
      </c>
      <c r="O35" s="347">
        <f>167+530</f>
        <v>697</v>
      </c>
      <c r="P35" s="348">
        <v>697</v>
      </c>
      <c r="Q35" s="349">
        <v>300</v>
      </c>
      <c r="R35" s="351">
        <f t="shared" si="9"/>
        <v>397</v>
      </c>
      <c r="S35" s="347">
        <v>2</v>
      </c>
      <c r="T35" s="348">
        <v>2</v>
      </c>
      <c r="U35" s="349">
        <v>0</v>
      </c>
      <c r="V35" s="351">
        <f t="shared" si="10"/>
        <v>2</v>
      </c>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23"/>
      <c r="AW35" s="323"/>
      <c r="AX35" s="323"/>
      <c r="AY35" s="323"/>
      <c r="AZ35" s="323"/>
      <c r="BA35" s="323"/>
      <c r="BB35" s="323"/>
    </row>
    <row r="36" spans="1:22" s="324" customFormat="1" ht="12.75">
      <c r="A36" s="352" t="s">
        <v>85</v>
      </c>
      <c r="B36" s="347">
        <v>113</v>
      </c>
      <c r="C36" s="348">
        <v>113</v>
      </c>
      <c r="D36" s="349">
        <v>928</v>
      </c>
      <c r="E36" s="349">
        <v>0</v>
      </c>
      <c r="F36" s="349">
        <v>105</v>
      </c>
      <c r="G36" s="349">
        <v>120</v>
      </c>
      <c r="H36" s="349">
        <v>1041</v>
      </c>
      <c r="I36" s="351">
        <f t="shared" si="7"/>
        <v>0</v>
      </c>
      <c r="J36" s="347">
        <v>42</v>
      </c>
      <c r="K36" s="348">
        <v>42</v>
      </c>
      <c r="L36" s="349">
        <v>19</v>
      </c>
      <c r="M36" s="349">
        <f>27+34</f>
        <v>61</v>
      </c>
      <c r="N36" s="351">
        <f t="shared" si="8"/>
        <v>0</v>
      </c>
      <c r="O36" s="347">
        <f>100+324</f>
        <v>424</v>
      </c>
      <c r="P36" s="348">
        <f>100+90</f>
        <v>190</v>
      </c>
      <c r="Q36" s="349">
        <v>300</v>
      </c>
      <c r="R36" s="351">
        <f t="shared" si="9"/>
        <v>124</v>
      </c>
      <c r="S36" s="347">
        <v>10</v>
      </c>
      <c r="T36" s="348">
        <v>10</v>
      </c>
      <c r="U36" s="349">
        <v>10</v>
      </c>
      <c r="V36" s="351">
        <f t="shared" si="10"/>
        <v>0</v>
      </c>
    </row>
    <row r="37" spans="1:22" s="324" customFormat="1" ht="22.5" customHeight="1">
      <c r="A37" s="353" t="s">
        <v>103</v>
      </c>
      <c r="B37" s="326">
        <v>154</v>
      </c>
      <c r="C37" s="327">
        <v>154</v>
      </c>
      <c r="D37" s="327">
        <v>542</v>
      </c>
      <c r="E37" s="328">
        <v>0</v>
      </c>
      <c r="F37" s="328">
        <v>100</v>
      </c>
      <c r="G37" s="328">
        <v>50</v>
      </c>
      <c r="H37" s="329">
        <v>540</v>
      </c>
      <c r="I37" s="330">
        <f t="shared" si="7"/>
        <v>156</v>
      </c>
      <c r="J37" s="326">
        <f>117+222</f>
        <v>339</v>
      </c>
      <c r="K37" s="327">
        <v>339</v>
      </c>
      <c r="L37" s="327">
        <v>78</v>
      </c>
      <c r="M37" s="328">
        <v>153</v>
      </c>
      <c r="N37" s="329">
        <f t="shared" si="8"/>
        <v>264</v>
      </c>
      <c r="O37" s="326">
        <f>113+275</f>
        <v>388</v>
      </c>
      <c r="P37" s="327">
        <v>388</v>
      </c>
      <c r="Q37" s="328">
        <v>354</v>
      </c>
      <c r="R37" s="330">
        <f t="shared" si="9"/>
        <v>34</v>
      </c>
      <c r="S37" s="326">
        <f>28+184</f>
        <v>212</v>
      </c>
      <c r="T37" s="327">
        <v>212</v>
      </c>
      <c r="U37" s="328">
        <v>150</v>
      </c>
      <c r="V37" s="330">
        <f t="shared" si="10"/>
        <v>62</v>
      </c>
    </row>
    <row r="38" spans="1:22" s="324" customFormat="1" ht="12.75">
      <c r="A38" s="325" t="s">
        <v>34</v>
      </c>
      <c r="B38" s="347">
        <v>206</v>
      </c>
      <c r="C38" s="348">
        <v>206</v>
      </c>
      <c r="D38" s="348">
        <v>149</v>
      </c>
      <c r="E38" s="349">
        <v>0</v>
      </c>
      <c r="F38" s="349">
        <v>0</v>
      </c>
      <c r="G38" s="349">
        <v>50</v>
      </c>
      <c r="H38" s="350">
        <v>107</v>
      </c>
      <c r="I38" s="351">
        <f t="shared" si="7"/>
        <v>248</v>
      </c>
      <c r="J38" s="347">
        <v>52</v>
      </c>
      <c r="K38" s="348">
        <v>52</v>
      </c>
      <c r="L38" s="348">
        <v>103</v>
      </c>
      <c r="M38" s="349">
        <v>23</v>
      </c>
      <c r="N38" s="350">
        <f t="shared" si="8"/>
        <v>132</v>
      </c>
      <c r="O38" s="347">
        <f>95+208</f>
        <v>303</v>
      </c>
      <c r="P38" s="348">
        <v>303</v>
      </c>
      <c r="Q38" s="349">
        <v>170</v>
      </c>
      <c r="R38" s="351">
        <f t="shared" si="9"/>
        <v>133</v>
      </c>
      <c r="S38" s="347">
        <v>3</v>
      </c>
      <c r="T38" s="348">
        <v>3</v>
      </c>
      <c r="U38" s="349">
        <v>0</v>
      </c>
      <c r="V38" s="351">
        <f t="shared" si="10"/>
        <v>3</v>
      </c>
    </row>
    <row r="39" spans="1:22" s="324" customFormat="1" ht="13.5" thickBot="1">
      <c r="A39" s="346" t="s">
        <v>35</v>
      </c>
      <c r="B39" s="347">
        <v>132</v>
      </c>
      <c r="C39" s="348">
        <v>132</v>
      </c>
      <c r="D39" s="348">
        <v>680</v>
      </c>
      <c r="E39" s="349">
        <v>150</v>
      </c>
      <c r="F39" s="349">
        <v>0</v>
      </c>
      <c r="G39" s="349">
        <v>0</v>
      </c>
      <c r="H39" s="350">
        <v>758</v>
      </c>
      <c r="I39" s="351">
        <f t="shared" si="7"/>
        <v>54</v>
      </c>
      <c r="J39" s="347">
        <v>395</v>
      </c>
      <c r="K39" s="348">
        <v>395</v>
      </c>
      <c r="L39" s="348">
        <v>20</v>
      </c>
      <c r="M39" s="349">
        <v>50</v>
      </c>
      <c r="N39" s="350">
        <f t="shared" si="8"/>
        <v>365</v>
      </c>
      <c r="O39" s="347">
        <v>271</v>
      </c>
      <c r="P39" s="348">
        <v>271</v>
      </c>
      <c r="Q39" s="349">
        <v>270</v>
      </c>
      <c r="R39" s="351">
        <f t="shared" si="9"/>
        <v>1</v>
      </c>
      <c r="S39" s="347">
        <v>10</v>
      </c>
      <c r="T39" s="348">
        <v>10</v>
      </c>
      <c r="U39" s="349">
        <v>0</v>
      </c>
      <c r="V39" s="351">
        <f t="shared" si="10"/>
        <v>10</v>
      </c>
    </row>
    <row r="40" spans="1:23" s="86" customFormat="1" ht="13.5" thickBot="1">
      <c r="A40" s="166" t="s">
        <v>20</v>
      </c>
      <c r="B40" s="167">
        <f aca="true" t="shared" si="11" ref="B40:V40">SUM(B41+B42+B43+B44+B45+B46+B53+B54+B55+B56+B57+B58+B59+B60+B61+B62+B63)</f>
        <v>8223</v>
      </c>
      <c r="C40" s="165">
        <f t="shared" si="11"/>
        <v>8149</v>
      </c>
      <c r="D40" s="165">
        <f t="shared" si="11"/>
        <v>23799</v>
      </c>
      <c r="E40" s="165">
        <f t="shared" si="11"/>
        <v>8496</v>
      </c>
      <c r="F40" s="165">
        <f t="shared" si="11"/>
        <v>3185</v>
      </c>
      <c r="G40" s="165">
        <f t="shared" si="11"/>
        <v>4272</v>
      </c>
      <c r="H40" s="192">
        <f t="shared" si="11"/>
        <v>26116</v>
      </c>
      <c r="I40" s="29">
        <f t="shared" si="11"/>
        <v>5906</v>
      </c>
      <c r="J40" s="167">
        <f t="shared" si="11"/>
        <v>7509</v>
      </c>
      <c r="K40" s="165">
        <f t="shared" si="11"/>
        <v>6119</v>
      </c>
      <c r="L40" s="165">
        <f t="shared" si="11"/>
        <v>2701</v>
      </c>
      <c r="M40" s="165">
        <f t="shared" si="11"/>
        <v>7452</v>
      </c>
      <c r="N40" s="29">
        <f t="shared" si="11"/>
        <v>2758</v>
      </c>
      <c r="O40" s="167">
        <f t="shared" si="11"/>
        <v>7414</v>
      </c>
      <c r="P40" s="167">
        <f t="shared" si="11"/>
        <v>6888</v>
      </c>
      <c r="Q40" s="165">
        <f t="shared" si="11"/>
        <v>4908</v>
      </c>
      <c r="R40" s="29">
        <f t="shared" si="11"/>
        <v>2506</v>
      </c>
      <c r="S40" s="167">
        <f t="shared" si="11"/>
        <v>4146</v>
      </c>
      <c r="T40" s="165">
        <f t="shared" si="11"/>
        <v>4146</v>
      </c>
      <c r="U40" s="165">
        <f t="shared" si="11"/>
        <v>1885</v>
      </c>
      <c r="V40" s="29">
        <f t="shared" si="11"/>
        <v>2261</v>
      </c>
      <c r="W40" s="193"/>
    </row>
    <row r="41" spans="1:22" s="40" customFormat="1" ht="24" customHeight="1">
      <c r="A41" s="146" t="s">
        <v>118</v>
      </c>
      <c r="B41" s="188">
        <v>41</v>
      </c>
      <c r="C41" s="189">
        <v>41</v>
      </c>
      <c r="D41" s="189">
        <v>741</v>
      </c>
      <c r="E41" s="190">
        <v>0</v>
      </c>
      <c r="F41" s="190">
        <v>370</v>
      </c>
      <c r="G41" s="190">
        <v>45</v>
      </c>
      <c r="H41" s="191">
        <v>655</v>
      </c>
      <c r="I41" s="71">
        <f aca="true" t="shared" si="12" ref="I41:I46">B41+D41-H41</f>
        <v>127</v>
      </c>
      <c r="J41" s="168">
        <v>33</v>
      </c>
      <c r="K41" s="170">
        <v>33</v>
      </c>
      <c r="L41" s="170">
        <f>395+2</f>
        <v>397</v>
      </c>
      <c r="M41" s="170">
        <v>395</v>
      </c>
      <c r="N41" s="38">
        <f aca="true" t="shared" si="13" ref="N41:N46">J41+L41-M41</f>
        <v>35</v>
      </c>
      <c r="O41" s="188">
        <v>116</v>
      </c>
      <c r="P41" s="194">
        <v>116</v>
      </c>
      <c r="Q41" s="195">
        <v>116</v>
      </c>
      <c r="R41" s="71">
        <f aca="true" t="shared" si="14" ref="R41:R46">O41-Q41</f>
        <v>0</v>
      </c>
      <c r="S41" s="188">
        <f>1+5</f>
        <v>6</v>
      </c>
      <c r="T41" s="189">
        <f>1+5</f>
        <v>6</v>
      </c>
      <c r="U41" s="190">
        <v>0</v>
      </c>
      <c r="V41" s="71">
        <f aca="true" t="shared" si="15" ref="V41:V46">S41-U41</f>
        <v>6</v>
      </c>
    </row>
    <row r="42" spans="1:22" s="40" customFormat="1" ht="33.75">
      <c r="A42" s="57" t="s">
        <v>119</v>
      </c>
      <c r="B42" s="196">
        <v>41</v>
      </c>
      <c r="C42" s="197">
        <v>41</v>
      </c>
      <c r="D42" s="197">
        <v>1493</v>
      </c>
      <c r="E42" s="198">
        <v>800</v>
      </c>
      <c r="F42" s="198">
        <v>0</v>
      </c>
      <c r="G42" s="198">
        <v>200</v>
      </c>
      <c r="H42" s="199">
        <v>1527</v>
      </c>
      <c r="I42" s="47">
        <f>B42+D42-H42</f>
        <v>7</v>
      </c>
      <c r="J42" s="188">
        <f>31+356</f>
        <v>387</v>
      </c>
      <c r="K42" s="189">
        <v>31</v>
      </c>
      <c r="L42" s="189">
        <v>167</v>
      </c>
      <c r="M42" s="190">
        <f>100+356</f>
        <v>456</v>
      </c>
      <c r="N42" s="191">
        <f t="shared" si="13"/>
        <v>98</v>
      </c>
      <c r="O42" s="188">
        <f>95+86</f>
        <v>181</v>
      </c>
      <c r="P42" s="189">
        <v>181</v>
      </c>
      <c r="Q42" s="190">
        <v>140</v>
      </c>
      <c r="R42" s="71">
        <f t="shared" si="14"/>
        <v>41</v>
      </c>
      <c r="S42" s="188">
        <v>79</v>
      </c>
      <c r="T42" s="189">
        <v>79</v>
      </c>
      <c r="U42" s="190">
        <v>0</v>
      </c>
      <c r="V42" s="71">
        <f t="shared" si="15"/>
        <v>79</v>
      </c>
    </row>
    <row r="43" spans="1:22" s="40" customFormat="1" ht="23.25" customHeight="1">
      <c r="A43" s="31" t="s">
        <v>120</v>
      </c>
      <c r="B43" s="196">
        <v>74</v>
      </c>
      <c r="C43" s="197">
        <v>0</v>
      </c>
      <c r="D43" s="197">
        <v>446</v>
      </c>
      <c r="E43" s="198">
        <v>60</v>
      </c>
      <c r="F43" s="198">
        <v>0</v>
      </c>
      <c r="G43" s="198">
        <v>0</v>
      </c>
      <c r="H43" s="199">
        <v>318</v>
      </c>
      <c r="I43" s="47">
        <f t="shared" si="12"/>
        <v>202</v>
      </c>
      <c r="J43" s="188">
        <v>70</v>
      </c>
      <c r="K43" s="189">
        <v>70</v>
      </c>
      <c r="L43" s="189">
        <v>80</v>
      </c>
      <c r="M43" s="190">
        <v>60</v>
      </c>
      <c r="N43" s="191">
        <f t="shared" si="13"/>
        <v>90</v>
      </c>
      <c r="O43" s="188">
        <f>128+155</f>
        <v>283</v>
      </c>
      <c r="P43" s="189">
        <v>283</v>
      </c>
      <c r="Q43" s="190">
        <v>204</v>
      </c>
      <c r="R43" s="71">
        <f t="shared" si="14"/>
        <v>79</v>
      </c>
      <c r="S43" s="188">
        <f>3+126</f>
        <v>129</v>
      </c>
      <c r="T43" s="189">
        <f>3+126</f>
        <v>129</v>
      </c>
      <c r="U43" s="190">
        <v>0</v>
      </c>
      <c r="V43" s="71">
        <f t="shared" si="15"/>
        <v>129</v>
      </c>
    </row>
    <row r="44" spans="1:22" s="40" customFormat="1" ht="27.75" customHeight="1">
      <c r="A44" s="57" t="s">
        <v>121</v>
      </c>
      <c r="B44" s="196">
        <v>483</v>
      </c>
      <c r="C44" s="197">
        <v>483</v>
      </c>
      <c r="D44" s="197">
        <v>360</v>
      </c>
      <c r="E44" s="198">
        <v>200</v>
      </c>
      <c r="F44" s="198">
        <v>0</v>
      </c>
      <c r="G44" s="198">
        <v>0</v>
      </c>
      <c r="H44" s="199">
        <v>436</v>
      </c>
      <c r="I44" s="47">
        <f t="shared" si="12"/>
        <v>407</v>
      </c>
      <c r="J44" s="188">
        <v>289</v>
      </c>
      <c r="K44" s="189">
        <v>289</v>
      </c>
      <c r="L44" s="189">
        <v>184</v>
      </c>
      <c r="M44" s="190">
        <v>300</v>
      </c>
      <c r="N44" s="191">
        <f t="shared" si="13"/>
        <v>173</v>
      </c>
      <c r="O44" s="188">
        <f>105+93</f>
        <v>198</v>
      </c>
      <c r="P44" s="189">
        <v>198</v>
      </c>
      <c r="Q44" s="190">
        <v>198</v>
      </c>
      <c r="R44" s="71">
        <f t="shared" si="14"/>
        <v>0</v>
      </c>
      <c r="S44" s="188">
        <f>50+54</f>
        <v>104</v>
      </c>
      <c r="T44" s="189">
        <f>50+54</f>
        <v>104</v>
      </c>
      <c r="U44" s="190">
        <v>0</v>
      </c>
      <c r="V44" s="71">
        <f t="shared" si="15"/>
        <v>104</v>
      </c>
    </row>
    <row r="45" spans="1:22" s="40" customFormat="1" ht="15" customHeight="1">
      <c r="A45" s="145" t="s">
        <v>122</v>
      </c>
      <c r="B45" s="196">
        <v>32</v>
      </c>
      <c r="C45" s="197">
        <v>32</v>
      </c>
      <c r="D45" s="197">
        <v>1941</v>
      </c>
      <c r="E45" s="198">
        <v>1304</v>
      </c>
      <c r="F45" s="198">
        <v>0</v>
      </c>
      <c r="G45" s="198">
        <v>484</v>
      </c>
      <c r="H45" s="199">
        <v>1973</v>
      </c>
      <c r="I45" s="47">
        <f t="shared" si="12"/>
        <v>0</v>
      </c>
      <c r="J45" s="188">
        <v>241</v>
      </c>
      <c r="K45" s="189">
        <v>241</v>
      </c>
      <c r="L45" s="189">
        <v>0</v>
      </c>
      <c r="M45" s="190">
        <v>0</v>
      </c>
      <c r="N45" s="191">
        <f t="shared" si="13"/>
        <v>241</v>
      </c>
      <c r="O45" s="188">
        <f>177+106</f>
        <v>283</v>
      </c>
      <c r="P45" s="189">
        <v>283</v>
      </c>
      <c r="Q45" s="190">
        <v>273</v>
      </c>
      <c r="R45" s="71">
        <f t="shared" si="14"/>
        <v>10</v>
      </c>
      <c r="S45" s="188">
        <f>223+205</f>
        <v>428</v>
      </c>
      <c r="T45" s="189">
        <f>223+205</f>
        <v>428</v>
      </c>
      <c r="U45" s="190">
        <v>428</v>
      </c>
      <c r="V45" s="71">
        <f t="shared" si="15"/>
        <v>0</v>
      </c>
    </row>
    <row r="46" spans="1:22" s="40" customFormat="1" ht="24.75" customHeight="1" thickBot="1">
      <c r="A46" s="142" t="s">
        <v>123</v>
      </c>
      <c r="B46" s="200">
        <v>486</v>
      </c>
      <c r="C46" s="201">
        <v>486</v>
      </c>
      <c r="D46" s="201">
        <v>1782</v>
      </c>
      <c r="E46" s="202">
        <v>284</v>
      </c>
      <c r="F46" s="202">
        <v>750</v>
      </c>
      <c r="G46" s="202">
        <v>0</v>
      </c>
      <c r="H46" s="203">
        <v>1791</v>
      </c>
      <c r="I46" s="204">
        <f t="shared" si="12"/>
        <v>477</v>
      </c>
      <c r="J46" s="205">
        <f>190+356</f>
        <v>546</v>
      </c>
      <c r="K46" s="206">
        <f>190+356</f>
        <v>546</v>
      </c>
      <c r="L46" s="206">
        <v>21</v>
      </c>
      <c r="M46" s="207">
        <f>50+356</f>
        <v>406</v>
      </c>
      <c r="N46" s="208">
        <f t="shared" si="13"/>
        <v>161</v>
      </c>
      <c r="O46" s="205">
        <f>160+592</f>
        <v>752</v>
      </c>
      <c r="P46" s="206">
        <v>752</v>
      </c>
      <c r="Q46" s="207">
        <v>447</v>
      </c>
      <c r="R46" s="63">
        <f t="shared" si="14"/>
        <v>305</v>
      </c>
      <c r="S46" s="205">
        <f>0+1</f>
        <v>1</v>
      </c>
      <c r="T46" s="206">
        <f>1</f>
        <v>1</v>
      </c>
      <c r="U46" s="207">
        <v>0</v>
      </c>
      <c r="V46" s="63">
        <f t="shared" si="15"/>
        <v>1</v>
      </c>
    </row>
    <row r="47" spans="1:22" s="40" customFormat="1" ht="12.75">
      <c r="A47" s="209"/>
      <c r="B47" s="128"/>
      <c r="C47" s="128"/>
      <c r="D47" s="128"/>
      <c r="E47" s="128"/>
      <c r="F47" s="128"/>
      <c r="G47" s="128"/>
      <c r="H47" s="128"/>
      <c r="I47" s="128"/>
      <c r="J47" s="210"/>
      <c r="K47" s="210"/>
      <c r="L47" s="210"/>
      <c r="M47" s="210"/>
      <c r="N47" s="210"/>
      <c r="O47" s="210"/>
      <c r="P47" s="210"/>
      <c r="Q47" s="210"/>
      <c r="R47" s="210"/>
      <c r="S47" s="210"/>
      <c r="T47" s="210"/>
      <c r="U47" s="210"/>
      <c r="V47" s="210"/>
    </row>
    <row r="48" spans="1:23" ht="18" customHeight="1" thickBot="1">
      <c r="A48" s="423" t="s">
        <v>147</v>
      </c>
      <c r="B48" s="423"/>
      <c r="C48" s="423"/>
      <c r="D48" s="423"/>
      <c r="E48" s="423"/>
      <c r="F48" s="423"/>
      <c r="G48" s="423"/>
      <c r="H48" s="423"/>
      <c r="I48" s="423"/>
      <c r="J48" s="423"/>
      <c r="K48" s="423"/>
      <c r="L48" s="423"/>
      <c r="M48" s="423"/>
      <c r="N48" s="423"/>
      <c r="O48" s="423"/>
      <c r="P48" s="423"/>
      <c r="Q48" s="423"/>
      <c r="R48" s="423"/>
      <c r="S48" s="423"/>
      <c r="T48" s="423"/>
      <c r="U48" s="423"/>
      <c r="V48" s="423"/>
      <c r="W48" s="16"/>
    </row>
    <row r="49" spans="1:22" ht="12.75">
      <c r="A49" s="3"/>
      <c r="B49" s="4" t="s">
        <v>12</v>
      </c>
      <c r="C49" s="5"/>
      <c r="D49" s="5"/>
      <c r="E49" s="5"/>
      <c r="F49" s="5"/>
      <c r="G49" s="5"/>
      <c r="H49" s="5"/>
      <c r="I49" s="6"/>
      <c r="J49" s="4" t="s">
        <v>13</v>
      </c>
      <c r="K49" s="5"/>
      <c r="L49" s="7"/>
      <c r="M49" s="5"/>
      <c r="N49" s="6"/>
      <c r="O49" s="504" t="s">
        <v>14</v>
      </c>
      <c r="P49" s="505"/>
      <c r="Q49" s="505"/>
      <c r="R49" s="506"/>
      <c r="S49" s="504" t="s">
        <v>15</v>
      </c>
      <c r="T49" s="507"/>
      <c r="U49" s="507"/>
      <c r="V49" s="508"/>
    </row>
    <row r="50" spans="1:23" s="13" customFormat="1" ht="14.25" customHeight="1">
      <c r="A50" s="9" t="s">
        <v>3</v>
      </c>
      <c r="B50" s="487" t="s">
        <v>149</v>
      </c>
      <c r="C50" s="499" t="s">
        <v>150</v>
      </c>
      <c r="D50" s="484" t="s">
        <v>81</v>
      </c>
      <c r="E50" s="10" t="s">
        <v>16</v>
      </c>
      <c r="F50" s="10"/>
      <c r="G50" s="10"/>
      <c r="H50" s="11"/>
      <c r="I50" s="490" t="s">
        <v>151</v>
      </c>
      <c r="J50" s="487" t="s">
        <v>149</v>
      </c>
      <c r="K50" s="499" t="s">
        <v>150</v>
      </c>
      <c r="L50" s="484" t="s">
        <v>83</v>
      </c>
      <c r="M50" s="496" t="s">
        <v>84</v>
      </c>
      <c r="N50" s="490" t="s">
        <v>151</v>
      </c>
      <c r="O50" s="487" t="s">
        <v>152</v>
      </c>
      <c r="P50" s="493" t="s">
        <v>153</v>
      </c>
      <c r="Q50" s="496" t="s">
        <v>84</v>
      </c>
      <c r="R50" s="490" t="s">
        <v>151</v>
      </c>
      <c r="S50" s="487" t="s">
        <v>152</v>
      </c>
      <c r="T50" s="493" t="s">
        <v>153</v>
      </c>
      <c r="U50" s="496" t="s">
        <v>84</v>
      </c>
      <c r="V50" s="490" t="s">
        <v>151</v>
      </c>
      <c r="W50" s="12" t="s">
        <v>19</v>
      </c>
    </row>
    <row r="51" spans="1:22" ht="12.75" customHeight="1">
      <c r="A51" s="14"/>
      <c r="B51" s="488"/>
      <c r="C51" s="500" t="s">
        <v>33</v>
      </c>
      <c r="D51" s="485"/>
      <c r="E51" s="502" t="s">
        <v>90</v>
      </c>
      <c r="F51" s="502" t="s">
        <v>62</v>
      </c>
      <c r="G51" s="502" t="s">
        <v>63</v>
      </c>
      <c r="H51" s="496" t="s">
        <v>82</v>
      </c>
      <c r="I51" s="491"/>
      <c r="J51" s="488"/>
      <c r="K51" s="500" t="s">
        <v>33</v>
      </c>
      <c r="L51" s="485"/>
      <c r="M51" s="497"/>
      <c r="N51" s="491"/>
      <c r="O51" s="488"/>
      <c r="P51" s="494"/>
      <c r="Q51" s="497"/>
      <c r="R51" s="491"/>
      <c r="S51" s="488"/>
      <c r="T51" s="494"/>
      <c r="U51" s="497"/>
      <c r="V51" s="491"/>
    </row>
    <row r="52" spans="1:22" ht="53.25" customHeight="1" thickBot="1">
      <c r="A52" s="15" t="s">
        <v>19</v>
      </c>
      <c r="B52" s="489"/>
      <c r="C52" s="501" t="s">
        <v>61</v>
      </c>
      <c r="D52" s="486"/>
      <c r="E52" s="503"/>
      <c r="F52" s="503"/>
      <c r="G52" s="503"/>
      <c r="H52" s="498"/>
      <c r="I52" s="492"/>
      <c r="J52" s="489"/>
      <c r="K52" s="501" t="s">
        <v>61</v>
      </c>
      <c r="L52" s="486"/>
      <c r="M52" s="498"/>
      <c r="N52" s="492"/>
      <c r="O52" s="489"/>
      <c r="P52" s="495"/>
      <c r="Q52" s="498"/>
      <c r="R52" s="492"/>
      <c r="S52" s="489"/>
      <c r="T52" s="495"/>
      <c r="U52" s="498"/>
      <c r="V52" s="492"/>
    </row>
    <row r="53" spans="1:22" s="40" customFormat="1" ht="24" customHeight="1">
      <c r="A53" s="31" t="s">
        <v>124</v>
      </c>
      <c r="B53" s="175">
        <v>362</v>
      </c>
      <c r="C53" s="176">
        <v>362</v>
      </c>
      <c r="D53" s="176">
        <v>414</v>
      </c>
      <c r="E53" s="177">
        <v>0</v>
      </c>
      <c r="F53" s="177">
        <v>0</v>
      </c>
      <c r="G53" s="177">
        <v>0</v>
      </c>
      <c r="H53" s="178">
        <v>212</v>
      </c>
      <c r="I53" s="70">
        <f aca="true" t="shared" si="16" ref="I53:I63">B53+D53-H53</f>
        <v>564</v>
      </c>
      <c r="J53" s="175">
        <v>110</v>
      </c>
      <c r="K53" s="176">
        <v>110</v>
      </c>
      <c r="L53" s="176">
        <v>31</v>
      </c>
      <c r="M53" s="177">
        <v>0</v>
      </c>
      <c r="N53" s="178">
        <f aca="true" t="shared" si="17" ref="N53:N63">J53+L53-M53</f>
        <v>141</v>
      </c>
      <c r="O53" s="175">
        <f>92+57</f>
        <v>149</v>
      </c>
      <c r="P53" s="176">
        <f>92+57</f>
        <v>149</v>
      </c>
      <c r="Q53" s="177">
        <v>149</v>
      </c>
      <c r="R53" s="70">
        <f aca="true" t="shared" si="18" ref="R53:R63">O53-Q53</f>
        <v>0</v>
      </c>
      <c r="S53" s="175">
        <v>64</v>
      </c>
      <c r="T53" s="176">
        <v>64</v>
      </c>
      <c r="U53" s="177">
        <v>0</v>
      </c>
      <c r="V53" s="70">
        <f aca="true" t="shared" si="19" ref="V53:V63">S53-U53</f>
        <v>64</v>
      </c>
    </row>
    <row r="54" spans="1:22" s="40" customFormat="1" ht="13.5" customHeight="1">
      <c r="A54" s="31" t="s">
        <v>56</v>
      </c>
      <c r="B54" s="168">
        <v>90</v>
      </c>
      <c r="C54" s="169">
        <v>90</v>
      </c>
      <c r="D54" s="169">
        <v>682</v>
      </c>
      <c r="E54" s="170">
        <v>0</v>
      </c>
      <c r="F54" s="170">
        <v>0</v>
      </c>
      <c r="G54" s="170">
        <v>343</v>
      </c>
      <c r="H54" s="171">
        <v>772</v>
      </c>
      <c r="I54" s="38">
        <f t="shared" si="16"/>
        <v>0</v>
      </c>
      <c r="J54" s="168">
        <v>93</v>
      </c>
      <c r="K54" s="169">
        <v>93</v>
      </c>
      <c r="L54" s="169">
        <v>27</v>
      </c>
      <c r="M54" s="170">
        <v>120</v>
      </c>
      <c r="N54" s="171">
        <f t="shared" si="17"/>
        <v>0</v>
      </c>
      <c r="O54" s="168">
        <f>96+143</f>
        <v>239</v>
      </c>
      <c r="P54" s="169">
        <f>96+145</f>
        <v>241</v>
      </c>
      <c r="Q54" s="170">
        <v>209</v>
      </c>
      <c r="R54" s="38">
        <f t="shared" si="18"/>
        <v>30</v>
      </c>
      <c r="S54" s="168">
        <f>7+7</f>
        <v>14</v>
      </c>
      <c r="T54" s="169">
        <f>7+7</f>
        <v>14</v>
      </c>
      <c r="U54" s="170">
        <v>14</v>
      </c>
      <c r="V54" s="38">
        <f t="shared" si="19"/>
        <v>0</v>
      </c>
    </row>
    <row r="55" spans="1:23" s="40" customFormat="1" ht="30.75" customHeight="1">
      <c r="A55" s="211" t="s">
        <v>86</v>
      </c>
      <c r="B55" s="168">
        <v>1489</v>
      </c>
      <c r="C55" s="212">
        <v>1489</v>
      </c>
      <c r="D55" s="212">
        <v>3167</v>
      </c>
      <c r="E55" s="213">
        <v>2530</v>
      </c>
      <c r="F55" s="213">
        <v>0</v>
      </c>
      <c r="G55" s="213">
        <v>0</v>
      </c>
      <c r="H55" s="214">
        <v>4082</v>
      </c>
      <c r="I55" s="34">
        <f t="shared" si="16"/>
        <v>574</v>
      </c>
      <c r="J55" s="168">
        <f>501+421</f>
        <v>922</v>
      </c>
      <c r="K55" s="169">
        <f>501+421</f>
        <v>922</v>
      </c>
      <c r="L55" s="169">
        <f>562+18</f>
        <v>580</v>
      </c>
      <c r="M55" s="170">
        <f>400+438</f>
        <v>838</v>
      </c>
      <c r="N55" s="171">
        <f t="shared" si="17"/>
        <v>664</v>
      </c>
      <c r="O55" s="168">
        <f>426+700</f>
        <v>1126</v>
      </c>
      <c r="P55" s="169">
        <f>426+452</f>
        <v>878</v>
      </c>
      <c r="Q55" s="170">
        <v>537</v>
      </c>
      <c r="R55" s="38">
        <f t="shared" si="18"/>
        <v>589</v>
      </c>
      <c r="S55" s="168">
        <f>140+507</f>
        <v>647</v>
      </c>
      <c r="T55" s="169">
        <f>140+507</f>
        <v>647</v>
      </c>
      <c r="U55" s="170">
        <v>300</v>
      </c>
      <c r="V55" s="38">
        <f t="shared" si="19"/>
        <v>347</v>
      </c>
      <c r="W55" s="172"/>
    </row>
    <row r="56" spans="1:22" s="40" customFormat="1" ht="31.5" customHeight="1">
      <c r="A56" s="143" t="s">
        <v>130</v>
      </c>
      <c r="B56" s="168">
        <v>478</v>
      </c>
      <c r="C56" s="212">
        <v>478</v>
      </c>
      <c r="D56" s="212">
        <v>447</v>
      </c>
      <c r="E56" s="213">
        <v>130</v>
      </c>
      <c r="F56" s="213">
        <v>0</v>
      </c>
      <c r="G56" s="213">
        <v>0</v>
      </c>
      <c r="H56" s="214">
        <v>446</v>
      </c>
      <c r="I56" s="34">
        <f t="shared" si="16"/>
        <v>479</v>
      </c>
      <c r="J56" s="168">
        <v>331</v>
      </c>
      <c r="K56" s="169">
        <v>0</v>
      </c>
      <c r="L56" s="169">
        <f>130+29</f>
        <v>159</v>
      </c>
      <c r="M56" s="170">
        <f>400+29</f>
        <v>429</v>
      </c>
      <c r="N56" s="171">
        <f t="shared" si="17"/>
        <v>61</v>
      </c>
      <c r="O56" s="168">
        <f>115+49</f>
        <v>164</v>
      </c>
      <c r="P56" s="169">
        <f>115+22</f>
        <v>137</v>
      </c>
      <c r="Q56" s="170">
        <v>130</v>
      </c>
      <c r="R56" s="38">
        <f t="shared" si="18"/>
        <v>34</v>
      </c>
      <c r="S56" s="168">
        <f>34+68</f>
        <v>102</v>
      </c>
      <c r="T56" s="169">
        <f>34+68</f>
        <v>102</v>
      </c>
      <c r="U56" s="170">
        <v>32</v>
      </c>
      <c r="V56" s="38">
        <f t="shared" si="19"/>
        <v>70</v>
      </c>
    </row>
    <row r="57" spans="1:22" s="40" customFormat="1" ht="22.5" customHeight="1">
      <c r="A57" s="57" t="s">
        <v>70</v>
      </c>
      <c r="B57" s="168">
        <v>360</v>
      </c>
      <c r="C57" s="212">
        <v>360</v>
      </c>
      <c r="D57" s="212">
        <v>2536</v>
      </c>
      <c r="E57" s="213">
        <v>300</v>
      </c>
      <c r="F57" s="213">
        <v>1505</v>
      </c>
      <c r="G57" s="213">
        <v>0</v>
      </c>
      <c r="H57" s="214">
        <v>2659</v>
      </c>
      <c r="I57" s="34">
        <f t="shared" si="16"/>
        <v>237</v>
      </c>
      <c r="J57" s="168">
        <f>234+653</f>
        <v>887</v>
      </c>
      <c r="K57" s="169">
        <f>234+653</f>
        <v>887</v>
      </c>
      <c r="L57" s="169">
        <v>129</v>
      </c>
      <c r="M57" s="170">
        <f>250+653</f>
        <v>903</v>
      </c>
      <c r="N57" s="171">
        <f t="shared" si="17"/>
        <v>113</v>
      </c>
      <c r="O57" s="168">
        <f>220+346</f>
        <v>566</v>
      </c>
      <c r="P57" s="169">
        <f>220+341</f>
        <v>561</v>
      </c>
      <c r="Q57" s="170">
        <v>300</v>
      </c>
      <c r="R57" s="38">
        <f t="shared" si="18"/>
        <v>266</v>
      </c>
      <c r="S57" s="168">
        <v>94</v>
      </c>
      <c r="T57" s="169">
        <f>94</f>
        <v>94</v>
      </c>
      <c r="U57" s="170">
        <v>44</v>
      </c>
      <c r="V57" s="38">
        <f t="shared" si="19"/>
        <v>50</v>
      </c>
    </row>
    <row r="58" spans="1:22" s="40" customFormat="1" ht="28.5" customHeight="1">
      <c r="A58" s="143" t="s">
        <v>125</v>
      </c>
      <c r="B58" s="168">
        <v>952</v>
      </c>
      <c r="C58" s="212">
        <v>952</v>
      </c>
      <c r="D58" s="212">
        <v>4417</v>
      </c>
      <c r="E58" s="213">
        <v>363</v>
      </c>
      <c r="F58" s="213">
        <v>260</v>
      </c>
      <c r="G58" s="213">
        <v>2300</v>
      </c>
      <c r="H58" s="214">
        <v>5347</v>
      </c>
      <c r="I58" s="34">
        <f t="shared" si="16"/>
        <v>22</v>
      </c>
      <c r="J58" s="168">
        <f>595+1350</f>
        <v>1945</v>
      </c>
      <c r="K58" s="169">
        <f>595+1350</f>
        <v>1945</v>
      </c>
      <c r="L58" s="169">
        <v>169</v>
      </c>
      <c r="M58" s="170">
        <f>500+1350</f>
        <v>1850</v>
      </c>
      <c r="N58" s="171">
        <f t="shared" si="17"/>
        <v>264</v>
      </c>
      <c r="O58" s="168">
        <f>370+159</f>
        <v>529</v>
      </c>
      <c r="P58" s="169">
        <f>370+159</f>
        <v>529</v>
      </c>
      <c r="Q58" s="170">
        <v>529</v>
      </c>
      <c r="R58" s="38">
        <f t="shared" si="18"/>
        <v>0</v>
      </c>
      <c r="S58" s="168">
        <f>100+1153</f>
        <v>1253</v>
      </c>
      <c r="T58" s="169">
        <f>100+1153</f>
        <v>1253</v>
      </c>
      <c r="U58" s="170">
        <v>500</v>
      </c>
      <c r="V58" s="38">
        <f t="shared" si="19"/>
        <v>753</v>
      </c>
    </row>
    <row r="59" spans="1:23" s="40" customFormat="1" ht="25.5" customHeight="1">
      <c r="A59" s="143" t="s">
        <v>126</v>
      </c>
      <c r="B59" s="168">
        <v>321</v>
      </c>
      <c r="C59" s="212">
        <v>321</v>
      </c>
      <c r="D59" s="212">
        <v>1157</v>
      </c>
      <c r="E59" s="213">
        <v>620</v>
      </c>
      <c r="F59" s="213">
        <v>0</v>
      </c>
      <c r="G59" s="213">
        <v>0</v>
      </c>
      <c r="H59" s="214">
        <v>1228</v>
      </c>
      <c r="I59" s="34">
        <f t="shared" si="16"/>
        <v>250</v>
      </c>
      <c r="J59" s="168">
        <v>703</v>
      </c>
      <c r="K59" s="169">
        <v>0</v>
      </c>
      <c r="L59" s="169">
        <v>371</v>
      </c>
      <c r="M59" s="170">
        <v>850</v>
      </c>
      <c r="N59" s="171">
        <f t="shared" si="17"/>
        <v>224</v>
      </c>
      <c r="O59" s="168">
        <f>216+980</f>
        <v>1196</v>
      </c>
      <c r="P59" s="169">
        <f>216+919</f>
        <v>1135</v>
      </c>
      <c r="Q59" s="170">
        <f>320</f>
        <v>320</v>
      </c>
      <c r="R59" s="38">
        <f t="shared" si="18"/>
        <v>876</v>
      </c>
      <c r="S59" s="168">
        <f>512</f>
        <v>512</v>
      </c>
      <c r="T59" s="169">
        <f>512</f>
        <v>512</v>
      </c>
      <c r="U59" s="170">
        <v>0</v>
      </c>
      <c r="V59" s="38">
        <f t="shared" si="19"/>
        <v>512</v>
      </c>
      <c r="W59" s="174"/>
    </row>
    <row r="60" spans="1:23" s="40" customFormat="1" ht="27" customHeight="1">
      <c r="A60" s="57" t="s">
        <v>127</v>
      </c>
      <c r="B60" s="168">
        <v>1110</v>
      </c>
      <c r="C60" s="212">
        <v>1110</v>
      </c>
      <c r="D60" s="212">
        <v>877</v>
      </c>
      <c r="E60" s="213">
        <v>835</v>
      </c>
      <c r="F60" s="213">
        <v>0</v>
      </c>
      <c r="G60" s="213">
        <v>700</v>
      </c>
      <c r="H60" s="215">
        <v>1987</v>
      </c>
      <c r="I60" s="34">
        <f t="shared" si="16"/>
        <v>0</v>
      </c>
      <c r="J60" s="168">
        <f>499+79</f>
        <v>578</v>
      </c>
      <c r="K60" s="169">
        <f>499+79</f>
        <v>578</v>
      </c>
      <c r="L60" s="169">
        <v>25</v>
      </c>
      <c r="M60" s="170">
        <f>499+104</f>
        <v>603</v>
      </c>
      <c r="N60" s="171">
        <f t="shared" si="17"/>
        <v>0</v>
      </c>
      <c r="O60" s="168">
        <f>205+230</f>
        <v>435</v>
      </c>
      <c r="P60" s="169">
        <f>205+230</f>
        <v>435</v>
      </c>
      <c r="Q60" s="170">
        <f>400</f>
        <v>400</v>
      </c>
      <c r="R60" s="38">
        <f t="shared" si="18"/>
        <v>35</v>
      </c>
      <c r="S60" s="168">
        <f>28+301</f>
        <v>329</v>
      </c>
      <c r="T60" s="169">
        <f>28+301</f>
        <v>329</v>
      </c>
      <c r="U60" s="170">
        <v>329</v>
      </c>
      <c r="V60" s="38">
        <f t="shared" si="19"/>
        <v>0</v>
      </c>
      <c r="W60" s="174"/>
    </row>
    <row r="61" spans="1:22" s="40" customFormat="1" ht="22.5" customHeight="1">
      <c r="A61" s="31" t="s">
        <v>131</v>
      </c>
      <c r="B61" s="168">
        <v>1267</v>
      </c>
      <c r="C61" s="212">
        <v>1267</v>
      </c>
      <c r="D61" s="212">
        <v>1750</v>
      </c>
      <c r="E61" s="213">
        <v>420</v>
      </c>
      <c r="F61" s="213">
        <v>300</v>
      </c>
      <c r="G61" s="213">
        <v>200</v>
      </c>
      <c r="H61" s="214">
        <v>1400</v>
      </c>
      <c r="I61" s="34">
        <f t="shared" si="16"/>
        <v>1617</v>
      </c>
      <c r="J61" s="168">
        <v>1</v>
      </c>
      <c r="K61" s="169">
        <v>1</v>
      </c>
      <c r="L61" s="169">
        <f>161+50</f>
        <v>211</v>
      </c>
      <c r="M61" s="170">
        <f>161+51</f>
        <v>212</v>
      </c>
      <c r="N61" s="171">
        <f t="shared" si="17"/>
        <v>0</v>
      </c>
      <c r="O61" s="168">
        <f>250+299</f>
        <v>549</v>
      </c>
      <c r="P61" s="169">
        <f>250+165</f>
        <v>415</v>
      </c>
      <c r="Q61" s="170">
        <v>549</v>
      </c>
      <c r="R61" s="38">
        <f t="shared" si="18"/>
        <v>0</v>
      </c>
      <c r="S61" s="168">
        <f>178</f>
        <v>178</v>
      </c>
      <c r="T61" s="169">
        <v>178</v>
      </c>
      <c r="U61" s="170">
        <v>178</v>
      </c>
      <c r="V61" s="38">
        <f t="shared" si="19"/>
        <v>0</v>
      </c>
    </row>
    <row r="62" spans="1:22" s="40" customFormat="1" ht="24" customHeight="1">
      <c r="A62" s="31" t="s">
        <v>128</v>
      </c>
      <c r="B62" s="168">
        <v>333</v>
      </c>
      <c r="C62" s="212">
        <v>333</v>
      </c>
      <c r="D62" s="212">
        <v>1454</v>
      </c>
      <c r="E62" s="213">
        <v>650</v>
      </c>
      <c r="F62" s="213">
        <v>0</v>
      </c>
      <c r="G62" s="213">
        <v>0</v>
      </c>
      <c r="H62" s="214">
        <v>1174</v>
      </c>
      <c r="I62" s="34">
        <f t="shared" si="16"/>
        <v>613</v>
      </c>
      <c r="J62" s="168">
        <v>9</v>
      </c>
      <c r="K62" s="169">
        <v>9</v>
      </c>
      <c r="L62" s="169">
        <v>26</v>
      </c>
      <c r="M62" s="170">
        <v>30</v>
      </c>
      <c r="N62" s="171">
        <f t="shared" si="17"/>
        <v>5</v>
      </c>
      <c r="O62" s="168">
        <f>200+291</f>
        <v>491</v>
      </c>
      <c r="P62" s="169">
        <f>200+238</f>
        <v>438</v>
      </c>
      <c r="Q62" s="170">
        <v>250</v>
      </c>
      <c r="R62" s="38">
        <f t="shared" si="18"/>
        <v>241</v>
      </c>
      <c r="S62" s="168">
        <f>8+22</f>
        <v>30</v>
      </c>
      <c r="T62" s="169">
        <f>8+22</f>
        <v>30</v>
      </c>
      <c r="U62" s="170">
        <v>0</v>
      </c>
      <c r="V62" s="38">
        <f t="shared" si="19"/>
        <v>30</v>
      </c>
    </row>
    <row r="63" spans="1:22" s="40" customFormat="1" ht="25.5" customHeight="1" thickBot="1">
      <c r="A63" s="31" t="s">
        <v>129</v>
      </c>
      <c r="B63" s="168">
        <v>304</v>
      </c>
      <c r="C63" s="212">
        <v>304</v>
      </c>
      <c r="D63" s="212">
        <v>135</v>
      </c>
      <c r="E63" s="213">
        <v>0</v>
      </c>
      <c r="F63" s="213">
        <v>0</v>
      </c>
      <c r="G63" s="213">
        <v>0</v>
      </c>
      <c r="H63" s="214">
        <v>109</v>
      </c>
      <c r="I63" s="34">
        <f t="shared" si="16"/>
        <v>330</v>
      </c>
      <c r="J63" s="168">
        <v>364</v>
      </c>
      <c r="K63" s="169">
        <v>364</v>
      </c>
      <c r="L63" s="169">
        <v>124</v>
      </c>
      <c r="M63" s="170">
        <v>0</v>
      </c>
      <c r="N63" s="171">
        <f t="shared" si="17"/>
        <v>488</v>
      </c>
      <c r="O63" s="168">
        <f>100+57</f>
        <v>157</v>
      </c>
      <c r="P63" s="169">
        <f>100+57</f>
        <v>157</v>
      </c>
      <c r="Q63" s="170">
        <v>157</v>
      </c>
      <c r="R63" s="38">
        <f t="shared" si="18"/>
        <v>0</v>
      </c>
      <c r="S63" s="168">
        <f>44+132</f>
        <v>176</v>
      </c>
      <c r="T63" s="169">
        <f>44+132</f>
        <v>176</v>
      </c>
      <c r="U63" s="170">
        <v>60</v>
      </c>
      <c r="V63" s="38">
        <f t="shared" si="19"/>
        <v>116</v>
      </c>
    </row>
    <row r="64" spans="1:28" s="218" customFormat="1" ht="13.5" thickBot="1">
      <c r="A64" s="166" t="s">
        <v>21</v>
      </c>
      <c r="B64" s="167">
        <f>SUM(B65:B80)</f>
        <v>13290</v>
      </c>
      <c r="C64" s="167">
        <f>SUM(C65:C80)</f>
        <v>13343</v>
      </c>
      <c r="D64" s="165">
        <f aca="true" t="shared" si="20" ref="D64:V64">SUM(D65:D80)</f>
        <v>27926</v>
      </c>
      <c r="E64" s="165">
        <f t="shared" si="20"/>
        <v>11291</v>
      </c>
      <c r="F64" s="165">
        <f t="shared" si="20"/>
        <v>3366</v>
      </c>
      <c r="G64" s="165">
        <f t="shared" si="20"/>
        <v>2442</v>
      </c>
      <c r="H64" s="165">
        <f t="shared" si="20"/>
        <v>28564</v>
      </c>
      <c r="I64" s="29">
        <f t="shared" si="20"/>
        <v>12652</v>
      </c>
      <c r="J64" s="167">
        <f t="shared" si="20"/>
        <v>13564</v>
      </c>
      <c r="K64" s="165">
        <f t="shared" si="20"/>
        <v>13586</v>
      </c>
      <c r="L64" s="165">
        <f t="shared" si="20"/>
        <v>2876</v>
      </c>
      <c r="M64" s="165">
        <f t="shared" si="20"/>
        <v>8847</v>
      </c>
      <c r="N64" s="29">
        <f t="shared" si="20"/>
        <v>7593</v>
      </c>
      <c r="O64" s="167">
        <f t="shared" si="20"/>
        <v>9698</v>
      </c>
      <c r="P64" s="165">
        <f t="shared" si="20"/>
        <v>9115</v>
      </c>
      <c r="Q64" s="165">
        <f t="shared" si="20"/>
        <v>6704</v>
      </c>
      <c r="R64" s="29">
        <f t="shared" si="20"/>
        <v>2994</v>
      </c>
      <c r="S64" s="167">
        <f t="shared" si="20"/>
        <v>5727</v>
      </c>
      <c r="T64" s="165">
        <f t="shared" si="20"/>
        <v>5722</v>
      </c>
      <c r="U64" s="165">
        <f t="shared" si="20"/>
        <v>1619</v>
      </c>
      <c r="V64" s="29">
        <f t="shared" si="20"/>
        <v>4108</v>
      </c>
      <c r="W64" s="216"/>
      <c r="X64" s="217"/>
      <c r="Y64" s="217"/>
      <c r="Z64" s="217"/>
      <c r="AA64" s="217"/>
      <c r="AB64" s="217"/>
    </row>
    <row r="65" spans="1:25" s="219" customFormat="1" ht="12.75">
      <c r="A65" s="180" t="s">
        <v>72</v>
      </c>
      <c r="B65" s="175">
        <v>343</v>
      </c>
      <c r="C65" s="176">
        <v>343</v>
      </c>
      <c r="D65" s="176">
        <v>894</v>
      </c>
      <c r="E65" s="177">
        <v>660</v>
      </c>
      <c r="F65" s="177">
        <v>0</v>
      </c>
      <c r="G65" s="177">
        <v>100</v>
      </c>
      <c r="H65" s="178">
        <f>351+E65+F65+G65</f>
        <v>1111</v>
      </c>
      <c r="I65" s="70">
        <f aca="true" t="shared" si="21" ref="I65:I80">B65+D65-H65</f>
        <v>126</v>
      </c>
      <c r="J65" s="175">
        <f>39+85</f>
        <v>124</v>
      </c>
      <c r="K65" s="176">
        <f>39+85</f>
        <v>124</v>
      </c>
      <c r="L65" s="176">
        <v>32</v>
      </c>
      <c r="M65" s="177">
        <v>0</v>
      </c>
      <c r="N65" s="178">
        <f aca="true" t="shared" si="22" ref="N65:N80">J65+L65-M65</f>
        <v>156</v>
      </c>
      <c r="O65" s="175">
        <f>553+125</f>
        <v>678</v>
      </c>
      <c r="P65" s="176">
        <f>462+125</f>
        <v>587</v>
      </c>
      <c r="Q65" s="177">
        <v>520</v>
      </c>
      <c r="R65" s="70">
        <f aca="true" t="shared" si="23" ref="R65:R80">O65-Q65</f>
        <v>158</v>
      </c>
      <c r="S65" s="175">
        <f>8+120</f>
        <v>128</v>
      </c>
      <c r="T65" s="177">
        <f>8+120</f>
        <v>128</v>
      </c>
      <c r="U65" s="177">
        <v>0</v>
      </c>
      <c r="V65" s="70">
        <f aca="true" t="shared" si="24" ref="V65:V80">S65-U65</f>
        <v>128</v>
      </c>
      <c r="Y65" s="219" t="s">
        <v>19</v>
      </c>
    </row>
    <row r="66" spans="1:22" s="40" customFormat="1" ht="12.75">
      <c r="A66" s="141" t="s">
        <v>87</v>
      </c>
      <c r="B66" s="168">
        <v>40</v>
      </c>
      <c r="C66" s="169">
        <v>93</v>
      </c>
      <c r="D66" s="169">
        <v>2075</v>
      </c>
      <c r="E66" s="170">
        <v>590</v>
      </c>
      <c r="F66" s="170">
        <v>0</v>
      </c>
      <c r="G66" s="170">
        <v>550</v>
      </c>
      <c r="H66" s="171">
        <f>969+E66+F66+G66</f>
        <v>2109</v>
      </c>
      <c r="I66" s="38">
        <f t="shared" si="21"/>
        <v>6</v>
      </c>
      <c r="J66" s="168">
        <f>777+19</f>
        <v>796</v>
      </c>
      <c r="K66" s="169">
        <f>777+19</f>
        <v>796</v>
      </c>
      <c r="L66" s="169">
        <v>151</v>
      </c>
      <c r="M66" s="170">
        <f>500+19</f>
        <v>519</v>
      </c>
      <c r="N66" s="171">
        <f t="shared" si="22"/>
        <v>428</v>
      </c>
      <c r="O66" s="168">
        <f>89+225</f>
        <v>314</v>
      </c>
      <c r="P66" s="169">
        <f>225+51</f>
        <v>276</v>
      </c>
      <c r="Q66" s="170">
        <v>256</v>
      </c>
      <c r="R66" s="38">
        <f t="shared" si="23"/>
        <v>58</v>
      </c>
      <c r="S66" s="168">
        <f>594+150</f>
        <v>744</v>
      </c>
      <c r="T66" s="170">
        <f>150+594</f>
        <v>744</v>
      </c>
      <c r="U66" s="170">
        <v>400</v>
      </c>
      <c r="V66" s="38">
        <f t="shared" si="24"/>
        <v>344</v>
      </c>
    </row>
    <row r="67" spans="1:22" s="40" customFormat="1" ht="22.5">
      <c r="A67" s="31" t="s">
        <v>135</v>
      </c>
      <c r="B67" s="168">
        <v>1092</v>
      </c>
      <c r="C67" s="169">
        <v>1092</v>
      </c>
      <c r="D67" s="169">
        <v>2260</v>
      </c>
      <c r="E67" s="170">
        <v>480</v>
      </c>
      <c r="F67" s="170">
        <v>820</v>
      </c>
      <c r="G67" s="170">
        <v>250</v>
      </c>
      <c r="H67" s="171">
        <f>960+E67+F67+G67</f>
        <v>2510</v>
      </c>
      <c r="I67" s="38">
        <f t="shared" si="21"/>
        <v>842</v>
      </c>
      <c r="J67" s="168">
        <f>328+329</f>
        <v>657</v>
      </c>
      <c r="K67" s="169">
        <f>328+329</f>
        <v>657</v>
      </c>
      <c r="L67" s="169">
        <f>24+50</f>
        <v>74</v>
      </c>
      <c r="M67" s="170">
        <v>50</v>
      </c>
      <c r="N67" s="171">
        <f t="shared" si="22"/>
        <v>681</v>
      </c>
      <c r="O67" s="168">
        <f>162+260</f>
        <v>422</v>
      </c>
      <c r="P67" s="169">
        <f>260+50</f>
        <v>310</v>
      </c>
      <c r="Q67" s="170">
        <v>300</v>
      </c>
      <c r="R67" s="38">
        <f t="shared" si="23"/>
        <v>122</v>
      </c>
      <c r="S67" s="168">
        <f>199+10</f>
        <v>209</v>
      </c>
      <c r="T67" s="169">
        <f>10+199</f>
        <v>209</v>
      </c>
      <c r="U67" s="170">
        <v>0</v>
      </c>
      <c r="V67" s="38">
        <f t="shared" si="24"/>
        <v>209</v>
      </c>
    </row>
    <row r="68" spans="1:22" s="40" customFormat="1" ht="12.75">
      <c r="A68" s="141" t="s">
        <v>37</v>
      </c>
      <c r="B68" s="168">
        <v>813</v>
      </c>
      <c r="C68" s="169">
        <v>813</v>
      </c>
      <c r="D68" s="169">
        <v>1453</v>
      </c>
      <c r="E68" s="170">
        <v>510</v>
      </c>
      <c r="F68" s="170">
        <v>0</v>
      </c>
      <c r="G68" s="170">
        <v>0</v>
      </c>
      <c r="H68" s="171">
        <f>753+E68</f>
        <v>1263</v>
      </c>
      <c r="I68" s="38">
        <f t="shared" si="21"/>
        <v>1003</v>
      </c>
      <c r="J68" s="168">
        <v>1047</v>
      </c>
      <c r="K68" s="169">
        <v>1047</v>
      </c>
      <c r="L68" s="169">
        <v>309</v>
      </c>
      <c r="M68" s="170">
        <v>0</v>
      </c>
      <c r="N68" s="171">
        <f t="shared" si="22"/>
        <v>1356</v>
      </c>
      <c r="O68" s="168">
        <f>521+290</f>
        <v>811</v>
      </c>
      <c r="P68" s="169">
        <f>290+471</f>
        <v>761</v>
      </c>
      <c r="Q68" s="170">
        <v>710</v>
      </c>
      <c r="R68" s="38">
        <f t="shared" si="23"/>
        <v>101</v>
      </c>
      <c r="S68" s="168">
        <f>1116+100</f>
        <v>1216</v>
      </c>
      <c r="T68" s="170">
        <f>100+1116</f>
        <v>1216</v>
      </c>
      <c r="U68" s="170">
        <v>0</v>
      </c>
      <c r="V68" s="38">
        <f t="shared" si="24"/>
        <v>1216</v>
      </c>
    </row>
    <row r="69" spans="1:22" s="40" customFormat="1" ht="12.75">
      <c r="A69" s="220" t="s">
        <v>91</v>
      </c>
      <c r="B69" s="221">
        <v>410</v>
      </c>
      <c r="C69" s="222">
        <v>410</v>
      </c>
      <c r="D69" s="222">
        <v>672</v>
      </c>
      <c r="E69" s="223">
        <v>500</v>
      </c>
      <c r="F69" s="223">
        <v>0</v>
      </c>
      <c r="G69" s="223">
        <v>0</v>
      </c>
      <c r="H69" s="224">
        <f>394+E69+F69+G69</f>
        <v>894</v>
      </c>
      <c r="I69" s="90">
        <f t="shared" si="21"/>
        <v>188</v>
      </c>
      <c r="J69" s="168">
        <f>32+115</f>
        <v>147</v>
      </c>
      <c r="K69" s="222">
        <f>54+115</f>
        <v>169</v>
      </c>
      <c r="L69" s="169">
        <v>22</v>
      </c>
      <c r="M69" s="170">
        <v>0</v>
      </c>
      <c r="N69" s="171">
        <f t="shared" si="22"/>
        <v>169</v>
      </c>
      <c r="O69" s="168">
        <f>461+150</f>
        <v>611</v>
      </c>
      <c r="P69" s="222">
        <f>150+461</f>
        <v>611</v>
      </c>
      <c r="Q69" s="170">
        <v>140</v>
      </c>
      <c r="R69" s="38">
        <f t="shared" si="23"/>
        <v>471</v>
      </c>
      <c r="S69" s="168">
        <f>61</f>
        <v>61</v>
      </c>
      <c r="T69" s="223">
        <v>61</v>
      </c>
      <c r="U69" s="170">
        <v>0</v>
      </c>
      <c r="V69" s="38">
        <f t="shared" si="24"/>
        <v>61</v>
      </c>
    </row>
    <row r="70" spans="1:22" s="40" customFormat="1" ht="12.75">
      <c r="A70" s="141" t="s">
        <v>92</v>
      </c>
      <c r="B70" s="168">
        <v>1944</v>
      </c>
      <c r="C70" s="169">
        <v>1944</v>
      </c>
      <c r="D70" s="169">
        <v>2333</v>
      </c>
      <c r="E70" s="170">
        <v>0</v>
      </c>
      <c r="F70" s="170">
        <v>0</v>
      </c>
      <c r="G70" s="170">
        <v>0</v>
      </c>
      <c r="H70" s="171">
        <v>1844</v>
      </c>
      <c r="I70" s="38">
        <f t="shared" si="21"/>
        <v>2433</v>
      </c>
      <c r="J70" s="168">
        <f>508+4860</f>
        <v>5368</v>
      </c>
      <c r="K70" s="169">
        <f>508+4860</f>
        <v>5368</v>
      </c>
      <c r="L70" s="169">
        <v>500</v>
      </c>
      <c r="M70" s="223">
        <f>500+4860</f>
        <v>5360</v>
      </c>
      <c r="N70" s="171">
        <f t="shared" si="22"/>
        <v>508</v>
      </c>
      <c r="O70" s="168">
        <f>1007+390</f>
        <v>1397</v>
      </c>
      <c r="P70" s="169">
        <f>390+968</f>
        <v>1358</v>
      </c>
      <c r="Q70" s="170">
        <v>900</v>
      </c>
      <c r="R70" s="38">
        <f t="shared" si="23"/>
        <v>497</v>
      </c>
      <c r="S70" s="168">
        <f>631+43</f>
        <v>674</v>
      </c>
      <c r="T70" s="170">
        <f>631+43</f>
        <v>674</v>
      </c>
      <c r="U70" s="170">
        <v>0</v>
      </c>
      <c r="V70" s="38">
        <f t="shared" si="24"/>
        <v>674</v>
      </c>
    </row>
    <row r="71" spans="1:22" s="40" customFormat="1" ht="12.75">
      <c r="A71" s="141" t="s">
        <v>38</v>
      </c>
      <c r="B71" s="168">
        <v>267</v>
      </c>
      <c r="C71" s="169">
        <v>267</v>
      </c>
      <c r="D71" s="169">
        <v>1065</v>
      </c>
      <c r="E71" s="170">
        <v>0</v>
      </c>
      <c r="F71" s="170">
        <v>846</v>
      </c>
      <c r="G71" s="170">
        <v>0</v>
      </c>
      <c r="H71" s="171">
        <f>336+F71</f>
        <v>1182</v>
      </c>
      <c r="I71" s="38">
        <f t="shared" si="21"/>
        <v>150</v>
      </c>
      <c r="J71" s="168">
        <f>33+26</f>
        <v>59</v>
      </c>
      <c r="K71" s="169">
        <f>33+26</f>
        <v>59</v>
      </c>
      <c r="L71" s="169">
        <f>46+10</f>
        <v>56</v>
      </c>
      <c r="M71" s="170">
        <v>0</v>
      </c>
      <c r="N71" s="171">
        <f t="shared" si="22"/>
        <v>115</v>
      </c>
      <c r="O71" s="168">
        <f>716+220</f>
        <v>936</v>
      </c>
      <c r="P71" s="169">
        <f>220+716</f>
        <v>936</v>
      </c>
      <c r="Q71" s="170">
        <v>400</v>
      </c>
      <c r="R71" s="38">
        <f t="shared" si="23"/>
        <v>536</v>
      </c>
      <c r="S71" s="168">
        <f>306+33</f>
        <v>339</v>
      </c>
      <c r="T71" s="170">
        <f>33+306</f>
        <v>339</v>
      </c>
      <c r="U71" s="170">
        <v>0</v>
      </c>
      <c r="V71" s="38">
        <f t="shared" si="24"/>
        <v>339</v>
      </c>
    </row>
    <row r="72" spans="1:22" s="40" customFormat="1" ht="12.75">
      <c r="A72" s="141" t="s">
        <v>39</v>
      </c>
      <c r="B72" s="168">
        <v>190</v>
      </c>
      <c r="C72" s="169">
        <v>190</v>
      </c>
      <c r="D72" s="169">
        <v>1486</v>
      </c>
      <c r="E72" s="170">
        <v>800</v>
      </c>
      <c r="F72" s="170">
        <v>0</v>
      </c>
      <c r="G72" s="170">
        <v>0</v>
      </c>
      <c r="H72" s="171">
        <f>773+E72+F72+G72</f>
        <v>1573</v>
      </c>
      <c r="I72" s="38">
        <f t="shared" si="21"/>
        <v>103</v>
      </c>
      <c r="J72" s="168">
        <f>49+254</f>
        <v>303</v>
      </c>
      <c r="K72" s="169">
        <f>49+254</f>
        <v>303</v>
      </c>
      <c r="L72" s="169">
        <f>296+10</f>
        <v>306</v>
      </c>
      <c r="M72" s="170">
        <f>50+260</f>
        <v>310</v>
      </c>
      <c r="N72" s="171">
        <f t="shared" si="22"/>
        <v>299</v>
      </c>
      <c r="O72" s="168">
        <f>46+250</f>
        <v>296</v>
      </c>
      <c r="P72" s="169">
        <f>56+250</f>
        <v>306</v>
      </c>
      <c r="Q72" s="170">
        <v>274</v>
      </c>
      <c r="R72" s="38">
        <f t="shared" si="23"/>
        <v>22</v>
      </c>
      <c r="S72" s="168">
        <f>161</f>
        <v>161</v>
      </c>
      <c r="T72" s="170">
        <v>161</v>
      </c>
      <c r="U72" s="170">
        <v>50</v>
      </c>
      <c r="V72" s="38">
        <f t="shared" si="24"/>
        <v>111</v>
      </c>
    </row>
    <row r="73" spans="1:22" s="40" customFormat="1" ht="12.75">
      <c r="A73" s="141" t="s">
        <v>40</v>
      </c>
      <c r="B73" s="168">
        <v>1273</v>
      </c>
      <c r="C73" s="169">
        <v>1273</v>
      </c>
      <c r="D73" s="169">
        <v>2960</v>
      </c>
      <c r="E73" s="170">
        <v>600</v>
      </c>
      <c r="F73" s="170">
        <v>1700</v>
      </c>
      <c r="G73" s="170">
        <v>0</v>
      </c>
      <c r="H73" s="171">
        <f>984+E73+F73+G73</f>
        <v>3284</v>
      </c>
      <c r="I73" s="38">
        <f t="shared" si="21"/>
        <v>949</v>
      </c>
      <c r="J73" s="168">
        <f>664+29</f>
        <v>693</v>
      </c>
      <c r="K73" s="169">
        <f>664+29</f>
        <v>693</v>
      </c>
      <c r="L73" s="169">
        <f>255+5</f>
        <v>260</v>
      </c>
      <c r="M73" s="170">
        <f>150+5</f>
        <v>155</v>
      </c>
      <c r="N73" s="171">
        <f t="shared" si="22"/>
        <v>798</v>
      </c>
      <c r="O73" s="168">
        <f>562+230</f>
        <v>792</v>
      </c>
      <c r="P73" s="169">
        <f>230+554</f>
        <v>784</v>
      </c>
      <c r="Q73" s="170">
        <v>370</v>
      </c>
      <c r="R73" s="38">
        <f t="shared" si="23"/>
        <v>422</v>
      </c>
      <c r="S73" s="168">
        <f>233+100</f>
        <v>333</v>
      </c>
      <c r="T73" s="170">
        <f>100+233</f>
        <v>333</v>
      </c>
      <c r="U73" s="170">
        <v>100</v>
      </c>
      <c r="V73" s="38">
        <f t="shared" si="24"/>
        <v>233</v>
      </c>
    </row>
    <row r="74" spans="1:22" s="40" customFormat="1" ht="12.75">
      <c r="A74" s="141" t="s">
        <v>93</v>
      </c>
      <c r="B74" s="168">
        <v>1257</v>
      </c>
      <c r="C74" s="169">
        <v>1257</v>
      </c>
      <c r="D74" s="169">
        <v>1296</v>
      </c>
      <c r="E74" s="170">
        <v>0</v>
      </c>
      <c r="F74" s="170">
        <v>0</v>
      </c>
      <c r="G74" s="170">
        <v>600</v>
      </c>
      <c r="H74" s="171">
        <f>522+E74+F74+G74</f>
        <v>1122</v>
      </c>
      <c r="I74" s="38">
        <f t="shared" si="21"/>
        <v>1431</v>
      </c>
      <c r="J74" s="168">
        <f>2468</f>
        <v>2468</v>
      </c>
      <c r="K74" s="169">
        <v>2468</v>
      </c>
      <c r="L74" s="169">
        <v>196</v>
      </c>
      <c r="M74" s="170">
        <v>500</v>
      </c>
      <c r="N74" s="171">
        <f t="shared" si="22"/>
        <v>2164</v>
      </c>
      <c r="O74" s="168">
        <f>254+105</f>
        <v>359</v>
      </c>
      <c r="P74" s="169">
        <f>105+244</f>
        <v>349</v>
      </c>
      <c r="Q74" s="170">
        <v>215</v>
      </c>
      <c r="R74" s="38">
        <f t="shared" si="23"/>
        <v>144</v>
      </c>
      <c r="S74" s="168">
        <f>783+191</f>
        <v>974</v>
      </c>
      <c r="T74" s="170">
        <f>783+191</f>
        <v>974</v>
      </c>
      <c r="U74" s="170">
        <v>700</v>
      </c>
      <c r="V74" s="38">
        <f t="shared" si="24"/>
        <v>274</v>
      </c>
    </row>
    <row r="75" spans="1:22" s="92" customFormat="1" ht="12.75">
      <c r="A75" s="225" t="s">
        <v>41</v>
      </c>
      <c r="B75" s="226">
        <v>700</v>
      </c>
      <c r="C75" s="227">
        <v>700</v>
      </c>
      <c r="D75" s="227">
        <f>956</f>
        <v>956</v>
      </c>
      <c r="E75" s="228">
        <v>0</v>
      </c>
      <c r="F75" s="228">
        <v>0</v>
      </c>
      <c r="G75" s="228">
        <v>202</v>
      </c>
      <c r="H75" s="229">
        <f>526+E75+F75+G75</f>
        <v>728</v>
      </c>
      <c r="I75" s="230">
        <f t="shared" si="21"/>
        <v>928</v>
      </c>
      <c r="J75" s="231">
        <f>41+8</f>
        <v>49</v>
      </c>
      <c r="K75" s="194">
        <f>41+8</f>
        <v>49</v>
      </c>
      <c r="L75" s="194">
        <v>73</v>
      </c>
      <c r="M75" s="195">
        <v>100</v>
      </c>
      <c r="N75" s="232">
        <f t="shared" si="22"/>
        <v>22</v>
      </c>
      <c r="O75" s="231">
        <f>250+343</f>
        <v>593</v>
      </c>
      <c r="P75" s="194">
        <f>250+343</f>
        <v>593</v>
      </c>
      <c r="Q75" s="195">
        <v>400</v>
      </c>
      <c r="R75" s="233">
        <f t="shared" si="23"/>
        <v>193</v>
      </c>
      <c r="S75" s="231">
        <v>3</v>
      </c>
      <c r="T75" s="195">
        <v>3</v>
      </c>
      <c r="U75" s="195">
        <v>0</v>
      </c>
      <c r="V75" s="233">
        <f t="shared" si="24"/>
        <v>3</v>
      </c>
    </row>
    <row r="76" spans="1:23" s="40" customFormat="1" ht="12.75">
      <c r="A76" s="187" t="s">
        <v>94</v>
      </c>
      <c r="B76" s="188">
        <v>852</v>
      </c>
      <c r="C76" s="189">
        <v>852</v>
      </c>
      <c r="D76" s="189">
        <v>5074</v>
      </c>
      <c r="E76" s="190">
        <v>4011</v>
      </c>
      <c r="F76" s="190">
        <v>0</v>
      </c>
      <c r="G76" s="190">
        <v>0</v>
      </c>
      <c r="H76" s="191">
        <f>904+E76+F76+G76</f>
        <v>4915</v>
      </c>
      <c r="I76" s="71">
        <f t="shared" si="21"/>
        <v>1011</v>
      </c>
      <c r="J76" s="188">
        <v>568</v>
      </c>
      <c r="K76" s="189">
        <v>568</v>
      </c>
      <c r="L76" s="189">
        <v>116</v>
      </c>
      <c r="M76" s="190">
        <v>0</v>
      </c>
      <c r="N76" s="191">
        <f t="shared" si="22"/>
        <v>684</v>
      </c>
      <c r="O76" s="188">
        <f>220+174</f>
        <v>394</v>
      </c>
      <c r="P76" s="189">
        <f>220+174</f>
        <v>394</v>
      </c>
      <c r="Q76" s="190">
        <v>394</v>
      </c>
      <c r="R76" s="71">
        <f t="shared" si="23"/>
        <v>0</v>
      </c>
      <c r="S76" s="188">
        <f>29+193</f>
        <v>222</v>
      </c>
      <c r="T76" s="190">
        <f>29+193</f>
        <v>222</v>
      </c>
      <c r="U76" s="190">
        <v>19</v>
      </c>
      <c r="V76" s="71">
        <f t="shared" si="24"/>
        <v>203</v>
      </c>
      <c r="W76" s="174"/>
    </row>
    <row r="77" spans="1:22" s="40" customFormat="1" ht="12.75">
      <c r="A77" s="187" t="s">
        <v>42</v>
      </c>
      <c r="B77" s="188">
        <v>124</v>
      </c>
      <c r="C77" s="189">
        <v>124</v>
      </c>
      <c r="D77" s="234">
        <f>1335+159</f>
        <v>1494</v>
      </c>
      <c r="E77" s="190">
        <v>305</v>
      </c>
      <c r="F77" s="190">
        <v>0</v>
      </c>
      <c r="G77" s="190">
        <v>0</v>
      </c>
      <c r="H77" s="191">
        <f>625+E77+F77+G77</f>
        <v>930</v>
      </c>
      <c r="I77" s="71">
        <f t="shared" si="21"/>
        <v>688</v>
      </c>
      <c r="J77" s="188">
        <f>4+430</f>
        <v>434</v>
      </c>
      <c r="K77" s="189">
        <f>4+430</f>
        <v>434</v>
      </c>
      <c r="L77" s="189">
        <v>183</v>
      </c>
      <c r="M77" s="190">
        <f>150+430</f>
        <v>580</v>
      </c>
      <c r="N77" s="191">
        <f t="shared" si="22"/>
        <v>37</v>
      </c>
      <c r="O77" s="188">
        <f>75+195</f>
        <v>270</v>
      </c>
      <c r="P77" s="189">
        <f>195+75</f>
        <v>270</v>
      </c>
      <c r="Q77" s="190">
        <v>270</v>
      </c>
      <c r="R77" s="71">
        <f t="shared" si="23"/>
        <v>0</v>
      </c>
      <c r="S77" s="188">
        <v>5</v>
      </c>
      <c r="T77" s="190">
        <v>0</v>
      </c>
      <c r="U77" s="190">
        <v>0</v>
      </c>
      <c r="V77" s="71">
        <f t="shared" si="24"/>
        <v>5</v>
      </c>
    </row>
    <row r="78" spans="1:22" s="40" customFormat="1" ht="12.75">
      <c r="A78" s="187" t="s">
        <v>43</v>
      </c>
      <c r="B78" s="188">
        <v>2025</v>
      </c>
      <c r="C78" s="189">
        <v>2025</v>
      </c>
      <c r="D78" s="189">
        <v>1447</v>
      </c>
      <c r="E78" s="190">
        <v>760</v>
      </c>
      <c r="F78" s="190">
        <v>0</v>
      </c>
      <c r="G78" s="190">
        <v>0</v>
      </c>
      <c r="H78" s="191">
        <f>674+E78+F78+G78</f>
        <v>1434</v>
      </c>
      <c r="I78" s="71">
        <f t="shared" si="21"/>
        <v>2038</v>
      </c>
      <c r="J78" s="188">
        <v>0</v>
      </c>
      <c r="K78" s="189">
        <v>0</v>
      </c>
      <c r="L78" s="189">
        <v>71</v>
      </c>
      <c r="M78" s="190">
        <v>40</v>
      </c>
      <c r="N78" s="191">
        <f t="shared" si="22"/>
        <v>31</v>
      </c>
      <c r="O78" s="188">
        <f>180+667</f>
        <v>847</v>
      </c>
      <c r="P78" s="189">
        <f>180+505</f>
        <v>685</v>
      </c>
      <c r="Q78" s="190">
        <v>830</v>
      </c>
      <c r="R78" s="71">
        <f t="shared" si="23"/>
        <v>17</v>
      </c>
      <c r="S78" s="188">
        <v>256</v>
      </c>
      <c r="T78" s="190">
        <v>256</v>
      </c>
      <c r="U78" s="190">
        <v>0</v>
      </c>
      <c r="V78" s="71">
        <f t="shared" si="24"/>
        <v>256</v>
      </c>
    </row>
    <row r="79" spans="1:22" s="40" customFormat="1" ht="12.75">
      <c r="A79" s="187" t="s">
        <v>95</v>
      </c>
      <c r="B79" s="188">
        <v>1636</v>
      </c>
      <c r="C79" s="189">
        <v>1636</v>
      </c>
      <c r="D79" s="189">
        <v>1745</v>
      </c>
      <c r="E79" s="190">
        <v>1615</v>
      </c>
      <c r="F79" s="190">
        <v>0</v>
      </c>
      <c r="G79" s="190">
        <v>740</v>
      </c>
      <c r="H79" s="191">
        <f>434+E79+F79+G79</f>
        <v>2789</v>
      </c>
      <c r="I79" s="71">
        <f t="shared" si="21"/>
        <v>592</v>
      </c>
      <c r="J79" s="188">
        <v>639</v>
      </c>
      <c r="K79" s="189">
        <v>639</v>
      </c>
      <c r="L79" s="189">
        <v>112</v>
      </c>
      <c r="M79" s="190">
        <v>606</v>
      </c>
      <c r="N79" s="191">
        <f t="shared" si="22"/>
        <v>145</v>
      </c>
      <c r="O79" s="188">
        <f>190+444</f>
        <v>634</v>
      </c>
      <c r="P79" s="189">
        <f>190+425</f>
        <v>615</v>
      </c>
      <c r="Q79" s="190">
        <v>455</v>
      </c>
      <c r="R79" s="71">
        <f t="shared" si="23"/>
        <v>179</v>
      </c>
      <c r="S79" s="188">
        <v>399</v>
      </c>
      <c r="T79" s="190">
        <v>399</v>
      </c>
      <c r="U79" s="190">
        <v>350</v>
      </c>
      <c r="V79" s="71">
        <f t="shared" si="24"/>
        <v>49</v>
      </c>
    </row>
    <row r="80" spans="1:22" s="40" customFormat="1" ht="13.5" thickBot="1">
      <c r="A80" s="187" t="s">
        <v>96</v>
      </c>
      <c r="B80" s="188">
        <v>324</v>
      </c>
      <c r="C80" s="189">
        <v>324</v>
      </c>
      <c r="D80" s="189">
        <v>716</v>
      </c>
      <c r="E80" s="190">
        <v>460</v>
      </c>
      <c r="F80" s="190">
        <v>0</v>
      </c>
      <c r="G80" s="190">
        <v>0</v>
      </c>
      <c r="H80" s="191">
        <f>416+E80+F80+G80</f>
        <v>876</v>
      </c>
      <c r="I80" s="71">
        <f t="shared" si="21"/>
        <v>164</v>
      </c>
      <c r="J80" s="188">
        <v>212</v>
      </c>
      <c r="K80" s="189">
        <v>212</v>
      </c>
      <c r="L80" s="189">
        <v>415</v>
      </c>
      <c r="M80" s="190">
        <v>627</v>
      </c>
      <c r="N80" s="191">
        <f t="shared" si="22"/>
        <v>0</v>
      </c>
      <c r="O80" s="188">
        <f>110+234</f>
        <v>344</v>
      </c>
      <c r="P80" s="189">
        <f>110+170</f>
        <v>280</v>
      </c>
      <c r="Q80" s="190">
        <v>270</v>
      </c>
      <c r="R80" s="71">
        <f t="shared" si="23"/>
        <v>74</v>
      </c>
      <c r="S80" s="188">
        <v>3</v>
      </c>
      <c r="T80" s="190">
        <v>3</v>
      </c>
      <c r="U80" s="190">
        <v>0</v>
      </c>
      <c r="V80" s="71">
        <f t="shared" si="24"/>
        <v>3</v>
      </c>
    </row>
    <row r="81" spans="1:256" s="235" customFormat="1" ht="13.5" thickBot="1">
      <c r="A81" s="166" t="s">
        <v>44</v>
      </c>
      <c r="B81" s="167">
        <f>SUM(B82)</f>
        <v>269</v>
      </c>
      <c r="C81" s="165">
        <f aca="true" t="shared" si="25" ref="C81:V81">SUM(C82)</f>
        <v>269</v>
      </c>
      <c r="D81" s="165">
        <f t="shared" si="25"/>
        <v>412</v>
      </c>
      <c r="E81" s="165">
        <f t="shared" si="25"/>
        <v>210</v>
      </c>
      <c r="F81" s="165">
        <f t="shared" si="25"/>
        <v>0</v>
      </c>
      <c r="G81" s="165">
        <f t="shared" si="25"/>
        <v>0</v>
      </c>
      <c r="H81" s="165">
        <f t="shared" si="25"/>
        <v>387</v>
      </c>
      <c r="I81" s="29">
        <f t="shared" si="25"/>
        <v>294</v>
      </c>
      <c r="J81" s="167">
        <f t="shared" si="25"/>
        <v>71</v>
      </c>
      <c r="K81" s="165">
        <f t="shared" si="25"/>
        <v>71</v>
      </c>
      <c r="L81" s="165">
        <f t="shared" si="25"/>
        <v>8</v>
      </c>
      <c r="M81" s="165">
        <f t="shared" si="25"/>
        <v>3</v>
      </c>
      <c r="N81" s="29">
        <f t="shared" si="25"/>
        <v>76</v>
      </c>
      <c r="O81" s="167">
        <f t="shared" si="25"/>
        <v>226</v>
      </c>
      <c r="P81" s="165">
        <f t="shared" si="25"/>
        <v>226</v>
      </c>
      <c r="Q81" s="165">
        <f t="shared" si="25"/>
        <v>196</v>
      </c>
      <c r="R81" s="29">
        <f t="shared" si="25"/>
        <v>30</v>
      </c>
      <c r="S81" s="167">
        <f t="shared" si="25"/>
        <v>20</v>
      </c>
      <c r="T81" s="165">
        <f t="shared" si="25"/>
        <v>20</v>
      </c>
      <c r="U81" s="165">
        <f t="shared" si="25"/>
        <v>0</v>
      </c>
      <c r="V81" s="29">
        <f t="shared" si="25"/>
        <v>20</v>
      </c>
      <c r="W81" s="193"/>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86"/>
      <c r="CE81" s="86"/>
      <c r="CF81" s="86"/>
      <c r="CG81" s="86"/>
      <c r="CH81" s="86"/>
      <c r="CI81" s="86"/>
      <c r="CJ81" s="86"/>
      <c r="CK81" s="86"/>
      <c r="CL81" s="86"/>
      <c r="CM81" s="86"/>
      <c r="CN81" s="86"/>
      <c r="CO81" s="86"/>
      <c r="CP81" s="86"/>
      <c r="CQ81" s="86"/>
      <c r="CR81" s="86"/>
      <c r="CS81" s="86"/>
      <c r="CT81" s="86"/>
      <c r="CU81" s="86"/>
      <c r="CV81" s="86"/>
      <c r="CW81" s="86"/>
      <c r="CX81" s="86"/>
      <c r="CY81" s="86"/>
      <c r="CZ81" s="86"/>
      <c r="DA81" s="86"/>
      <c r="DB81" s="86"/>
      <c r="DC81" s="86"/>
      <c r="DD81" s="86"/>
      <c r="DE81" s="86"/>
      <c r="DF81" s="86"/>
      <c r="DG81" s="86"/>
      <c r="DH81" s="86"/>
      <c r="DI81" s="86"/>
      <c r="DJ81" s="86"/>
      <c r="DK81" s="86"/>
      <c r="DL81" s="86"/>
      <c r="DM81" s="86"/>
      <c r="DN81" s="86"/>
      <c r="DO81" s="86"/>
      <c r="DP81" s="86"/>
      <c r="DQ81" s="86"/>
      <c r="DR81" s="86"/>
      <c r="DS81" s="86"/>
      <c r="DT81" s="86"/>
      <c r="DU81" s="86"/>
      <c r="DV81" s="86"/>
      <c r="DW81" s="86"/>
      <c r="DX81" s="86"/>
      <c r="DY81" s="86"/>
      <c r="DZ81" s="86"/>
      <c r="EA81" s="86"/>
      <c r="EB81" s="86"/>
      <c r="EC81" s="86"/>
      <c r="ED81" s="86"/>
      <c r="EE81" s="86"/>
      <c r="EF81" s="86"/>
      <c r="EG81" s="86"/>
      <c r="EH81" s="86"/>
      <c r="EI81" s="86"/>
      <c r="EJ81" s="86"/>
      <c r="EK81" s="86"/>
      <c r="EL81" s="86"/>
      <c r="EM81" s="86"/>
      <c r="EN81" s="86"/>
      <c r="EO81" s="86"/>
      <c r="EP81" s="86"/>
      <c r="EQ81" s="86"/>
      <c r="ER81" s="86"/>
      <c r="ES81" s="86"/>
      <c r="ET81" s="86"/>
      <c r="EU81" s="86"/>
      <c r="EV81" s="86"/>
      <c r="EW81" s="86"/>
      <c r="EX81" s="86"/>
      <c r="EY81" s="86"/>
      <c r="EZ81" s="86"/>
      <c r="FA81" s="86"/>
      <c r="FB81" s="86"/>
      <c r="FC81" s="86"/>
      <c r="FD81" s="86"/>
      <c r="FE81" s="86"/>
      <c r="FF81" s="86"/>
      <c r="FG81" s="86"/>
      <c r="FH81" s="86"/>
      <c r="FI81" s="86"/>
      <c r="FJ81" s="86"/>
      <c r="FK81" s="86"/>
      <c r="FL81" s="86"/>
      <c r="FM81" s="86"/>
      <c r="FN81" s="86"/>
      <c r="FO81" s="86"/>
      <c r="FP81" s="86"/>
      <c r="FQ81" s="86"/>
      <c r="FR81" s="86"/>
      <c r="FS81" s="86"/>
      <c r="FT81" s="86"/>
      <c r="FU81" s="86"/>
      <c r="FV81" s="86"/>
      <c r="FW81" s="86"/>
      <c r="FX81" s="86"/>
      <c r="FY81" s="86"/>
      <c r="FZ81" s="86"/>
      <c r="GA81" s="86"/>
      <c r="GB81" s="86"/>
      <c r="GC81" s="86"/>
      <c r="GD81" s="86"/>
      <c r="GE81" s="86"/>
      <c r="GF81" s="86"/>
      <c r="GG81" s="86"/>
      <c r="GH81" s="86"/>
      <c r="GI81" s="86"/>
      <c r="GJ81" s="86"/>
      <c r="GK81" s="86"/>
      <c r="GL81" s="86"/>
      <c r="GM81" s="86"/>
      <c r="GN81" s="86"/>
      <c r="GO81" s="86"/>
      <c r="GP81" s="86"/>
      <c r="GQ81" s="86"/>
      <c r="GR81" s="86"/>
      <c r="GS81" s="86"/>
      <c r="GT81" s="86"/>
      <c r="GU81" s="86"/>
      <c r="GV81" s="86"/>
      <c r="GW81" s="86"/>
      <c r="GX81" s="86"/>
      <c r="GY81" s="86"/>
      <c r="GZ81" s="86"/>
      <c r="HA81" s="86"/>
      <c r="HB81" s="86"/>
      <c r="HC81" s="86"/>
      <c r="HD81" s="86"/>
      <c r="HE81" s="86"/>
      <c r="HF81" s="86"/>
      <c r="HG81" s="86"/>
      <c r="HH81" s="86"/>
      <c r="HI81" s="86"/>
      <c r="HJ81" s="86"/>
      <c r="HK81" s="86"/>
      <c r="HL81" s="86"/>
      <c r="HM81" s="86"/>
      <c r="HN81" s="86"/>
      <c r="HO81" s="86"/>
      <c r="HP81" s="86"/>
      <c r="HQ81" s="86"/>
      <c r="HR81" s="86"/>
      <c r="HS81" s="86"/>
      <c r="HT81" s="86"/>
      <c r="HU81" s="86"/>
      <c r="HV81" s="86"/>
      <c r="HW81" s="86"/>
      <c r="HX81" s="86"/>
      <c r="HY81" s="86"/>
      <c r="HZ81" s="86"/>
      <c r="IA81" s="86"/>
      <c r="IB81" s="86"/>
      <c r="IC81" s="86"/>
      <c r="ID81" s="86"/>
      <c r="IE81" s="86"/>
      <c r="IF81" s="86"/>
      <c r="IG81" s="86"/>
      <c r="IH81" s="86"/>
      <c r="II81" s="86"/>
      <c r="IJ81" s="86"/>
      <c r="IK81" s="86"/>
      <c r="IL81" s="86"/>
      <c r="IM81" s="86"/>
      <c r="IN81" s="86"/>
      <c r="IO81" s="86"/>
      <c r="IP81" s="86"/>
      <c r="IQ81" s="86"/>
      <c r="IR81" s="86"/>
      <c r="IS81" s="86"/>
      <c r="IT81" s="86"/>
      <c r="IU81" s="86"/>
      <c r="IV81" s="86"/>
    </row>
    <row r="82" spans="1:256" s="40" customFormat="1" ht="13.5" thickBot="1">
      <c r="A82" s="96" t="s">
        <v>57</v>
      </c>
      <c r="B82" s="236">
        <v>269</v>
      </c>
      <c r="C82" s="237">
        <v>269</v>
      </c>
      <c r="D82" s="237">
        <v>412</v>
      </c>
      <c r="E82" s="238">
        <v>210</v>
      </c>
      <c r="F82" s="238">
        <v>0</v>
      </c>
      <c r="G82" s="238">
        <v>0</v>
      </c>
      <c r="H82" s="239">
        <v>387</v>
      </c>
      <c r="I82" s="151">
        <f>B82+D82-H82</f>
        <v>294</v>
      </c>
      <c r="J82" s="236">
        <v>71</v>
      </c>
      <c r="K82" s="237">
        <v>71</v>
      </c>
      <c r="L82" s="237">
        <v>8</v>
      </c>
      <c r="M82" s="238">
        <v>3</v>
      </c>
      <c r="N82" s="239">
        <f>J82+L82-M82</f>
        <v>76</v>
      </c>
      <c r="O82" s="236">
        <f>100+126</f>
        <v>226</v>
      </c>
      <c r="P82" s="237">
        <v>226</v>
      </c>
      <c r="Q82" s="238">
        <v>196</v>
      </c>
      <c r="R82" s="151">
        <f>O82-Q82</f>
        <v>30</v>
      </c>
      <c r="S82" s="236">
        <v>20</v>
      </c>
      <c r="T82" s="237">
        <v>20</v>
      </c>
      <c r="U82" s="238">
        <v>0</v>
      </c>
      <c r="V82" s="151">
        <f>S82-U82</f>
        <v>20</v>
      </c>
      <c r="W82" s="240"/>
      <c r="X82" s="179"/>
      <c r="Y82" s="179"/>
      <c r="Z82" s="179"/>
      <c r="AA82" s="179"/>
      <c r="AB82" s="179"/>
      <c r="AC82" s="179"/>
      <c r="AD82" s="179"/>
      <c r="AE82" s="179"/>
      <c r="AF82" s="179"/>
      <c r="AG82" s="179"/>
      <c r="AH82" s="179"/>
      <c r="AI82" s="179"/>
      <c r="AJ82" s="179"/>
      <c r="AK82" s="179"/>
      <c r="AL82" s="179"/>
      <c r="AM82" s="179"/>
      <c r="AN82" s="179"/>
      <c r="AO82" s="179"/>
      <c r="AP82" s="179"/>
      <c r="AQ82" s="179"/>
      <c r="AR82" s="179"/>
      <c r="AS82" s="179"/>
      <c r="AT82" s="179"/>
      <c r="AU82" s="179"/>
      <c r="AV82" s="179"/>
      <c r="AW82" s="179"/>
      <c r="AX82" s="179"/>
      <c r="AY82" s="179"/>
      <c r="AZ82" s="179"/>
      <c r="BA82" s="179"/>
      <c r="BB82" s="179"/>
      <c r="BC82" s="179"/>
      <c r="BD82" s="179"/>
      <c r="BE82" s="179"/>
      <c r="BF82" s="179"/>
      <c r="BG82" s="179"/>
      <c r="BH82" s="179"/>
      <c r="BI82" s="179"/>
      <c r="BJ82" s="179"/>
      <c r="BK82" s="179"/>
      <c r="BL82" s="179"/>
      <c r="BM82" s="179"/>
      <c r="BN82" s="179"/>
      <c r="BO82" s="179"/>
      <c r="BP82" s="179"/>
      <c r="BQ82" s="179"/>
      <c r="BR82" s="179"/>
      <c r="BS82" s="179"/>
      <c r="BT82" s="179"/>
      <c r="BU82" s="179"/>
      <c r="BV82" s="179"/>
      <c r="BW82" s="179"/>
      <c r="BX82" s="179"/>
      <c r="BY82" s="179"/>
      <c r="BZ82" s="179"/>
      <c r="CA82" s="179"/>
      <c r="CB82" s="179"/>
      <c r="CC82" s="179"/>
      <c r="CD82" s="179"/>
      <c r="CE82" s="179"/>
      <c r="CF82" s="179"/>
      <c r="CG82" s="179"/>
      <c r="CH82" s="179"/>
      <c r="CI82" s="179"/>
      <c r="CJ82" s="179"/>
      <c r="CK82" s="179"/>
      <c r="CL82" s="179"/>
      <c r="CM82" s="179"/>
      <c r="CN82" s="179"/>
      <c r="CO82" s="179"/>
      <c r="CP82" s="179"/>
      <c r="CQ82" s="179"/>
      <c r="CR82" s="179"/>
      <c r="CS82" s="179"/>
      <c r="CT82" s="179"/>
      <c r="CU82" s="179"/>
      <c r="CV82" s="179"/>
      <c r="CW82" s="179"/>
      <c r="CX82" s="179"/>
      <c r="CY82" s="179"/>
      <c r="CZ82" s="179"/>
      <c r="DA82" s="179"/>
      <c r="DB82" s="179"/>
      <c r="DC82" s="179"/>
      <c r="DD82" s="179"/>
      <c r="DE82" s="179"/>
      <c r="DF82" s="179"/>
      <c r="DG82" s="179"/>
      <c r="DH82" s="179"/>
      <c r="DI82" s="179"/>
      <c r="DJ82" s="179"/>
      <c r="DK82" s="179"/>
      <c r="DL82" s="179"/>
      <c r="DM82" s="179"/>
      <c r="DN82" s="179"/>
      <c r="DO82" s="179"/>
      <c r="DP82" s="179"/>
      <c r="DQ82" s="179"/>
      <c r="DR82" s="179"/>
      <c r="DS82" s="179"/>
      <c r="DT82" s="179"/>
      <c r="DU82" s="179"/>
      <c r="DV82" s="179"/>
      <c r="DW82" s="179"/>
      <c r="DX82" s="179"/>
      <c r="DY82" s="179"/>
      <c r="DZ82" s="179"/>
      <c r="EA82" s="179"/>
      <c r="EB82" s="179"/>
      <c r="EC82" s="179"/>
      <c r="ED82" s="179"/>
      <c r="EE82" s="179"/>
      <c r="EF82" s="179"/>
      <c r="EG82" s="179"/>
      <c r="EH82" s="179"/>
      <c r="EI82" s="179"/>
      <c r="EJ82" s="179"/>
      <c r="EK82" s="179"/>
      <c r="EL82" s="179"/>
      <c r="EM82" s="179"/>
      <c r="EN82" s="179"/>
      <c r="EO82" s="179"/>
      <c r="EP82" s="179"/>
      <c r="EQ82" s="179"/>
      <c r="ER82" s="179"/>
      <c r="ES82" s="179"/>
      <c r="ET82" s="179"/>
      <c r="EU82" s="179"/>
      <c r="EV82" s="179"/>
      <c r="EW82" s="179"/>
      <c r="EX82" s="179"/>
      <c r="EY82" s="179"/>
      <c r="EZ82" s="179"/>
      <c r="FA82" s="179"/>
      <c r="FB82" s="179"/>
      <c r="FC82" s="179"/>
      <c r="FD82" s="179"/>
      <c r="FE82" s="179"/>
      <c r="FF82" s="179"/>
      <c r="FG82" s="179"/>
      <c r="FH82" s="179"/>
      <c r="FI82" s="179"/>
      <c r="FJ82" s="179"/>
      <c r="FK82" s="179"/>
      <c r="FL82" s="179"/>
      <c r="FM82" s="179"/>
      <c r="FN82" s="179"/>
      <c r="FO82" s="179"/>
      <c r="FP82" s="179"/>
      <c r="FQ82" s="179"/>
      <c r="FR82" s="179"/>
      <c r="FS82" s="179"/>
      <c r="FT82" s="179"/>
      <c r="FU82" s="179"/>
      <c r="FV82" s="179"/>
      <c r="FW82" s="179"/>
      <c r="FX82" s="179"/>
      <c r="FY82" s="179"/>
      <c r="FZ82" s="179"/>
      <c r="GA82" s="179"/>
      <c r="GB82" s="179"/>
      <c r="GC82" s="179"/>
      <c r="GD82" s="179"/>
      <c r="GE82" s="179"/>
      <c r="GF82" s="179"/>
      <c r="GG82" s="179"/>
      <c r="GH82" s="179"/>
      <c r="GI82" s="179"/>
      <c r="GJ82" s="179"/>
      <c r="GK82" s="179"/>
      <c r="GL82" s="179"/>
      <c r="GM82" s="179"/>
      <c r="GN82" s="179"/>
      <c r="GO82" s="179"/>
      <c r="GP82" s="179"/>
      <c r="GQ82" s="179"/>
      <c r="GR82" s="179"/>
      <c r="GS82" s="179"/>
      <c r="GT82" s="179"/>
      <c r="GU82" s="179"/>
      <c r="GV82" s="179"/>
      <c r="GW82" s="179"/>
      <c r="GX82" s="179"/>
      <c r="GY82" s="179"/>
      <c r="GZ82" s="179"/>
      <c r="HA82" s="179"/>
      <c r="HB82" s="179"/>
      <c r="HC82" s="179"/>
      <c r="HD82" s="179"/>
      <c r="HE82" s="179"/>
      <c r="HF82" s="179"/>
      <c r="HG82" s="179"/>
      <c r="HH82" s="179"/>
      <c r="HI82" s="179"/>
      <c r="HJ82" s="179"/>
      <c r="HK82" s="179"/>
      <c r="HL82" s="179"/>
      <c r="HM82" s="179"/>
      <c r="HN82" s="179"/>
      <c r="HO82" s="179"/>
      <c r="HP82" s="179"/>
      <c r="HQ82" s="179"/>
      <c r="HR82" s="179"/>
      <c r="HS82" s="179"/>
      <c r="HT82" s="179"/>
      <c r="HU82" s="179"/>
      <c r="HV82" s="179"/>
      <c r="HW82" s="179"/>
      <c r="HX82" s="179"/>
      <c r="HY82" s="179"/>
      <c r="HZ82" s="179"/>
      <c r="IA82" s="179"/>
      <c r="IB82" s="179"/>
      <c r="IC82" s="179"/>
      <c r="ID82" s="179"/>
      <c r="IE82" s="179"/>
      <c r="IF82" s="179"/>
      <c r="IG82" s="179"/>
      <c r="IH82" s="179"/>
      <c r="II82" s="179"/>
      <c r="IJ82" s="179"/>
      <c r="IK82" s="179"/>
      <c r="IL82" s="179"/>
      <c r="IM82" s="179"/>
      <c r="IN82" s="179"/>
      <c r="IO82" s="179"/>
      <c r="IP82" s="179"/>
      <c r="IQ82" s="179"/>
      <c r="IR82" s="179"/>
      <c r="IS82" s="179"/>
      <c r="IT82" s="179"/>
      <c r="IU82" s="179"/>
      <c r="IV82" s="179"/>
    </row>
    <row r="83" spans="1:256" s="40" customFormat="1" ht="13.5" thickBot="1">
      <c r="A83" s="241" t="s">
        <v>22</v>
      </c>
      <c r="B83" s="242">
        <f>SUM(B84)</f>
        <v>9294</v>
      </c>
      <c r="C83" s="243">
        <f aca="true" t="shared" si="26" ref="C83:V83">SUM(C84)</f>
        <v>1000</v>
      </c>
      <c r="D83" s="243">
        <f t="shared" si="26"/>
        <v>4450</v>
      </c>
      <c r="E83" s="243">
        <f t="shared" si="26"/>
        <v>9180</v>
      </c>
      <c r="F83" s="243">
        <f t="shared" si="26"/>
        <v>1400</v>
      </c>
      <c r="G83" s="243">
        <f t="shared" si="26"/>
        <v>1100</v>
      </c>
      <c r="H83" s="243">
        <f t="shared" si="26"/>
        <v>11680</v>
      </c>
      <c r="I83" s="102">
        <f t="shared" si="26"/>
        <v>2064</v>
      </c>
      <c r="J83" s="242">
        <f t="shared" si="26"/>
        <v>7184</v>
      </c>
      <c r="K83" s="243">
        <f t="shared" si="26"/>
        <v>1000</v>
      </c>
      <c r="L83" s="243">
        <f t="shared" si="26"/>
        <v>977</v>
      </c>
      <c r="M83" s="243">
        <f t="shared" si="26"/>
        <v>0</v>
      </c>
      <c r="N83" s="102">
        <f t="shared" si="26"/>
        <v>8161</v>
      </c>
      <c r="O83" s="242">
        <f t="shared" si="26"/>
        <v>473</v>
      </c>
      <c r="P83" s="243">
        <f t="shared" si="26"/>
        <v>210</v>
      </c>
      <c r="Q83" s="243">
        <f t="shared" si="26"/>
        <v>170</v>
      </c>
      <c r="R83" s="102">
        <f t="shared" si="26"/>
        <v>303</v>
      </c>
      <c r="S83" s="242">
        <f t="shared" si="26"/>
        <v>795</v>
      </c>
      <c r="T83" s="243">
        <f t="shared" si="26"/>
        <v>795</v>
      </c>
      <c r="U83" s="243">
        <f t="shared" si="26"/>
        <v>400</v>
      </c>
      <c r="V83" s="102">
        <f t="shared" si="26"/>
        <v>395</v>
      </c>
      <c r="W83" s="240"/>
      <c r="X83" s="179"/>
      <c r="Y83" s="179"/>
      <c r="Z83" s="179"/>
      <c r="AA83" s="179"/>
      <c r="AB83" s="179"/>
      <c r="AC83" s="179"/>
      <c r="AD83" s="179"/>
      <c r="AE83" s="179"/>
      <c r="AF83" s="179"/>
      <c r="AG83" s="179"/>
      <c r="AH83" s="179"/>
      <c r="AI83" s="179"/>
      <c r="AJ83" s="179"/>
      <c r="AK83" s="179"/>
      <c r="AL83" s="179"/>
      <c r="AM83" s="179"/>
      <c r="AN83" s="179"/>
      <c r="AO83" s="179"/>
      <c r="AP83" s="179"/>
      <c r="AQ83" s="179"/>
      <c r="AR83" s="179"/>
      <c r="AS83" s="179"/>
      <c r="AT83" s="179"/>
      <c r="AU83" s="179"/>
      <c r="AV83" s="179"/>
      <c r="AW83" s="179"/>
      <c r="AX83" s="179"/>
      <c r="AY83" s="179"/>
      <c r="AZ83" s="179"/>
      <c r="BA83" s="179"/>
      <c r="BB83" s="179"/>
      <c r="BC83" s="179"/>
      <c r="BD83" s="179"/>
      <c r="BE83" s="179"/>
      <c r="BF83" s="179"/>
      <c r="BG83" s="179"/>
      <c r="BH83" s="179"/>
      <c r="BI83" s="179"/>
      <c r="BJ83" s="179"/>
      <c r="BK83" s="179"/>
      <c r="BL83" s="179"/>
      <c r="BM83" s="179"/>
      <c r="BN83" s="179"/>
      <c r="BO83" s="179"/>
      <c r="BP83" s="179"/>
      <c r="BQ83" s="179"/>
      <c r="BR83" s="179"/>
      <c r="BS83" s="179"/>
      <c r="BT83" s="179"/>
      <c r="BU83" s="179"/>
      <c r="BV83" s="179"/>
      <c r="BW83" s="179"/>
      <c r="BX83" s="179"/>
      <c r="BY83" s="179"/>
      <c r="BZ83" s="179"/>
      <c r="CA83" s="179"/>
      <c r="CB83" s="179"/>
      <c r="CC83" s="179"/>
      <c r="CD83" s="179"/>
      <c r="CE83" s="179"/>
      <c r="CF83" s="179"/>
      <c r="CG83" s="179"/>
      <c r="CH83" s="179"/>
      <c r="CI83" s="179"/>
      <c r="CJ83" s="179"/>
      <c r="CK83" s="179"/>
      <c r="CL83" s="179"/>
      <c r="CM83" s="179"/>
      <c r="CN83" s="179"/>
      <c r="CO83" s="179"/>
      <c r="CP83" s="179"/>
      <c r="CQ83" s="179"/>
      <c r="CR83" s="179"/>
      <c r="CS83" s="179"/>
      <c r="CT83" s="179"/>
      <c r="CU83" s="179"/>
      <c r="CV83" s="179"/>
      <c r="CW83" s="179"/>
      <c r="CX83" s="179"/>
      <c r="CY83" s="179"/>
      <c r="CZ83" s="179"/>
      <c r="DA83" s="179"/>
      <c r="DB83" s="179"/>
      <c r="DC83" s="179"/>
      <c r="DD83" s="179"/>
      <c r="DE83" s="179"/>
      <c r="DF83" s="179"/>
      <c r="DG83" s="179"/>
      <c r="DH83" s="179"/>
      <c r="DI83" s="179"/>
      <c r="DJ83" s="179"/>
      <c r="DK83" s="179"/>
      <c r="DL83" s="179"/>
      <c r="DM83" s="179"/>
      <c r="DN83" s="179"/>
      <c r="DO83" s="179"/>
      <c r="DP83" s="179"/>
      <c r="DQ83" s="179"/>
      <c r="DR83" s="179"/>
      <c r="DS83" s="179"/>
      <c r="DT83" s="179"/>
      <c r="DU83" s="179"/>
      <c r="DV83" s="179"/>
      <c r="DW83" s="179"/>
      <c r="DX83" s="179"/>
      <c r="DY83" s="179"/>
      <c r="DZ83" s="179"/>
      <c r="EA83" s="179"/>
      <c r="EB83" s="179"/>
      <c r="EC83" s="179"/>
      <c r="ED83" s="179"/>
      <c r="EE83" s="179"/>
      <c r="EF83" s="179"/>
      <c r="EG83" s="179"/>
      <c r="EH83" s="179"/>
      <c r="EI83" s="179"/>
      <c r="EJ83" s="179"/>
      <c r="EK83" s="179"/>
      <c r="EL83" s="179"/>
      <c r="EM83" s="179"/>
      <c r="EN83" s="179"/>
      <c r="EO83" s="179"/>
      <c r="EP83" s="179"/>
      <c r="EQ83" s="179"/>
      <c r="ER83" s="179"/>
      <c r="ES83" s="179"/>
      <c r="ET83" s="179"/>
      <c r="EU83" s="179"/>
      <c r="EV83" s="179"/>
      <c r="EW83" s="179"/>
      <c r="EX83" s="179"/>
      <c r="EY83" s="179"/>
      <c r="EZ83" s="179"/>
      <c r="FA83" s="179"/>
      <c r="FB83" s="179"/>
      <c r="FC83" s="179"/>
      <c r="FD83" s="179"/>
      <c r="FE83" s="179"/>
      <c r="FF83" s="179"/>
      <c r="FG83" s="179"/>
      <c r="FH83" s="179"/>
      <c r="FI83" s="179"/>
      <c r="FJ83" s="179"/>
      <c r="FK83" s="179"/>
      <c r="FL83" s="179"/>
      <c r="FM83" s="179"/>
      <c r="FN83" s="179"/>
      <c r="FO83" s="179"/>
      <c r="FP83" s="179"/>
      <c r="FQ83" s="179"/>
      <c r="FR83" s="179"/>
      <c r="FS83" s="179"/>
      <c r="FT83" s="179"/>
      <c r="FU83" s="179"/>
      <c r="FV83" s="179"/>
      <c r="FW83" s="179"/>
      <c r="FX83" s="179"/>
      <c r="FY83" s="179"/>
      <c r="FZ83" s="179"/>
      <c r="GA83" s="179"/>
      <c r="GB83" s="179"/>
      <c r="GC83" s="179"/>
      <c r="GD83" s="179"/>
      <c r="GE83" s="179"/>
      <c r="GF83" s="179"/>
      <c r="GG83" s="179"/>
      <c r="GH83" s="179"/>
      <c r="GI83" s="179"/>
      <c r="GJ83" s="179"/>
      <c r="GK83" s="179"/>
      <c r="GL83" s="179"/>
      <c r="GM83" s="179"/>
      <c r="GN83" s="179"/>
      <c r="GO83" s="179"/>
      <c r="GP83" s="179"/>
      <c r="GQ83" s="179"/>
      <c r="GR83" s="179"/>
      <c r="GS83" s="179"/>
      <c r="GT83" s="179"/>
      <c r="GU83" s="179"/>
      <c r="GV83" s="179"/>
      <c r="GW83" s="179"/>
      <c r="GX83" s="179"/>
      <c r="GY83" s="179"/>
      <c r="GZ83" s="179"/>
      <c r="HA83" s="179"/>
      <c r="HB83" s="179"/>
      <c r="HC83" s="179"/>
      <c r="HD83" s="179"/>
      <c r="HE83" s="179"/>
      <c r="HF83" s="179"/>
      <c r="HG83" s="179"/>
      <c r="HH83" s="179"/>
      <c r="HI83" s="179"/>
      <c r="HJ83" s="179"/>
      <c r="HK83" s="179"/>
      <c r="HL83" s="179"/>
      <c r="HM83" s="179"/>
      <c r="HN83" s="179"/>
      <c r="HO83" s="179"/>
      <c r="HP83" s="179"/>
      <c r="HQ83" s="179"/>
      <c r="HR83" s="179"/>
      <c r="HS83" s="179"/>
      <c r="HT83" s="179"/>
      <c r="HU83" s="179"/>
      <c r="HV83" s="179"/>
      <c r="HW83" s="179"/>
      <c r="HX83" s="179"/>
      <c r="HY83" s="179"/>
      <c r="HZ83" s="179"/>
      <c r="IA83" s="179"/>
      <c r="IB83" s="179"/>
      <c r="IC83" s="179"/>
      <c r="ID83" s="179"/>
      <c r="IE83" s="179"/>
      <c r="IF83" s="179"/>
      <c r="IG83" s="179"/>
      <c r="IH83" s="179"/>
      <c r="II83" s="179"/>
      <c r="IJ83" s="179"/>
      <c r="IK83" s="179"/>
      <c r="IL83" s="179"/>
      <c r="IM83" s="179"/>
      <c r="IN83" s="179"/>
      <c r="IO83" s="179"/>
      <c r="IP83" s="179"/>
      <c r="IQ83" s="179"/>
      <c r="IR83" s="179"/>
      <c r="IS83" s="179"/>
      <c r="IT83" s="179"/>
      <c r="IU83" s="179"/>
      <c r="IV83" s="179"/>
    </row>
    <row r="84" spans="1:256" s="324" customFormat="1" ht="13.5" thickBot="1">
      <c r="A84" s="354" t="s">
        <v>74</v>
      </c>
      <c r="B84" s="355">
        <v>9294</v>
      </c>
      <c r="C84" s="342">
        <v>1000</v>
      </c>
      <c r="D84" s="342">
        <v>4450</v>
      </c>
      <c r="E84" s="343">
        <v>9180</v>
      </c>
      <c r="F84" s="343">
        <v>1400</v>
      </c>
      <c r="G84" s="343">
        <v>1100</v>
      </c>
      <c r="H84" s="345">
        <v>11680</v>
      </c>
      <c r="I84" s="344">
        <f>B84+D84-H84</f>
        <v>2064</v>
      </c>
      <c r="J84" s="355">
        <v>7184</v>
      </c>
      <c r="K84" s="342">
        <v>1000</v>
      </c>
      <c r="L84" s="342">
        <v>977</v>
      </c>
      <c r="M84" s="343">
        <v>0</v>
      </c>
      <c r="N84" s="345">
        <f>J84+L84-M84</f>
        <v>8161</v>
      </c>
      <c r="O84" s="355">
        <f>150+323</f>
        <v>473</v>
      </c>
      <c r="P84" s="342">
        <f>150+60</f>
        <v>210</v>
      </c>
      <c r="Q84" s="343">
        <v>170</v>
      </c>
      <c r="R84" s="344">
        <f>O84-Q84</f>
        <v>303</v>
      </c>
      <c r="S84" s="342">
        <f>300+495</f>
        <v>795</v>
      </c>
      <c r="T84" s="342">
        <v>795</v>
      </c>
      <c r="U84" s="343">
        <v>400</v>
      </c>
      <c r="V84" s="344">
        <f>S84-U84</f>
        <v>395</v>
      </c>
      <c r="W84" s="356"/>
      <c r="X84" s="323"/>
      <c r="Y84" s="323"/>
      <c r="Z84" s="323"/>
      <c r="AA84" s="323"/>
      <c r="AB84" s="323"/>
      <c r="AC84" s="323"/>
      <c r="AD84" s="323"/>
      <c r="AE84" s="323"/>
      <c r="AF84" s="323"/>
      <c r="AG84" s="323"/>
      <c r="AH84" s="323"/>
      <c r="AI84" s="323"/>
      <c r="AJ84" s="323"/>
      <c r="AK84" s="323"/>
      <c r="AL84" s="323"/>
      <c r="AM84" s="323"/>
      <c r="AN84" s="323"/>
      <c r="AO84" s="323"/>
      <c r="AP84" s="323"/>
      <c r="AQ84" s="323"/>
      <c r="AR84" s="323"/>
      <c r="AS84" s="323"/>
      <c r="AT84" s="323"/>
      <c r="AU84" s="323"/>
      <c r="AV84" s="323"/>
      <c r="AW84" s="323"/>
      <c r="AX84" s="323"/>
      <c r="AY84" s="323"/>
      <c r="AZ84" s="323"/>
      <c r="BA84" s="323"/>
      <c r="BB84" s="323"/>
      <c r="BC84" s="323"/>
      <c r="BD84" s="323"/>
      <c r="BE84" s="323"/>
      <c r="BF84" s="323"/>
      <c r="BG84" s="323"/>
      <c r="BH84" s="323"/>
      <c r="BI84" s="323"/>
      <c r="BJ84" s="323"/>
      <c r="BK84" s="323"/>
      <c r="BL84" s="323"/>
      <c r="BM84" s="323"/>
      <c r="BN84" s="323"/>
      <c r="BO84" s="323"/>
      <c r="BP84" s="323"/>
      <c r="BQ84" s="323"/>
      <c r="BR84" s="323"/>
      <c r="BS84" s="323"/>
      <c r="BT84" s="323"/>
      <c r="BU84" s="323"/>
      <c r="BV84" s="323"/>
      <c r="BW84" s="323"/>
      <c r="BX84" s="323"/>
      <c r="BY84" s="323"/>
      <c r="BZ84" s="323"/>
      <c r="CA84" s="323"/>
      <c r="CB84" s="323"/>
      <c r="CC84" s="323"/>
      <c r="CD84" s="323"/>
      <c r="CE84" s="323"/>
      <c r="CF84" s="323"/>
      <c r="CG84" s="323"/>
      <c r="CH84" s="323"/>
      <c r="CI84" s="323"/>
      <c r="CJ84" s="323"/>
      <c r="CK84" s="323"/>
      <c r="CL84" s="323"/>
      <c r="CM84" s="323"/>
      <c r="CN84" s="323"/>
      <c r="CO84" s="323"/>
      <c r="CP84" s="323"/>
      <c r="CQ84" s="323"/>
      <c r="CR84" s="323"/>
      <c r="CS84" s="323"/>
      <c r="CT84" s="323"/>
      <c r="CU84" s="323"/>
      <c r="CV84" s="323"/>
      <c r="CW84" s="323"/>
      <c r="CX84" s="323"/>
      <c r="CY84" s="323"/>
      <c r="CZ84" s="323"/>
      <c r="DA84" s="323"/>
      <c r="DB84" s="323"/>
      <c r="DC84" s="323"/>
      <c r="DD84" s="323"/>
      <c r="DE84" s="323"/>
      <c r="DF84" s="323"/>
      <c r="DG84" s="323"/>
      <c r="DH84" s="323"/>
      <c r="DI84" s="323"/>
      <c r="DJ84" s="323"/>
      <c r="DK84" s="323"/>
      <c r="DL84" s="323"/>
      <c r="DM84" s="323"/>
      <c r="DN84" s="323"/>
      <c r="DO84" s="323"/>
      <c r="DP84" s="323"/>
      <c r="DQ84" s="323"/>
      <c r="DR84" s="323"/>
      <c r="DS84" s="323"/>
      <c r="DT84" s="323"/>
      <c r="DU84" s="323"/>
      <c r="DV84" s="323"/>
      <c r="DW84" s="323"/>
      <c r="DX84" s="323"/>
      <c r="DY84" s="323"/>
      <c r="DZ84" s="323"/>
      <c r="EA84" s="323"/>
      <c r="EB84" s="323"/>
      <c r="EC84" s="323"/>
      <c r="ED84" s="323"/>
      <c r="EE84" s="323"/>
      <c r="EF84" s="323"/>
      <c r="EG84" s="323"/>
      <c r="EH84" s="323"/>
      <c r="EI84" s="323"/>
      <c r="EJ84" s="323"/>
      <c r="EK84" s="323"/>
      <c r="EL84" s="323"/>
      <c r="EM84" s="323"/>
      <c r="EN84" s="323"/>
      <c r="EO84" s="323"/>
      <c r="EP84" s="323"/>
      <c r="EQ84" s="323"/>
      <c r="ER84" s="323"/>
      <c r="ES84" s="323"/>
      <c r="ET84" s="323"/>
      <c r="EU84" s="323"/>
      <c r="EV84" s="323"/>
      <c r="EW84" s="323"/>
      <c r="EX84" s="323"/>
      <c r="EY84" s="323"/>
      <c r="EZ84" s="323"/>
      <c r="FA84" s="323"/>
      <c r="FB84" s="323"/>
      <c r="FC84" s="323"/>
      <c r="FD84" s="323"/>
      <c r="FE84" s="323"/>
      <c r="FF84" s="323"/>
      <c r="FG84" s="323"/>
      <c r="FH84" s="323"/>
      <c r="FI84" s="323"/>
      <c r="FJ84" s="323"/>
      <c r="FK84" s="323"/>
      <c r="FL84" s="323"/>
      <c r="FM84" s="323"/>
      <c r="FN84" s="323"/>
      <c r="FO84" s="323"/>
      <c r="FP84" s="323"/>
      <c r="FQ84" s="323"/>
      <c r="FR84" s="323"/>
      <c r="FS84" s="323"/>
      <c r="FT84" s="323"/>
      <c r="FU84" s="323"/>
      <c r="FV84" s="323"/>
      <c r="FW84" s="323"/>
      <c r="FX84" s="323"/>
      <c r="FY84" s="323"/>
      <c r="FZ84" s="323"/>
      <c r="GA84" s="323"/>
      <c r="GB84" s="323"/>
      <c r="GC84" s="323"/>
      <c r="GD84" s="323"/>
      <c r="GE84" s="323"/>
      <c r="GF84" s="323"/>
      <c r="GG84" s="323"/>
      <c r="GH84" s="323"/>
      <c r="GI84" s="323"/>
      <c r="GJ84" s="323"/>
      <c r="GK84" s="323"/>
      <c r="GL84" s="323"/>
      <c r="GM84" s="323"/>
      <c r="GN84" s="323"/>
      <c r="GO84" s="323"/>
      <c r="GP84" s="323"/>
      <c r="GQ84" s="323"/>
      <c r="GR84" s="323"/>
      <c r="GS84" s="323"/>
      <c r="GT84" s="323"/>
      <c r="GU84" s="323"/>
      <c r="GV84" s="323"/>
      <c r="GW84" s="323"/>
      <c r="GX84" s="323"/>
      <c r="GY84" s="323"/>
      <c r="GZ84" s="323"/>
      <c r="HA84" s="323"/>
      <c r="HB84" s="323"/>
      <c r="HC84" s="323"/>
      <c r="HD84" s="323"/>
      <c r="HE84" s="323"/>
      <c r="HF84" s="323"/>
      <c r="HG84" s="323"/>
      <c r="HH84" s="323"/>
      <c r="HI84" s="323"/>
      <c r="HJ84" s="323"/>
      <c r="HK84" s="323"/>
      <c r="HL84" s="323"/>
      <c r="HM84" s="323"/>
      <c r="HN84" s="323"/>
      <c r="HO84" s="323"/>
      <c r="HP84" s="323"/>
      <c r="HQ84" s="323"/>
      <c r="HR84" s="323"/>
      <c r="HS84" s="323"/>
      <c r="HT84" s="323"/>
      <c r="HU84" s="323"/>
      <c r="HV84" s="323"/>
      <c r="HW84" s="323"/>
      <c r="HX84" s="323"/>
      <c r="HY84" s="323"/>
      <c r="HZ84" s="323"/>
      <c r="IA84" s="323"/>
      <c r="IB84" s="323"/>
      <c r="IC84" s="323"/>
      <c r="ID84" s="323"/>
      <c r="IE84" s="323"/>
      <c r="IF84" s="323"/>
      <c r="IG84" s="323"/>
      <c r="IH84" s="323"/>
      <c r="II84" s="323"/>
      <c r="IJ84" s="323"/>
      <c r="IK84" s="323"/>
      <c r="IL84" s="323"/>
      <c r="IM84" s="323"/>
      <c r="IN84" s="323"/>
      <c r="IO84" s="323"/>
      <c r="IP84" s="323"/>
      <c r="IQ84" s="323"/>
      <c r="IR84" s="323"/>
      <c r="IS84" s="323"/>
      <c r="IT84" s="323"/>
      <c r="IU84" s="323"/>
      <c r="IV84" s="323"/>
    </row>
    <row r="85" spans="1:256" s="235" customFormat="1" ht="13.5" thickBot="1">
      <c r="A85" s="166" t="s">
        <v>23</v>
      </c>
      <c r="B85" s="167">
        <f>SUM(B86:B90)</f>
        <v>361</v>
      </c>
      <c r="C85" s="165">
        <f aca="true" t="shared" si="27" ref="C85:V85">SUM(C86:C90)</f>
        <v>361</v>
      </c>
      <c r="D85" s="165">
        <f t="shared" si="27"/>
        <v>156</v>
      </c>
      <c r="E85" s="165">
        <f t="shared" si="27"/>
        <v>0</v>
      </c>
      <c r="F85" s="165">
        <f t="shared" si="27"/>
        <v>0</v>
      </c>
      <c r="G85" s="165">
        <f t="shared" si="27"/>
        <v>0</v>
      </c>
      <c r="H85" s="165">
        <f t="shared" si="27"/>
        <v>49</v>
      </c>
      <c r="I85" s="29">
        <f t="shared" si="27"/>
        <v>468</v>
      </c>
      <c r="J85" s="167">
        <f t="shared" si="27"/>
        <v>64</v>
      </c>
      <c r="K85" s="165">
        <f t="shared" si="27"/>
        <v>64</v>
      </c>
      <c r="L85" s="165">
        <f t="shared" si="27"/>
        <v>5</v>
      </c>
      <c r="M85" s="165">
        <f t="shared" si="27"/>
        <v>22</v>
      </c>
      <c r="N85" s="29">
        <f t="shared" si="27"/>
        <v>47</v>
      </c>
      <c r="O85" s="167">
        <f t="shared" si="27"/>
        <v>265</v>
      </c>
      <c r="P85" s="165">
        <f t="shared" si="27"/>
        <v>249</v>
      </c>
      <c r="Q85" s="165">
        <f t="shared" si="27"/>
        <v>220</v>
      </c>
      <c r="R85" s="29">
        <f t="shared" si="27"/>
        <v>45</v>
      </c>
      <c r="S85" s="167">
        <f t="shared" si="27"/>
        <v>5</v>
      </c>
      <c r="T85" s="165">
        <f t="shared" si="27"/>
        <v>5</v>
      </c>
      <c r="U85" s="165">
        <f t="shared" si="27"/>
        <v>0</v>
      </c>
      <c r="V85" s="29">
        <f t="shared" si="27"/>
        <v>5</v>
      </c>
      <c r="W85" s="193"/>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c r="CE85" s="86"/>
      <c r="CF85" s="86"/>
      <c r="CG85" s="86"/>
      <c r="CH85" s="86"/>
      <c r="CI85" s="86"/>
      <c r="CJ85" s="86"/>
      <c r="CK85" s="86"/>
      <c r="CL85" s="86"/>
      <c r="CM85" s="86"/>
      <c r="CN85" s="86"/>
      <c r="CO85" s="86"/>
      <c r="CP85" s="86"/>
      <c r="CQ85" s="86"/>
      <c r="CR85" s="86"/>
      <c r="CS85" s="86"/>
      <c r="CT85" s="86"/>
      <c r="CU85" s="86"/>
      <c r="CV85" s="86"/>
      <c r="CW85" s="86"/>
      <c r="CX85" s="86"/>
      <c r="CY85" s="86"/>
      <c r="CZ85" s="86"/>
      <c r="DA85" s="86"/>
      <c r="DB85" s="86"/>
      <c r="DC85" s="86"/>
      <c r="DD85" s="86"/>
      <c r="DE85" s="86"/>
      <c r="DF85" s="86"/>
      <c r="DG85" s="86"/>
      <c r="DH85" s="86"/>
      <c r="DI85" s="86"/>
      <c r="DJ85" s="86"/>
      <c r="DK85" s="86"/>
      <c r="DL85" s="86"/>
      <c r="DM85" s="86"/>
      <c r="DN85" s="86"/>
      <c r="DO85" s="86"/>
      <c r="DP85" s="86"/>
      <c r="DQ85" s="86"/>
      <c r="DR85" s="86"/>
      <c r="DS85" s="86"/>
      <c r="DT85" s="86"/>
      <c r="DU85" s="86"/>
      <c r="DV85" s="86"/>
      <c r="DW85" s="86"/>
      <c r="DX85" s="86"/>
      <c r="DY85" s="86"/>
      <c r="DZ85" s="86"/>
      <c r="EA85" s="86"/>
      <c r="EB85" s="86"/>
      <c r="EC85" s="86"/>
      <c r="ED85" s="86"/>
      <c r="EE85" s="86"/>
      <c r="EF85" s="86"/>
      <c r="EG85" s="86"/>
      <c r="EH85" s="86"/>
      <c r="EI85" s="86"/>
      <c r="EJ85" s="86"/>
      <c r="EK85" s="86"/>
      <c r="EL85" s="86"/>
      <c r="EM85" s="86"/>
      <c r="EN85" s="86"/>
      <c r="EO85" s="86"/>
      <c r="EP85" s="86"/>
      <c r="EQ85" s="86"/>
      <c r="ER85" s="86"/>
      <c r="ES85" s="86"/>
      <c r="ET85" s="86"/>
      <c r="EU85" s="86"/>
      <c r="EV85" s="86"/>
      <c r="EW85" s="86"/>
      <c r="EX85" s="86"/>
      <c r="EY85" s="86"/>
      <c r="EZ85" s="86"/>
      <c r="FA85" s="86"/>
      <c r="FB85" s="86"/>
      <c r="FC85" s="86"/>
      <c r="FD85" s="86"/>
      <c r="FE85" s="86"/>
      <c r="FF85" s="86"/>
      <c r="FG85" s="86"/>
      <c r="FH85" s="86"/>
      <c r="FI85" s="86"/>
      <c r="FJ85" s="86"/>
      <c r="FK85" s="86"/>
      <c r="FL85" s="86"/>
      <c r="FM85" s="86"/>
      <c r="FN85" s="86"/>
      <c r="FO85" s="86"/>
      <c r="FP85" s="86"/>
      <c r="FQ85" s="86"/>
      <c r="FR85" s="86"/>
      <c r="FS85" s="86"/>
      <c r="FT85" s="86"/>
      <c r="FU85" s="86"/>
      <c r="FV85" s="86"/>
      <c r="FW85" s="86"/>
      <c r="FX85" s="86"/>
      <c r="FY85" s="86"/>
      <c r="FZ85" s="86"/>
      <c r="GA85" s="86"/>
      <c r="GB85" s="86"/>
      <c r="GC85" s="86"/>
      <c r="GD85" s="86"/>
      <c r="GE85" s="86"/>
      <c r="GF85" s="86"/>
      <c r="GG85" s="86"/>
      <c r="GH85" s="86"/>
      <c r="GI85" s="86"/>
      <c r="GJ85" s="86"/>
      <c r="GK85" s="86"/>
      <c r="GL85" s="86"/>
      <c r="GM85" s="86"/>
      <c r="GN85" s="86"/>
      <c r="GO85" s="86"/>
      <c r="GP85" s="86"/>
      <c r="GQ85" s="86"/>
      <c r="GR85" s="86"/>
      <c r="GS85" s="86"/>
      <c r="GT85" s="86"/>
      <c r="GU85" s="86"/>
      <c r="GV85" s="86"/>
      <c r="GW85" s="86"/>
      <c r="GX85" s="86"/>
      <c r="GY85" s="86"/>
      <c r="GZ85" s="86"/>
      <c r="HA85" s="86"/>
      <c r="HB85" s="86"/>
      <c r="HC85" s="86"/>
      <c r="HD85" s="86"/>
      <c r="HE85" s="86"/>
      <c r="HF85" s="86"/>
      <c r="HG85" s="86"/>
      <c r="HH85" s="86"/>
      <c r="HI85" s="86"/>
      <c r="HJ85" s="86"/>
      <c r="HK85" s="86"/>
      <c r="HL85" s="86"/>
      <c r="HM85" s="86"/>
      <c r="HN85" s="86"/>
      <c r="HO85" s="86"/>
      <c r="HP85" s="86"/>
      <c r="HQ85" s="86"/>
      <c r="HR85" s="86"/>
      <c r="HS85" s="86"/>
      <c r="HT85" s="86"/>
      <c r="HU85" s="86"/>
      <c r="HV85" s="86"/>
      <c r="HW85" s="86"/>
      <c r="HX85" s="86"/>
      <c r="HY85" s="86"/>
      <c r="HZ85" s="86"/>
      <c r="IA85" s="86"/>
      <c r="IB85" s="86"/>
      <c r="IC85" s="86"/>
      <c r="ID85" s="86"/>
      <c r="IE85" s="86"/>
      <c r="IF85" s="86"/>
      <c r="IG85" s="86"/>
      <c r="IH85" s="86"/>
      <c r="II85" s="86"/>
      <c r="IJ85" s="86"/>
      <c r="IK85" s="86"/>
      <c r="IL85" s="86"/>
      <c r="IM85" s="86"/>
      <c r="IN85" s="86"/>
      <c r="IO85" s="86"/>
      <c r="IP85" s="86"/>
      <c r="IQ85" s="86"/>
      <c r="IR85" s="86"/>
      <c r="IS85" s="86"/>
      <c r="IT85" s="86"/>
      <c r="IU85" s="86"/>
      <c r="IV85" s="86"/>
    </row>
    <row r="86" spans="1:256" s="40" customFormat="1" ht="12.75">
      <c r="A86" s="244" t="s">
        <v>136</v>
      </c>
      <c r="B86" s="175">
        <v>82</v>
      </c>
      <c r="C86" s="176">
        <v>82</v>
      </c>
      <c r="D86" s="176">
        <v>22</v>
      </c>
      <c r="E86" s="177">
        <v>0</v>
      </c>
      <c r="F86" s="177">
        <v>0</v>
      </c>
      <c r="G86" s="177">
        <v>0</v>
      </c>
      <c r="H86" s="178">
        <v>18</v>
      </c>
      <c r="I86" s="70">
        <f>B86+D86-H86</f>
        <v>86</v>
      </c>
      <c r="J86" s="175">
        <v>20</v>
      </c>
      <c r="K86" s="176">
        <v>20</v>
      </c>
      <c r="L86" s="176">
        <v>1</v>
      </c>
      <c r="M86" s="177">
        <v>0</v>
      </c>
      <c r="N86" s="178">
        <f>J86+L86-M86</f>
        <v>21</v>
      </c>
      <c r="O86" s="175">
        <f>10+21</f>
        <v>31</v>
      </c>
      <c r="P86" s="176">
        <v>31</v>
      </c>
      <c r="Q86" s="177">
        <v>31</v>
      </c>
      <c r="R86" s="70">
        <f>O86-Q86</f>
        <v>0</v>
      </c>
      <c r="S86" s="175">
        <v>0</v>
      </c>
      <c r="T86" s="176">
        <v>0</v>
      </c>
      <c r="U86" s="177">
        <v>0</v>
      </c>
      <c r="V86" s="38">
        <f>S86-U86</f>
        <v>0</v>
      </c>
      <c r="W86" s="240"/>
      <c r="X86" s="179"/>
      <c r="Y86" s="179"/>
      <c r="Z86" s="179"/>
      <c r="AA86" s="179"/>
      <c r="AB86" s="179"/>
      <c r="AC86" s="179"/>
      <c r="AD86" s="179"/>
      <c r="AE86" s="179"/>
      <c r="AF86" s="179"/>
      <c r="AG86" s="179"/>
      <c r="AH86" s="179"/>
      <c r="AI86" s="179"/>
      <c r="AJ86" s="179"/>
      <c r="AK86" s="179"/>
      <c r="AL86" s="179"/>
      <c r="AM86" s="179"/>
      <c r="AN86" s="179"/>
      <c r="AO86" s="179"/>
      <c r="AP86" s="179"/>
      <c r="AQ86" s="179"/>
      <c r="AR86" s="179"/>
      <c r="AS86" s="179"/>
      <c r="AT86" s="179"/>
      <c r="AU86" s="179"/>
      <c r="AV86" s="179"/>
      <c r="AW86" s="179"/>
      <c r="AX86" s="179"/>
      <c r="AY86" s="179"/>
      <c r="AZ86" s="179"/>
      <c r="BA86" s="179"/>
      <c r="BB86" s="179"/>
      <c r="BC86" s="179"/>
      <c r="BD86" s="179"/>
      <c r="BE86" s="179"/>
      <c r="BF86" s="179"/>
      <c r="BG86" s="179"/>
      <c r="BH86" s="179"/>
      <c r="BI86" s="179"/>
      <c r="BJ86" s="179"/>
      <c r="BK86" s="179"/>
      <c r="BL86" s="179"/>
      <c r="BM86" s="179"/>
      <c r="BN86" s="179"/>
      <c r="BO86" s="179"/>
      <c r="BP86" s="179"/>
      <c r="BQ86" s="179"/>
      <c r="BR86" s="179"/>
      <c r="BS86" s="179"/>
      <c r="BT86" s="179"/>
      <c r="BU86" s="179"/>
      <c r="BV86" s="179"/>
      <c r="BW86" s="179"/>
      <c r="BX86" s="179"/>
      <c r="BY86" s="179"/>
      <c r="BZ86" s="179"/>
      <c r="CA86" s="179"/>
      <c r="CB86" s="179"/>
      <c r="CC86" s="179"/>
      <c r="CD86" s="179"/>
      <c r="CE86" s="179"/>
      <c r="CF86" s="179"/>
      <c r="CG86" s="179"/>
      <c r="CH86" s="179"/>
      <c r="CI86" s="179"/>
      <c r="CJ86" s="179"/>
      <c r="CK86" s="179"/>
      <c r="CL86" s="179"/>
      <c r="CM86" s="179"/>
      <c r="CN86" s="179"/>
      <c r="CO86" s="179"/>
      <c r="CP86" s="179"/>
      <c r="CQ86" s="179"/>
      <c r="CR86" s="179"/>
      <c r="CS86" s="179"/>
      <c r="CT86" s="179"/>
      <c r="CU86" s="179"/>
      <c r="CV86" s="179"/>
      <c r="CW86" s="179"/>
      <c r="CX86" s="179"/>
      <c r="CY86" s="179"/>
      <c r="CZ86" s="179"/>
      <c r="DA86" s="179"/>
      <c r="DB86" s="179"/>
      <c r="DC86" s="179"/>
      <c r="DD86" s="179"/>
      <c r="DE86" s="179"/>
      <c r="DF86" s="179"/>
      <c r="DG86" s="179"/>
      <c r="DH86" s="179"/>
      <c r="DI86" s="179"/>
      <c r="DJ86" s="179"/>
      <c r="DK86" s="179"/>
      <c r="DL86" s="179"/>
      <c r="DM86" s="179"/>
      <c r="DN86" s="179"/>
      <c r="DO86" s="179"/>
      <c r="DP86" s="179"/>
      <c r="DQ86" s="179"/>
      <c r="DR86" s="179"/>
      <c r="DS86" s="179"/>
      <c r="DT86" s="179"/>
      <c r="DU86" s="179"/>
      <c r="DV86" s="179"/>
      <c r="DW86" s="179"/>
      <c r="DX86" s="179"/>
      <c r="DY86" s="179"/>
      <c r="DZ86" s="179"/>
      <c r="EA86" s="179"/>
      <c r="EB86" s="179"/>
      <c r="EC86" s="179"/>
      <c r="ED86" s="179"/>
      <c r="EE86" s="179"/>
      <c r="EF86" s="179"/>
      <c r="EG86" s="179"/>
      <c r="EH86" s="179"/>
      <c r="EI86" s="179"/>
      <c r="EJ86" s="179"/>
      <c r="EK86" s="179"/>
      <c r="EL86" s="179"/>
      <c r="EM86" s="179"/>
      <c r="EN86" s="179"/>
      <c r="EO86" s="179"/>
      <c r="EP86" s="179"/>
      <c r="EQ86" s="179"/>
      <c r="ER86" s="179"/>
      <c r="ES86" s="179"/>
      <c r="ET86" s="179"/>
      <c r="EU86" s="179"/>
      <c r="EV86" s="179"/>
      <c r="EW86" s="179"/>
      <c r="EX86" s="179"/>
      <c r="EY86" s="179"/>
      <c r="EZ86" s="179"/>
      <c r="FA86" s="179"/>
      <c r="FB86" s="179"/>
      <c r="FC86" s="179"/>
      <c r="FD86" s="179"/>
      <c r="FE86" s="179"/>
      <c r="FF86" s="179"/>
      <c r="FG86" s="179"/>
      <c r="FH86" s="179"/>
      <c r="FI86" s="179"/>
      <c r="FJ86" s="179"/>
      <c r="FK86" s="179"/>
      <c r="FL86" s="179"/>
      <c r="FM86" s="179"/>
      <c r="FN86" s="179"/>
      <c r="FO86" s="179"/>
      <c r="FP86" s="179"/>
      <c r="FQ86" s="179"/>
      <c r="FR86" s="179"/>
      <c r="FS86" s="179"/>
      <c r="FT86" s="179"/>
      <c r="FU86" s="179"/>
      <c r="FV86" s="179"/>
      <c r="FW86" s="179"/>
      <c r="FX86" s="179"/>
      <c r="FY86" s="179"/>
      <c r="FZ86" s="179"/>
      <c r="GA86" s="179"/>
      <c r="GB86" s="179"/>
      <c r="GC86" s="179"/>
      <c r="GD86" s="179"/>
      <c r="GE86" s="179"/>
      <c r="GF86" s="179"/>
      <c r="GG86" s="179"/>
      <c r="GH86" s="179"/>
      <c r="GI86" s="179"/>
      <c r="GJ86" s="179"/>
      <c r="GK86" s="179"/>
      <c r="GL86" s="179"/>
      <c r="GM86" s="179"/>
      <c r="GN86" s="179"/>
      <c r="GO86" s="179"/>
      <c r="GP86" s="179"/>
      <c r="GQ86" s="179"/>
      <c r="GR86" s="179"/>
      <c r="GS86" s="179"/>
      <c r="GT86" s="179"/>
      <c r="GU86" s="179"/>
      <c r="GV86" s="179"/>
      <c r="GW86" s="179"/>
      <c r="GX86" s="179"/>
      <c r="GY86" s="179"/>
      <c r="GZ86" s="179"/>
      <c r="HA86" s="179"/>
      <c r="HB86" s="179"/>
      <c r="HC86" s="179"/>
      <c r="HD86" s="179"/>
      <c r="HE86" s="179"/>
      <c r="HF86" s="179"/>
      <c r="HG86" s="179"/>
      <c r="HH86" s="179"/>
      <c r="HI86" s="179"/>
      <c r="HJ86" s="179"/>
      <c r="HK86" s="179"/>
      <c r="HL86" s="179"/>
      <c r="HM86" s="179"/>
      <c r="HN86" s="179"/>
      <c r="HO86" s="179"/>
      <c r="HP86" s="179"/>
      <c r="HQ86" s="179"/>
      <c r="HR86" s="179"/>
      <c r="HS86" s="179"/>
      <c r="HT86" s="179"/>
      <c r="HU86" s="179"/>
      <c r="HV86" s="179"/>
      <c r="HW86" s="179"/>
      <c r="HX86" s="179"/>
      <c r="HY86" s="179"/>
      <c r="HZ86" s="179"/>
      <c r="IA86" s="179"/>
      <c r="IB86" s="179"/>
      <c r="IC86" s="179"/>
      <c r="ID86" s="179"/>
      <c r="IE86" s="179"/>
      <c r="IF86" s="179"/>
      <c r="IG86" s="179"/>
      <c r="IH86" s="179"/>
      <c r="II86" s="179"/>
      <c r="IJ86" s="179"/>
      <c r="IK86" s="179"/>
      <c r="IL86" s="179"/>
      <c r="IM86" s="179"/>
      <c r="IN86" s="179"/>
      <c r="IO86" s="179"/>
      <c r="IP86" s="179"/>
      <c r="IQ86" s="179"/>
      <c r="IR86" s="179"/>
      <c r="IS86" s="179"/>
      <c r="IT86" s="179"/>
      <c r="IU86" s="179"/>
      <c r="IV86" s="179"/>
    </row>
    <row r="87" spans="1:256" s="40" customFormat="1" ht="12.75">
      <c r="A87" s="245" t="s">
        <v>24</v>
      </c>
      <c r="B87" s="168">
        <v>2</v>
      </c>
      <c r="C87" s="169">
        <v>2</v>
      </c>
      <c r="D87" s="169">
        <v>32</v>
      </c>
      <c r="E87" s="170">
        <v>0</v>
      </c>
      <c r="F87" s="170">
        <v>0</v>
      </c>
      <c r="G87" s="170">
        <v>0</v>
      </c>
      <c r="H87" s="171">
        <v>31</v>
      </c>
      <c r="I87" s="38">
        <f>B87+D87-H87</f>
        <v>3</v>
      </c>
      <c r="J87" s="168">
        <v>1</v>
      </c>
      <c r="K87" s="169">
        <v>1</v>
      </c>
      <c r="L87" s="169">
        <v>0</v>
      </c>
      <c r="M87" s="170">
        <v>0</v>
      </c>
      <c r="N87" s="171">
        <f>J87+L87-M87</f>
        <v>1</v>
      </c>
      <c r="O87" s="168">
        <f>46+30</f>
        <v>76</v>
      </c>
      <c r="P87" s="169">
        <v>76</v>
      </c>
      <c r="Q87" s="170">
        <v>42</v>
      </c>
      <c r="R87" s="38">
        <f>O87-Q87</f>
        <v>34</v>
      </c>
      <c r="S87" s="168">
        <v>0</v>
      </c>
      <c r="T87" s="169">
        <v>0</v>
      </c>
      <c r="U87" s="170">
        <v>0</v>
      </c>
      <c r="V87" s="38">
        <f>S87-U87</f>
        <v>0</v>
      </c>
      <c r="W87" s="240"/>
      <c r="X87" s="179"/>
      <c r="Y87" s="179"/>
      <c r="Z87" s="179"/>
      <c r="AA87" s="179"/>
      <c r="AB87" s="179"/>
      <c r="AC87" s="179"/>
      <c r="AD87" s="179"/>
      <c r="AE87" s="179"/>
      <c r="AF87" s="179"/>
      <c r="AG87" s="179"/>
      <c r="AH87" s="179"/>
      <c r="AI87" s="179"/>
      <c r="AJ87" s="179"/>
      <c r="AK87" s="179"/>
      <c r="AL87" s="179"/>
      <c r="AM87" s="179"/>
      <c r="AN87" s="179"/>
      <c r="AO87" s="179"/>
      <c r="AP87" s="179"/>
      <c r="AQ87" s="179"/>
      <c r="AR87" s="179"/>
      <c r="AS87" s="179"/>
      <c r="AT87" s="179"/>
      <c r="AU87" s="179"/>
      <c r="AV87" s="179"/>
      <c r="AW87" s="179"/>
      <c r="AX87" s="179"/>
      <c r="AY87" s="179"/>
      <c r="AZ87" s="179"/>
      <c r="BA87" s="179"/>
      <c r="BB87" s="179"/>
      <c r="BC87" s="179"/>
      <c r="BD87" s="179"/>
      <c r="BE87" s="179"/>
      <c r="BF87" s="179"/>
      <c r="BG87" s="179"/>
      <c r="BH87" s="179"/>
      <c r="BI87" s="179"/>
      <c r="BJ87" s="179"/>
      <c r="BK87" s="179"/>
      <c r="BL87" s="179"/>
      <c r="BM87" s="179"/>
      <c r="BN87" s="179"/>
      <c r="BO87" s="179"/>
      <c r="BP87" s="179"/>
      <c r="BQ87" s="179"/>
      <c r="BR87" s="179"/>
      <c r="BS87" s="179"/>
      <c r="BT87" s="179"/>
      <c r="BU87" s="179"/>
      <c r="BV87" s="179"/>
      <c r="BW87" s="179"/>
      <c r="BX87" s="179"/>
      <c r="BY87" s="179"/>
      <c r="BZ87" s="179"/>
      <c r="CA87" s="179"/>
      <c r="CB87" s="179"/>
      <c r="CC87" s="179"/>
      <c r="CD87" s="179"/>
      <c r="CE87" s="179"/>
      <c r="CF87" s="179"/>
      <c r="CG87" s="179"/>
      <c r="CH87" s="179"/>
      <c r="CI87" s="179"/>
      <c r="CJ87" s="179"/>
      <c r="CK87" s="179"/>
      <c r="CL87" s="179"/>
      <c r="CM87" s="179"/>
      <c r="CN87" s="179"/>
      <c r="CO87" s="179"/>
      <c r="CP87" s="179"/>
      <c r="CQ87" s="179"/>
      <c r="CR87" s="179"/>
      <c r="CS87" s="179"/>
      <c r="CT87" s="179"/>
      <c r="CU87" s="179"/>
      <c r="CV87" s="179"/>
      <c r="CW87" s="179"/>
      <c r="CX87" s="179"/>
      <c r="CY87" s="179"/>
      <c r="CZ87" s="179"/>
      <c r="DA87" s="179"/>
      <c r="DB87" s="179"/>
      <c r="DC87" s="179"/>
      <c r="DD87" s="179"/>
      <c r="DE87" s="179"/>
      <c r="DF87" s="179"/>
      <c r="DG87" s="179"/>
      <c r="DH87" s="179"/>
      <c r="DI87" s="179"/>
      <c r="DJ87" s="179"/>
      <c r="DK87" s="179"/>
      <c r="DL87" s="179"/>
      <c r="DM87" s="179"/>
      <c r="DN87" s="179"/>
      <c r="DO87" s="179"/>
      <c r="DP87" s="179"/>
      <c r="DQ87" s="179"/>
      <c r="DR87" s="179"/>
      <c r="DS87" s="179"/>
      <c r="DT87" s="179"/>
      <c r="DU87" s="179"/>
      <c r="DV87" s="179"/>
      <c r="DW87" s="179"/>
      <c r="DX87" s="179"/>
      <c r="DY87" s="179"/>
      <c r="DZ87" s="179"/>
      <c r="EA87" s="179"/>
      <c r="EB87" s="179"/>
      <c r="EC87" s="179"/>
      <c r="ED87" s="179"/>
      <c r="EE87" s="179"/>
      <c r="EF87" s="179"/>
      <c r="EG87" s="179"/>
      <c r="EH87" s="179"/>
      <c r="EI87" s="179"/>
      <c r="EJ87" s="179"/>
      <c r="EK87" s="179"/>
      <c r="EL87" s="179"/>
      <c r="EM87" s="179"/>
      <c r="EN87" s="179"/>
      <c r="EO87" s="179"/>
      <c r="EP87" s="179"/>
      <c r="EQ87" s="179"/>
      <c r="ER87" s="179"/>
      <c r="ES87" s="179"/>
      <c r="ET87" s="179"/>
      <c r="EU87" s="179"/>
      <c r="EV87" s="179"/>
      <c r="EW87" s="179"/>
      <c r="EX87" s="179"/>
      <c r="EY87" s="179"/>
      <c r="EZ87" s="179"/>
      <c r="FA87" s="179"/>
      <c r="FB87" s="179"/>
      <c r="FC87" s="179"/>
      <c r="FD87" s="179"/>
      <c r="FE87" s="179"/>
      <c r="FF87" s="179"/>
      <c r="FG87" s="179"/>
      <c r="FH87" s="179"/>
      <c r="FI87" s="179"/>
      <c r="FJ87" s="179"/>
      <c r="FK87" s="179"/>
      <c r="FL87" s="179"/>
      <c r="FM87" s="179"/>
      <c r="FN87" s="179"/>
      <c r="FO87" s="179"/>
      <c r="FP87" s="179"/>
      <c r="FQ87" s="179"/>
      <c r="FR87" s="179"/>
      <c r="FS87" s="179"/>
      <c r="FT87" s="179"/>
      <c r="FU87" s="179"/>
      <c r="FV87" s="179"/>
      <c r="FW87" s="179"/>
      <c r="FX87" s="179"/>
      <c r="FY87" s="179"/>
      <c r="FZ87" s="179"/>
      <c r="GA87" s="179"/>
      <c r="GB87" s="179"/>
      <c r="GC87" s="179"/>
      <c r="GD87" s="179"/>
      <c r="GE87" s="179"/>
      <c r="GF87" s="179"/>
      <c r="GG87" s="179"/>
      <c r="GH87" s="179"/>
      <c r="GI87" s="179"/>
      <c r="GJ87" s="179"/>
      <c r="GK87" s="179"/>
      <c r="GL87" s="179"/>
      <c r="GM87" s="179"/>
      <c r="GN87" s="179"/>
      <c r="GO87" s="179"/>
      <c r="GP87" s="179"/>
      <c r="GQ87" s="179"/>
      <c r="GR87" s="179"/>
      <c r="GS87" s="179"/>
      <c r="GT87" s="179"/>
      <c r="GU87" s="179"/>
      <c r="GV87" s="179"/>
      <c r="GW87" s="179"/>
      <c r="GX87" s="179"/>
      <c r="GY87" s="179"/>
      <c r="GZ87" s="179"/>
      <c r="HA87" s="179"/>
      <c r="HB87" s="179"/>
      <c r="HC87" s="179"/>
      <c r="HD87" s="179"/>
      <c r="HE87" s="179"/>
      <c r="HF87" s="179"/>
      <c r="HG87" s="179"/>
      <c r="HH87" s="179"/>
      <c r="HI87" s="179"/>
      <c r="HJ87" s="179"/>
      <c r="HK87" s="179"/>
      <c r="HL87" s="179"/>
      <c r="HM87" s="179"/>
      <c r="HN87" s="179"/>
      <c r="HO87" s="179"/>
      <c r="HP87" s="179"/>
      <c r="HQ87" s="179"/>
      <c r="HR87" s="179"/>
      <c r="HS87" s="179"/>
      <c r="HT87" s="179"/>
      <c r="HU87" s="179"/>
      <c r="HV87" s="179"/>
      <c r="HW87" s="179"/>
      <c r="HX87" s="179"/>
      <c r="HY87" s="179"/>
      <c r="HZ87" s="179"/>
      <c r="IA87" s="179"/>
      <c r="IB87" s="179"/>
      <c r="IC87" s="179"/>
      <c r="ID87" s="179"/>
      <c r="IE87" s="179"/>
      <c r="IF87" s="179"/>
      <c r="IG87" s="179"/>
      <c r="IH87" s="179"/>
      <c r="II87" s="179"/>
      <c r="IJ87" s="179"/>
      <c r="IK87" s="179"/>
      <c r="IL87" s="179"/>
      <c r="IM87" s="179"/>
      <c r="IN87" s="179"/>
      <c r="IO87" s="179"/>
      <c r="IP87" s="179"/>
      <c r="IQ87" s="179"/>
      <c r="IR87" s="179"/>
      <c r="IS87" s="179"/>
      <c r="IT87" s="179"/>
      <c r="IU87" s="179"/>
      <c r="IV87" s="179"/>
    </row>
    <row r="88" spans="1:256" s="40" customFormat="1" ht="12.75">
      <c r="A88" s="245" t="s">
        <v>25</v>
      </c>
      <c r="B88" s="168">
        <v>0</v>
      </c>
      <c r="C88" s="169">
        <v>0</v>
      </c>
      <c r="D88" s="169">
        <v>0</v>
      </c>
      <c r="E88" s="170">
        <v>0</v>
      </c>
      <c r="F88" s="170">
        <v>0</v>
      </c>
      <c r="G88" s="170">
        <v>0</v>
      </c>
      <c r="H88" s="171">
        <v>0</v>
      </c>
      <c r="I88" s="38">
        <f>B88+D88-H88</f>
        <v>0</v>
      </c>
      <c r="J88" s="168">
        <v>2</v>
      </c>
      <c r="K88" s="169">
        <v>2</v>
      </c>
      <c r="L88" s="169">
        <v>0</v>
      </c>
      <c r="M88" s="170">
        <v>2</v>
      </c>
      <c r="N88" s="171">
        <f>J88+L88-M88</f>
        <v>0</v>
      </c>
      <c r="O88" s="168">
        <f>4+39</f>
        <v>43</v>
      </c>
      <c r="P88" s="169">
        <v>43</v>
      </c>
      <c r="Q88" s="170">
        <v>39</v>
      </c>
      <c r="R88" s="38">
        <f>O88-Q88</f>
        <v>4</v>
      </c>
      <c r="S88" s="168">
        <v>0</v>
      </c>
      <c r="T88" s="169">
        <v>0</v>
      </c>
      <c r="U88" s="170">
        <v>0</v>
      </c>
      <c r="V88" s="38">
        <f>S88-U88</f>
        <v>0</v>
      </c>
      <c r="W88" s="240"/>
      <c r="X88" s="179"/>
      <c r="Y88" s="179"/>
      <c r="Z88" s="179"/>
      <c r="AA88" s="179"/>
      <c r="AB88" s="179"/>
      <c r="AC88" s="179"/>
      <c r="AD88" s="179"/>
      <c r="AE88" s="179"/>
      <c r="AF88" s="179"/>
      <c r="AG88" s="179"/>
      <c r="AH88" s="179"/>
      <c r="AI88" s="179"/>
      <c r="AJ88" s="179"/>
      <c r="AK88" s="179"/>
      <c r="AL88" s="179"/>
      <c r="AM88" s="179"/>
      <c r="AN88" s="179"/>
      <c r="AO88" s="179"/>
      <c r="AP88" s="179"/>
      <c r="AQ88" s="179"/>
      <c r="AR88" s="179"/>
      <c r="AS88" s="179"/>
      <c r="AT88" s="179"/>
      <c r="AU88" s="179"/>
      <c r="AV88" s="179"/>
      <c r="AW88" s="179"/>
      <c r="AX88" s="179"/>
      <c r="AY88" s="179"/>
      <c r="AZ88" s="179"/>
      <c r="BA88" s="179"/>
      <c r="BB88" s="179"/>
      <c r="BC88" s="179"/>
      <c r="BD88" s="179"/>
      <c r="BE88" s="179"/>
      <c r="BF88" s="179"/>
      <c r="BG88" s="179"/>
      <c r="BH88" s="179"/>
      <c r="BI88" s="179"/>
      <c r="BJ88" s="179"/>
      <c r="BK88" s="179"/>
      <c r="BL88" s="179"/>
      <c r="BM88" s="179"/>
      <c r="BN88" s="179"/>
      <c r="BO88" s="179"/>
      <c r="BP88" s="179"/>
      <c r="BQ88" s="179"/>
      <c r="BR88" s="179"/>
      <c r="BS88" s="179"/>
      <c r="BT88" s="179"/>
      <c r="BU88" s="179"/>
      <c r="BV88" s="179"/>
      <c r="BW88" s="179"/>
      <c r="BX88" s="179"/>
      <c r="BY88" s="179"/>
      <c r="BZ88" s="179"/>
      <c r="CA88" s="179"/>
      <c r="CB88" s="179"/>
      <c r="CC88" s="179"/>
      <c r="CD88" s="179"/>
      <c r="CE88" s="179"/>
      <c r="CF88" s="179"/>
      <c r="CG88" s="179"/>
      <c r="CH88" s="179"/>
      <c r="CI88" s="179"/>
      <c r="CJ88" s="179"/>
      <c r="CK88" s="179"/>
      <c r="CL88" s="179"/>
      <c r="CM88" s="179"/>
      <c r="CN88" s="179"/>
      <c r="CO88" s="179"/>
      <c r="CP88" s="179"/>
      <c r="CQ88" s="179"/>
      <c r="CR88" s="179"/>
      <c r="CS88" s="179"/>
      <c r="CT88" s="179"/>
      <c r="CU88" s="179"/>
      <c r="CV88" s="179"/>
      <c r="CW88" s="179"/>
      <c r="CX88" s="179"/>
      <c r="CY88" s="179"/>
      <c r="CZ88" s="179"/>
      <c r="DA88" s="179"/>
      <c r="DB88" s="179"/>
      <c r="DC88" s="179"/>
      <c r="DD88" s="179"/>
      <c r="DE88" s="179"/>
      <c r="DF88" s="179"/>
      <c r="DG88" s="179"/>
      <c r="DH88" s="179"/>
      <c r="DI88" s="179"/>
      <c r="DJ88" s="179"/>
      <c r="DK88" s="179"/>
      <c r="DL88" s="179"/>
      <c r="DM88" s="179"/>
      <c r="DN88" s="179"/>
      <c r="DO88" s="179"/>
      <c r="DP88" s="179"/>
      <c r="DQ88" s="179"/>
      <c r="DR88" s="179"/>
      <c r="DS88" s="179"/>
      <c r="DT88" s="179"/>
      <c r="DU88" s="179"/>
      <c r="DV88" s="179"/>
      <c r="DW88" s="179"/>
      <c r="DX88" s="179"/>
      <c r="DY88" s="179"/>
      <c r="DZ88" s="179"/>
      <c r="EA88" s="179"/>
      <c r="EB88" s="179"/>
      <c r="EC88" s="179"/>
      <c r="ED88" s="179"/>
      <c r="EE88" s="179"/>
      <c r="EF88" s="179"/>
      <c r="EG88" s="179"/>
      <c r="EH88" s="179"/>
      <c r="EI88" s="179"/>
      <c r="EJ88" s="179"/>
      <c r="EK88" s="179"/>
      <c r="EL88" s="179"/>
      <c r="EM88" s="179"/>
      <c r="EN88" s="179"/>
      <c r="EO88" s="179"/>
      <c r="EP88" s="179"/>
      <c r="EQ88" s="179"/>
      <c r="ER88" s="179"/>
      <c r="ES88" s="179"/>
      <c r="ET88" s="179"/>
      <c r="EU88" s="179"/>
      <c r="EV88" s="179"/>
      <c r="EW88" s="179"/>
      <c r="EX88" s="179"/>
      <c r="EY88" s="179"/>
      <c r="EZ88" s="179"/>
      <c r="FA88" s="179"/>
      <c r="FB88" s="179"/>
      <c r="FC88" s="179"/>
      <c r="FD88" s="179"/>
      <c r="FE88" s="179"/>
      <c r="FF88" s="179"/>
      <c r="FG88" s="179"/>
      <c r="FH88" s="179"/>
      <c r="FI88" s="179"/>
      <c r="FJ88" s="179"/>
      <c r="FK88" s="179"/>
      <c r="FL88" s="179"/>
      <c r="FM88" s="179"/>
      <c r="FN88" s="179"/>
      <c r="FO88" s="179"/>
      <c r="FP88" s="179"/>
      <c r="FQ88" s="179"/>
      <c r="FR88" s="179"/>
      <c r="FS88" s="179"/>
      <c r="FT88" s="179"/>
      <c r="FU88" s="179"/>
      <c r="FV88" s="179"/>
      <c r="FW88" s="179"/>
      <c r="FX88" s="179"/>
      <c r="FY88" s="179"/>
      <c r="FZ88" s="179"/>
      <c r="GA88" s="179"/>
      <c r="GB88" s="179"/>
      <c r="GC88" s="179"/>
      <c r="GD88" s="179"/>
      <c r="GE88" s="179"/>
      <c r="GF88" s="179"/>
      <c r="GG88" s="179"/>
      <c r="GH88" s="179"/>
      <c r="GI88" s="179"/>
      <c r="GJ88" s="179"/>
      <c r="GK88" s="179"/>
      <c r="GL88" s="179"/>
      <c r="GM88" s="179"/>
      <c r="GN88" s="179"/>
      <c r="GO88" s="179"/>
      <c r="GP88" s="179"/>
      <c r="GQ88" s="179"/>
      <c r="GR88" s="179"/>
      <c r="GS88" s="179"/>
      <c r="GT88" s="179"/>
      <c r="GU88" s="179"/>
      <c r="GV88" s="179"/>
      <c r="GW88" s="179"/>
      <c r="GX88" s="179"/>
      <c r="GY88" s="179"/>
      <c r="GZ88" s="179"/>
      <c r="HA88" s="179"/>
      <c r="HB88" s="179"/>
      <c r="HC88" s="179"/>
      <c r="HD88" s="179"/>
      <c r="HE88" s="179"/>
      <c r="HF88" s="179"/>
      <c r="HG88" s="179"/>
      <c r="HH88" s="179"/>
      <c r="HI88" s="179"/>
      <c r="HJ88" s="179"/>
      <c r="HK88" s="179"/>
      <c r="HL88" s="179"/>
      <c r="HM88" s="179"/>
      <c r="HN88" s="179"/>
      <c r="HO88" s="179"/>
      <c r="HP88" s="179"/>
      <c r="HQ88" s="179"/>
      <c r="HR88" s="179"/>
      <c r="HS88" s="179"/>
      <c r="HT88" s="179"/>
      <c r="HU88" s="179"/>
      <c r="HV88" s="179"/>
      <c r="HW88" s="179"/>
      <c r="HX88" s="179"/>
      <c r="HY88" s="179"/>
      <c r="HZ88" s="179"/>
      <c r="IA88" s="179"/>
      <c r="IB88" s="179"/>
      <c r="IC88" s="179"/>
      <c r="ID88" s="179"/>
      <c r="IE88" s="179"/>
      <c r="IF88" s="179"/>
      <c r="IG88" s="179"/>
      <c r="IH88" s="179"/>
      <c r="II88" s="179"/>
      <c r="IJ88" s="179"/>
      <c r="IK88" s="179"/>
      <c r="IL88" s="179"/>
      <c r="IM88" s="179"/>
      <c r="IN88" s="179"/>
      <c r="IO88" s="179"/>
      <c r="IP88" s="179"/>
      <c r="IQ88" s="179"/>
      <c r="IR88" s="179"/>
      <c r="IS88" s="179"/>
      <c r="IT88" s="179"/>
      <c r="IU88" s="179"/>
      <c r="IV88" s="179"/>
    </row>
    <row r="89" spans="1:256" ht="12.75">
      <c r="A89" s="246" t="s">
        <v>26</v>
      </c>
      <c r="B89" s="168">
        <v>142</v>
      </c>
      <c r="C89" s="169">
        <v>142</v>
      </c>
      <c r="D89" s="169">
        <v>53</v>
      </c>
      <c r="E89" s="170">
        <v>0</v>
      </c>
      <c r="F89" s="170">
        <v>0</v>
      </c>
      <c r="G89" s="170">
        <v>0</v>
      </c>
      <c r="H89" s="171">
        <v>0</v>
      </c>
      <c r="I89" s="38">
        <f>B89+D89-H89</f>
        <v>195</v>
      </c>
      <c r="J89" s="168">
        <v>40</v>
      </c>
      <c r="K89" s="169">
        <v>40</v>
      </c>
      <c r="L89" s="169">
        <v>4</v>
      </c>
      <c r="M89" s="170">
        <v>20</v>
      </c>
      <c r="N89" s="171">
        <f>J89+L89-M89</f>
        <v>24</v>
      </c>
      <c r="O89" s="168">
        <f>3+59</f>
        <v>62</v>
      </c>
      <c r="P89" s="169">
        <v>62</v>
      </c>
      <c r="Q89" s="170">
        <v>60</v>
      </c>
      <c r="R89" s="38">
        <f>O89-Q89</f>
        <v>2</v>
      </c>
      <c r="S89" s="168">
        <v>5</v>
      </c>
      <c r="T89" s="169">
        <v>5</v>
      </c>
      <c r="U89" s="170">
        <v>0</v>
      </c>
      <c r="V89" s="38">
        <f>S89-U89</f>
        <v>5</v>
      </c>
      <c r="W89" s="193"/>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6"/>
      <c r="BR89" s="86"/>
      <c r="BS89" s="86"/>
      <c r="BT89" s="86"/>
      <c r="BU89" s="86"/>
      <c r="BV89" s="86"/>
      <c r="BW89" s="86"/>
      <c r="BX89" s="86"/>
      <c r="BY89" s="86"/>
      <c r="BZ89" s="86"/>
      <c r="CA89" s="86"/>
      <c r="CB89" s="86"/>
      <c r="CC89" s="86"/>
      <c r="CD89" s="86"/>
      <c r="CE89" s="86"/>
      <c r="CF89" s="86"/>
      <c r="CG89" s="86"/>
      <c r="CH89" s="86"/>
      <c r="CI89" s="86"/>
      <c r="CJ89" s="86"/>
      <c r="CK89" s="86"/>
      <c r="CL89" s="86"/>
      <c r="CM89" s="86"/>
      <c r="CN89" s="86"/>
      <c r="CO89" s="86"/>
      <c r="CP89" s="86"/>
      <c r="CQ89" s="86"/>
      <c r="CR89" s="86"/>
      <c r="CS89" s="86"/>
      <c r="CT89" s="86"/>
      <c r="CU89" s="86"/>
      <c r="CV89" s="86"/>
      <c r="CW89" s="86"/>
      <c r="CX89" s="86"/>
      <c r="CY89" s="86"/>
      <c r="CZ89" s="86"/>
      <c r="DA89" s="86"/>
      <c r="DB89" s="86"/>
      <c r="DC89" s="86"/>
      <c r="DD89" s="86"/>
      <c r="DE89" s="86"/>
      <c r="DF89" s="86"/>
      <c r="DG89" s="86"/>
      <c r="DH89" s="86"/>
      <c r="DI89" s="86"/>
      <c r="DJ89" s="86"/>
      <c r="DK89" s="86"/>
      <c r="DL89" s="86"/>
      <c r="DM89" s="86"/>
      <c r="DN89" s="86"/>
      <c r="DO89" s="86"/>
      <c r="DP89" s="86"/>
      <c r="DQ89" s="86"/>
      <c r="DR89" s="86"/>
      <c r="DS89" s="86"/>
      <c r="DT89" s="86"/>
      <c r="DU89" s="86"/>
      <c r="DV89" s="86"/>
      <c r="DW89" s="86"/>
      <c r="DX89" s="86"/>
      <c r="DY89" s="86"/>
      <c r="DZ89" s="86"/>
      <c r="EA89" s="86"/>
      <c r="EB89" s="86"/>
      <c r="EC89" s="86"/>
      <c r="ED89" s="86"/>
      <c r="EE89" s="86"/>
      <c r="EF89" s="86"/>
      <c r="EG89" s="86"/>
      <c r="EH89" s="86"/>
      <c r="EI89" s="86"/>
      <c r="EJ89" s="86"/>
      <c r="EK89" s="86"/>
      <c r="EL89" s="86"/>
      <c r="EM89" s="86"/>
      <c r="EN89" s="86"/>
      <c r="EO89" s="86"/>
      <c r="EP89" s="86"/>
      <c r="EQ89" s="86"/>
      <c r="ER89" s="86"/>
      <c r="ES89" s="86"/>
      <c r="ET89" s="86"/>
      <c r="EU89" s="86"/>
      <c r="EV89" s="86"/>
      <c r="EW89" s="86"/>
      <c r="EX89" s="86"/>
      <c r="EY89" s="86"/>
      <c r="EZ89" s="86"/>
      <c r="FA89" s="86"/>
      <c r="FB89" s="86"/>
      <c r="FC89" s="86"/>
      <c r="FD89" s="86"/>
      <c r="FE89" s="86"/>
      <c r="FF89" s="86"/>
      <c r="FG89" s="86"/>
      <c r="FH89" s="86"/>
      <c r="FI89" s="86"/>
      <c r="FJ89" s="86"/>
      <c r="FK89" s="86"/>
      <c r="FL89" s="86"/>
      <c r="FM89" s="86"/>
      <c r="FN89" s="86"/>
      <c r="FO89" s="86"/>
      <c r="FP89" s="86"/>
      <c r="FQ89" s="86"/>
      <c r="FR89" s="86"/>
      <c r="FS89" s="86"/>
      <c r="FT89" s="86"/>
      <c r="FU89" s="86"/>
      <c r="FV89" s="86"/>
      <c r="FW89" s="86"/>
      <c r="FX89" s="86"/>
      <c r="FY89" s="86"/>
      <c r="FZ89" s="86"/>
      <c r="GA89" s="86"/>
      <c r="GB89" s="86"/>
      <c r="GC89" s="86"/>
      <c r="GD89" s="86"/>
      <c r="GE89" s="86"/>
      <c r="GF89" s="86"/>
      <c r="GG89" s="86"/>
      <c r="GH89" s="86"/>
      <c r="GI89" s="86"/>
      <c r="GJ89" s="86"/>
      <c r="GK89" s="86"/>
      <c r="GL89" s="86"/>
      <c r="GM89" s="86"/>
      <c r="GN89" s="86"/>
      <c r="GO89" s="86"/>
      <c r="GP89" s="86"/>
      <c r="GQ89" s="86"/>
      <c r="GR89" s="86"/>
      <c r="GS89" s="86"/>
      <c r="GT89" s="86"/>
      <c r="GU89" s="86"/>
      <c r="GV89" s="86"/>
      <c r="GW89" s="86"/>
      <c r="GX89" s="86"/>
      <c r="GY89" s="86"/>
      <c r="GZ89" s="86"/>
      <c r="HA89" s="86"/>
      <c r="HB89" s="86"/>
      <c r="HC89" s="86"/>
      <c r="HD89" s="86"/>
      <c r="HE89" s="86"/>
      <c r="HF89" s="86"/>
      <c r="HG89" s="86"/>
      <c r="HH89" s="86"/>
      <c r="HI89" s="86"/>
      <c r="HJ89" s="86"/>
      <c r="HK89" s="86"/>
      <c r="HL89" s="86"/>
      <c r="HM89" s="86"/>
      <c r="HN89" s="86"/>
      <c r="HO89" s="86"/>
      <c r="HP89" s="86"/>
      <c r="HQ89" s="86"/>
      <c r="HR89" s="86"/>
      <c r="HS89" s="86"/>
      <c r="HT89" s="86"/>
      <c r="HU89" s="86"/>
      <c r="HV89" s="86"/>
      <c r="HW89" s="86"/>
      <c r="HX89" s="86"/>
      <c r="HY89" s="86"/>
      <c r="HZ89" s="86"/>
      <c r="IA89" s="86"/>
      <c r="IB89" s="86"/>
      <c r="IC89" s="86"/>
      <c r="ID89" s="86"/>
      <c r="IE89" s="86"/>
      <c r="IF89" s="86"/>
      <c r="IG89" s="86"/>
      <c r="IH89" s="86"/>
      <c r="II89" s="86"/>
      <c r="IJ89" s="86"/>
      <c r="IK89" s="86"/>
      <c r="IL89" s="86"/>
      <c r="IM89" s="86"/>
      <c r="IN89" s="86"/>
      <c r="IO89" s="86"/>
      <c r="IP89" s="86"/>
      <c r="IQ89" s="86"/>
      <c r="IR89" s="86"/>
      <c r="IS89" s="86"/>
      <c r="IT89" s="86"/>
      <c r="IU89" s="86"/>
      <c r="IV89" s="86"/>
    </row>
    <row r="90" spans="1:256" s="40" customFormat="1" ht="13.5" thickBot="1">
      <c r="A90" s="247" t="s">
        <v>36</v>
      </c>
      <c r="B90" s="205">
        <v>135</v>
      </c>
      <c r="C90" s="207">
        <v>135</v>
      </c>
      <c r="D90" s="207">
        <v>49</v>
      </c>
      <c r="E90" s="207">
        <v>0</v>
      </c>
      <c r="F90" s="207">
        <v>0</v>
      </c>
      <c r="G90" s="207">
        <v>0</v>
      </c>
      <c r="H90" s="207">
        <v>0</v>
      </c>
      <c r="I90" s="208">
        <f>B90+D90-H90</f>
        <v>184</v>
      </c>
      <c r="J90" s="205">
        <v>1</v>
      </c>
      <c r="K90" s="207">
        <v>1</v>
      </c>
      <c r="L90" s="207">
        <v>0</v>
      </c>
      <c r="M90" s="207">
        <v>0</v>
      </c>
      <c r="N90" s="208">
        <f>J90+L90-M90</f>
        <v>1</v>
      </c>
      <c r="O90" s="205">
        <f>21+32</f>
        <v>53</v>
      </c>
      <c r="P90" s="207">
        <v>37</v>
      </c>
      <c r="Q90" s="207">
        <v>48</v>
      </c>
      <c r="R90" s="208">
        <f>O90-Q90</f>
        <v>5</v>
      </c>
      <c r="S90" s="205">
        <v>0</v>
      </c>
      <c r="T90" s="207">
        <v>0</v>
      </c>
      <c r="U90" s="207">
        <v>0</v>
      </c>
      <c r="V90" s="63">
        <f>S90-U90</f>
        <v>0</v>
      </c>
      <c r="W90" s="240"/>
      <c r="X90" s="179"/>
      <c r="Y90" s="179"/>
      <c r="Z90" s="179"/>
      <c r="AA90" s="179"/>
      <c r="AB90" s="179"/>
      <c r="AC90" s="179"/>
      <c r="AD90" s="179"/>
      <c r="AE90" s="179"/>
      <c r="AF90" s="179"/>
      <c r="AG90" s="179"/>
      <c r="AH90" s="179"/>
      <c r="AI90" s="179"/>
      <c r="AJ90" s="179"/>
      <c r="AK90" s="179"/>
      <c r="AL90" s="179"/>
      <c r="AM90" s="179"/>
      <c r="AN90" s="179"/>
      <c r="AO90" s="179"/>
      <c r="AP90" s="179"/>
      <c r="AQ90" s="179"/>
      <c r="AR90" s="179"/>
      <c r="AS90" s="179"/>
      <c r="AT90" s="179"/>
      <c r="AU90" s="179"/>
      <c r="AV90" s="179"/>
      <c r="AW90" s="179"/>
      <c r="AX90" s="179"/>
      <c r="AY90" s="179"/>
      <c r="AZ90" s="179"/>
      <c r="BA90" s="179"/>
      <c r="BB90" s="179"/>
      <c r="BC90" s="179"/>
      <c r="BD90" s="179"/>
      <c r="BE90" s="179"/>
      <c r="BF90" s="179"/>
      <c r="BG90" s="179"/>
      <c r="BH90" s="179"/>
      <c r="BI90" s="179"/>
      <c r="BJ90" s="179"/>
      <c r="BK90" s="179"/>
      <c r="BL90" s="179"/>
      <c r="BM90" s="179"/>
      <c r="BN90" s="179"/>
      <c r="BO90" s="179"/>
      <c r="BP90" s="179"/>
      <c r="BQ90" s="179"/>
      <c r="BR90" s="179"/>
      <c r="BS90" s="179"/>
      <c r="BT90" s="179"/>
      <c r="BU90" s="179"/>
      <c r="BV90" s="179"/>
      <c r="BW90" s="179"/>
      <c r="BX90" s="179"/>
      <c r="BY90" s="179"/>
      <c r="BZ90" s="179"/>
      <c r="CA90" s="179"/>
      <c r="CB90" s="179"/>
      <c r="CC90" s="179"/>
      <c r="CD90" s="179"/>
      <c r="CE90" s="179"/>
      <c r="CF90" s="179"/>
      <c r="CG90" s="179"/>
      <c r="CH90" s="179"/>
      <c r="CI90" s="179"/>
      <c r="CJ90" s="179"/>
      <c r="CK90" s="179"/>
      <c r="CL90" s="179"/>
      <c r="CM90" s="179"/>
      <c r="CN90" s="179"/>
      <c r="CO90" s="179"/>
      <c r="CP90" s="179"/>
      <c r="CQ90" s="179"/>
      <c r="CR90" s="179"/>
      <c r="CS90" s="179"/>
      <c r="CT90" s="179"/>
      <c r="CU90" s="179"/>
      <c r="CV90" s="179"/>
      <c r="CW90" s="179"/>
      <c r="CX90" s="179"/>
      <c r="CY90" s="179"/>
      <c r="CZ90" s="179"/>
      <c r="DA90" s="179"/>
      <c r="DB90" s="179"/>
      <c r="DC90" s="179"/>
      <c r="DD90" s="179"/>
      <c r="DE90" s="179"/>
      <c r="DF90" s="179"/>
      <c r="DG90" s="179"/>
      <c r="DH90" s="179"/>
      <c r="DI90" s="179"/>
      <c r="DJ90" s="179"/>
      <c r="DK90" s="179"/>
      <c r="DL90" s="179"/>
      <c r="DM90" s="179"/>
      <c r="DN90" s="179"/>
      <c r="DO90" s="179"/>
      <c r="DP90" s="179"/>
      <c r="DQ90" s="179"/>
      <c r="DR90" s="179"/>
      <c r="DS90" s="179"/>
      <c r="DT90" s="179"/>
      <c r="DU90" s="179"/>
      <c r="DV90" s="179"/>
      <c r="DW90" s="179"/>
      <c r="DX90" s="179"/>
      <c r="DY90" s="179"/>
      <c r="DZ90" s="179"/>
      <c r="EA90" s="179"/>
      <c r="EB90" s="179"/>
      <c r="EC90" s="179"/>
      <c r="ED90" s="179"/>
      <c r="EE90" s="179"/>
      <c r="EF90" s="179"/>
      <c r="EG90" s="179"/>
      <c r="EH90" s="179"/>
      <c r="EI90" s="179"/>
      <c r="EJ90" s="179"/>
      <c r="EK90" s="179"/>
      <c r="EL90" s="179"/>
      <c r="EM90" s="179"/>
      <c r="EN90" s="179"/>
      <c r="EO90" s="179"/>
      <c r="EP90" s="179"/>
      <c r="EQ90" s="179"/>
      <c r="ER90" s="179"/>
      <c r="ES90" s="179"/>
      <c r="ET90" s="179"/>
      <c r="EU90" s="179"/>
      <c r="EV90" s="179"/>
      <c r="EW90" s="179"/>
      <c r="EX90" s="179"/>
      <c r="EY90" s="179"/>
      <c r="EZ90" s="179"/>
      <c r="FA90" s="179"/>
      <c r="FB90" s="179"/>
      <c r="FC90" s="179"/>
      <c r="FD90" s="179"/>
      <c r="FE90" s="179"/>
      <c r="FF90" s="179"/>
      <c r="FG90" s="179"/>
      <c r="FH90" s="179"/>
      <c r="FI90" s="179"/>
      <c r="FJ90" s="179"/>
      <c r="FK90" s="179"/>
      <c r="FL90" s="179"/>
      <c r="FM90" s="179"/>
      <c r="FN90" s="179"/>
      <c r="FO90" s="179"/>
      <c r="FP90" s="179"/>
      <c r="FQ90" s="179"/>
      <c r="FR90" s="179"/>
      <c r="FS90" s="179"/>
      <c r="FT90" s="179"/>
      <c r="FU90" s="179"/>
      <c r="FV90" s="179"/>
      <c r="FW90" s="179"/>
      <c r="FX90" s="179"/>
      <c r="FY90" s="179"/>
      <c r="FZ90" s="179"/>
      <c r="GA90" s="179"/>
      <c r="GB90" s="179"/>
      <c r="GC90" s="179"/>
      <c r="GD90" s="179"/>
      <c r="GE90" s="179"/>
      <c r="GF90" s="179"/>
      <c r="GG90" s="179"/>
      <c r="GH90" s="179"/>
      <c r="GI90" s="179"/>
      <c r="GJ90" s="179"/>
      <c r="GK90" s="179"/>
      <c r="GL90" s="179"/>
      <c r="GM90" s="179"/>
      <c r="GN90" s="179"/>
      <c r="GO90" s="179"/>
      <c r="GP90" s="179"/>
      <c r="GQ90" s="179"/>
      <c r="GR90" s="179"/>
      <c r="GS90" s="179"/>
      <c r="GT90" s="179"/>
      <c r="GU90" s="179"/>
      <c r="GV90" s="179"/>
      <c r="GW90" s="179"/>
      <c r="GX90" s="179"/>
      <c r="GY90" s="179"/>
      <c r="GZ90" s="179"/>
      <c r="HA90" s="179"/>
      <c r="HB90" s="179"/>
      <c r="HC90" s="179"/>
      <c r="HD90" s="179"/>
      <c r="HE90" s="179"/>
      <c r="HF90" s="179"/>
      <c r="HG90" s="179"/>
      <c r="HH90" s="179"/>
      <c r="HI90" s="179"/>
      <c r="HJ90" s="179"/>
      <c r="HK90" s="179"/>
      <c r="HL90" s="179"/>
      <c r="HM90" s="179"/>
      <c r="HN90" s="179"/>
      <c r="HO90" s="179"/>
      <c r="HP90" s="179"/>
      <c r="HQ90" s="179"/>
      <c r="HR90" s="179"/>
      <c r="HS90" s="179"/>
      <c r="HT90" s="179"/>
      <c r="HU90" s="179"/>
      <c r="HV90" s="179"/>
      <c r="HW90" s="179"/>
      <c r="HX90" s="179"/>
      <c r="HY90" s="179"/>
      <c r="HZ90" s="179"/>
      <c r="IA90" s="179"/>
      <c r="IB90" s="179"/>
      <c r="IC90" s="179"/>
      <c r="ID90" s="179"/>
      <c r="IE90" s="179"/>
      <c r="IF90" s="179"/>
      <c r="IG90" s="179"/>
      <c r="IH90" s="179"/>
      <c r="II90" s="179"/>
      <c r="IJ90" s="179"/>
      <c r="IK90" s="179"/>
      <c r="IL90" s="179"/>
      <c r="IM90" s="179"/>
      <c r="IN90" s="179"/>
      <c r="IO90" s="179"/>
      <c r="IP90" s="179"/>
      <c r="IQ90" s="179"/>
      <c r="IR90" s="179"/>
      <c r="IS90" s="179"/>
      <c r="IT90" s="179"/>
      <c r="IU90" s="179"/>
      <c r="IV90" s="179"/>
    </row>
    <row r="91" spans="1:256" s="250" customFormat="1" ht="18.75" thickBot="1">
      <c r="A91" s="423" t="s">
        <v>147</v>
      </c>
      <c r="B91" s="423"/>
      <c r="C91" s="423"/>
      <c r="D91" s="423"/>
      <c r="E91" s="423"/>
      <c r="F91" s="423"/>
      <c r="G91" s="423"/>
      <c r="H91" s="423"/>
      <c r="I91" s="423"/>
      <c r="J91" s="423"/>
      <c r="K91" s="423"/>
      <c r="L91" s="423"/>
      <c r="M91" s="423"/>
      <c r="N91" s="423"/>
      <c r="O91" s="423"/>
      <c r="P91" s="423"/>
      <c r="Q91" s="423"/>
      <c r="R91" s="423"/>
      <c r="S91" s="423"/>
      <c r="T91" s="423"/>
      <c r="U91" s="423"/>
      <c r="V91" s="423"/>
      <c r="W91" s="249"/>
      <c r="HJ91" s="251"/>
      <c r="HK91" s="251"/>
      <c r="HL91" s="251"/>
      <c r="HM91" s="251"/>
      <c r="HN91" s="251"/>
      <c r="HO91" s="251"/>
      <c r="HP91" s="251"/>
      <c r="HQ91" s="251"/>
      <c r="HR91" s="251"/>
      <c r="HS91" s="251"/>
      <c r="HT91" s="251"/>
      <c r="HU91" s="251"/>
      <c r="HV91" s="251"/>
      <c r="HW91" s="251"/>
      <c r="HX91" s="251"/>
      <c r="HY91" s="251"/>
      <c r="HZ91" s="251"/>
      <c r="IA91" s="251"/>
      <c r="IB91" s="251"/>
      <c r="IC91" s="251"/>
      <c r="ID91" s="251"/>
      <c r="IE91" s="251"/>
      <c r="IF91" s="251"/>
      <c r="IG91" s="251"/>
      <c r="IH91" s="251"/>
      <c r="II91" s="251"/>
      <c r="IJ91" s="251"/>
      <c r="IK91" s="251"/>
      <c r="IL91" s="251"/>
      <c r="IM91" s="251"/>
      <c r="IN91" s="251"/>
      <c r="IO91" s="251"/>
      <c r="IP91" s="251"/>
      <c r="IQ91" s="251"/>
      <c r="IR91" s="251"/>
      <c r="IS91" s="251"/>
      <c r="IT91" s="251"/>
      <c r="IU91" s="251"/>
      <c r="IV91" s="251"/>
    </row>
    <row r="92" spans="1:22" ht="12.75">
      <c r="A92" s="3"/>
      <c r="B92" s="4" t="s">
        <v>12</v>
      </c>
      <c r="C92" s="5"/>
      <c r="D92" s="5"/>
      <c r="E92" s="5"/>
      <c r="F92" s="5"/>
      <c r="G92" s="5"/>
      <c r="H92" s="5"/>
      <c r="I92" s="6"/>
      <c r="J92" s="4" t="s">
        <v>13</v>
      </c>
      <c r="K92" s="5"/>
      <c r="L92" s="7"/>
      <c r="M92" s="5"/>
      <c r="N92" s="6"/>
      <c r="O92" s="504" t="s">
        <v>14</v>
      </c>
      <c r="P92" s="505"/>
      <c r="Q92" s="505"/>
      <c r="R92" s="506"/>
      <c r="S92" s="504" t="s">
        <v>15</v>
      </c>
      <c r="T92" s="507"/>
      <c r="U92" s="507"/>
      <c r="V92" s="508"/>
    </row>
    <row r="93" spans="1:23" s="13" customFormat="1" ht="14.25" customHeight="1">
      <c r="A93" s="9" t="s">
        <v>3</v>
      </c>
      <c r="B93" s="487" t="s">
        <v>149</v>
      </c>
      <c r="C93" s="499" t="s">
        <v>150</v>
      </c>
      <c r="D93" s="484" t="s">
        <v>81</v>
      </c>
      <c r="E93" s="10" t="s">
        <v>16</v>
      </c>
      <c r="F93" s="10"/>
      <c r="G93" s="10"/>
      <c r="H93" s="11"/>
      <c r="I93" s="490" t="s">
        <v>151</v>
      </c>
      <c r="J93" s="487" t="s">
        <v>149</v>
      </c>
      <c r="K93" s="499" t="s">
        <v>150</v>
      </c>
      <c r="L93" s="484" t="s">
        <v>83</v>
      </c>
      <c r="M93" s="496" t="s">
        <v>84</v>
      </c>
      <c r="N93" s="490" t="s">
        <v>151</v>
      </c>
      <c r="O93" s="487" t="s">
        <v>152</v>
      </c>
      <c r="P93" s="493" t="s">
        <v>153</v>
      </c>
      <c r="Q93" s="496" t="s">
        <v>84</v>
      </c>
      <c r="R93" s="490" t="s">
        <v>151</v>
      </c>
      <c r="S93" s="487" t="s">
        <v>152</v>
      </c>
      <c r="T93" s="493" t="s">
        <v>153</v>
      </c>
      <c r="U93" s="496" t="s">
        <v>84</v>
      </c>
      <c r="V93" s="490" t="s">
        <v>151</v>
      </c>
      <c r="W93" s="12" t="s">
        <v>19</v>
      </c>
    </row>
    <row r="94" spans="1:22" ht="12.75" customHeight="1">
      <c r="A94" s="14"/>
      <c r="B94" s="488"/>
      <c r="C94" s="500" t="s">
        <v>33</v>
      </c>
      <c r="D94" s="485"/>
      <c r="E94" s="502" t="s">
        <v>90</v>
      </c>
      <c r="F94" s="502" t="s">
        <v>62</v>
      </c>
      <c r="G94" s="502" t="s">
        <v>63</v>
      </c>
      <c r="H94" s="496" t="s">
        <v>82</v>
      </c>
      <c r="I94" s="491"/>
      <c r="J94" s="488"/>
      <c r="K94" s="500" t="s">
        <v>33</v>
      </c>
      <c r="L94" s="485"/>
      <c r="M94" s="497"/>
      <c r="N94" s="491"/>
      <c r="O94" s="488"/>
      <c r="P94" s="494"/>
      <c r="Q94" s="497"/>
      <c r="R94" s="491"/>
      <c r="S94" s="488"/>
      <c r="T94" s="494"/>
      <c r="U94" s="497"/>
      <c r="V94" s="491"/>
    </row>
    <row r="95" spans="1:22" ht="53.25" customHeight="1" thickBot="1">
      <c r="A95" s="15" t="s">
        <v>19</v>
      </c>
      <c r="B95" s="489"/>
      <c r="C95" s="501" t="s">
        <v>61</v>
      </c>
      <c r="D95" s="486"/>
      <c r="E95" s="503"/>
      <c r="F95" s="503"/>
      <c r="G95" s="503"/>
      <c r="H95" s="498"/>
      <c r="I95" s="492"/>
      <c r="J95" s="489"/>
      <c r="K95" s="501" t="s">
        <v>61</v>
      </c>
      <c r="L95" s="486"/>
      <c r="M95" s="498"/>
      <c r="N95" s="492"/>
      <c r="O95" s="489"/>
      <c r="P95" s="495"/>
      <c r="Q95" s="498"/>
      <c r="R95" s="492"/>
      <c r="S95" s="489"/>
      <c r="T95" s="495"/>
      <c r="U95" s="498"/>
      <c r="V95" s="492"/>
    </row>
    <row r="96" spans="1:256" ht="13.5" thickBot="1">
      <c r="A96" s="166" t="s">
        <v>27</v>
      </c>
      <c r="B96" s="252">
        <f aca="true" t="shared" si="28" ref="B96:V96">SUM(B97:B97)</f>
        <v>492</v>
      </c>
      <c r="C96" s="253">
        <f t="shared" si="28"/>
        <v>492</v>
      </c>
      <c r="D96" s="253">
        <f t="shared" si="28"/>
        <v>837</v>
      </c>
      <c r="E96" s="253">
        <f t="shared" si="28"/>
        <v>0</v>
      </c>
      <c r="F96" s="253">
        <f t="shared" si="28"/>
        <v>0</v>
      </c>
      <c r="G96" s="253">
        <f t="shared" si="28"/>
        <v>227</v>
      </c>
      <c r="H96" s="254">
        <f t="shared" si="28"/>
        <v>542</v>
      </c>
      <c r="I96" s="255">
        <f t="shared" si="28"/>
        <v>787</v>
      </c>
      <c r="J96" s="252">
        <f t="shared" si="28"/>
        <v>193</v>
      </c>
      <c r="K96" s="253">
        <f t="shared" si="28"/>
        <v>193</v>
      </c>
      <c r="L96" s="253">
        <f t="shared" si="28"/>
        <v>11</v>
      </c>
      <c r="M96" s="253">
        <f t="shared" si="28"/>
        <v>150</v>
      </c>
      <c r="N96" s="255">
        <f t="shared" si="28"/>
        <v>54</v>
      </c>
      <c r="O96" s="252">
        <f t="shared" si="28"/>
        <v>255</v>
      </c>
      <c r="P96" s="253">
        <f t="shared" si="28"/>
        <v>238</v>
      </c>
      <c r="Q96" s="253">
        <f t="shared" si="28"/>
        <v>162</v>
      </c>
      <c r="R96" s="255">
        <f t="shared" si="28"/>
        <v>93</v>
      </c>
      <c r="S96" s="252">
        <f t="shared" si="28"/>
        <v>46</v>
      </c>
      <c r="T96" s="253">
        <f t="shared" si="28"/>
        <v>46</v>
      </c>
      <c r="U96" s="253">
        <f t="shared" si="28"/>
        <v>46</v>
      </c>
      <c r="V96" s="255">
        <f t="shared" si="28"/>
        <v>0</v>
      </c>
      <c r="W96" s="16"/>
      <c r="HJ96" s="86"/>
      <c r="HK96" s="86"/>
      <c r="HL96" s="86"/>
      <c r="HM96" s="86"/>
      <c r="HN96" s="86"/>
      <c r="HO96" s="86"/>
      <c r="HP96" s="86"/>
      <c r="HQ96" s="86"/>
      <c r="HR96" s="86"/>
      <c r="HS96" s="86"/>
      <c r="HT96" s="86"/>
      <c r="HU96" s="86"/>
      <c r="HV96" s="86"/>
      <c r="HW96" s="86"/>
      <c r="HX96" s="86"/>
      <c r="HY96" s="86"/>
      <c r="HZ96" s="86"/>
      <c r="IA96" s="86"/>
      <c r="IB96" s="86"/>
      <c r="IC96" s="86"/>
      <c r="ID96" s="86"/>
      <c r="IE96" s="86"/>
      <c r="IF96" s="86"/>
      <c r="IG96" s="86"/>
      <c r="IH96" s="86"/>
      <c r="II96" s="86"/>
      <c r="IJ96" s="86"/>
      <c r="IK96" s="86"/>
      <c r="IL96" s="86"/>
      <c r="IM96" s="86"/>
      <c r="IN96" s="86"/>
      <c r="IO96" s="86"/>
      <c r="IP96" s="86"/>
      <c r="IQ96" s="86"/>
      <c r="IR96" s="86"/>
      <c r="IS96" s="86"/>
      <c r="IT96" s="86"/>
      <c r="IU96" s="86"/>
      <c r="IV96" s="86"/>
    </row>
    <row r="97" spans="1:256" s="40" customFormat="1" ht="24.75" customHeight="1" thickBot="1">
      <c r="A97" s="244" t="s">
        <v>132</v>
      </c>
      <c r="B97" s="256">
        <v>492</v>
      </c>
      <c r="C97" s="257">
        <v>492</v>
      </c>
      <c r="D97" s="2">
        <v>837</v>
      </c>
      <c r="E97" s="1">
        <v>0</v>
      </c>
      <c r="F97" s="2">
        <v>0</v>
      </c>
      <c r="G97" s="256">
        <v>227</v>
      </c>
      <c r="H97" s="258">
        <v>542</v>
      </c>
      <c r="I97" s="259">
        <f>B97+D97-H97</f>
        <v>787</v>
      </c>
      <c r="J97" s="260">
        <v>193</v>
      </c>
      <c r="K97" s="257">
        <v>193</v>
      </c>
      <c r="L97" s="2">
        <v>11</v>
      </c>
      <c r="M97" s="256">
        <v>150</v>
      </c>
      <c r="N97" s="59">
        <f>J97+L97-M97</f>
        <v>54</v>
      </c>
      <c r="O97" s="261">
        <f>75+180</f>
        <v>255</v>
      </c>
      <c r="P97" s="257">
        <f>75+163</f>
        <v>238</v>
      </c>
      <c r="Q97" s="256">
        <v>162</v>
      </c>
      <c r="R97" s="59">
        <f>O97-Q97</f>
        <v>93</v>
      </c>
      <c r="S97" s="261">
        <f>46</f>
        <v>46</v>
      </c>
      <c r="T97" s="256">
        <v>46</v>
      </c>
      <c r="U97" s="256">
        <v>46</v>
      </c>
      <c r="V97" s="59">
        <f>S97-U97</f>
        <v>0</v>
      </c>
      <c r="HJ97" s="179"/>
      <c r="HK97" s="179"/>
      <c r="HL97" s="179"/>
      <c r="HM97" s="179"/>
      <c r="HN97" s="179"/>
      <c r="HO97" s="179"/>
      <c r="HP97" s="179"/>
      <c r="HQ97" s="179"/>
      <c r="HR97" s="179"/>
      <c r="HS97" s="179"/>
      <c r="HT97" s="179"/>
      <c r="HU97" s="179"/>
      <c r="HV97" s="179"/>
      <c r="HW97" s="179"/>
      <c r="HX97" s="179"/>
      <c r="HY97" s="179"/>
      <c r="HZ97" s="179"/>
      <c r="IA97" s="179"/>
      <c r="IB97" s="179"/>
      <c r="IC97" s="179"/>
      <c r="ID97" s="179"/>
      <c r="IE97" s="179"/>
      <c r="IF97" s="179"/>
      <c r="IG97" s="179"/>
      <c r="IH97" s="179"/>
      <c r="II97" s="179"/>
      <c r="IJ97" s="179"/>
      <c r="IK97" s="179"/>
      <c r="IL97" s="179"/>
      <c r="IM97" s="179"/>
      <c r="IN97" s="179"/>
      <c r="IO97" s="179"/>
      <c r="IP97" s="179"/>
      <c r="IQ97" s="179"/>
      <c r="IR97" s="179"/>
      <c r="IS97" s="179"/>
      <c r="IT97" s="179"/>
      <c r="IU97" s="179"/>
      <c r="IV97" s="179"/>
    </row>
    <row r="98" spans="1:256" s="235" customFormat="1" ht="13.5" thickBot="1">
      <c r="A98" s="166" t="s">
        <v>28</v>
      </c>
      <c r="B98" s="167">
        <f>SUM(B99:B100)</f>
        <v>93</v>
      </c>
      <c r="C98" s="165">
        <f aca="true" t="shared" si="29" ref="C98:V98">SUM(C99:C100)</f>
        <v>93</v>
      </c>
      <c r="D98" s="165">
        <f t="shared" si="29"/>
        <v>0</v>
      </c>
      <c r="E98" s="165">
        <f t="shared" si="29"/>
        <v>0</v>
      </c>
      <c r="F98" s="165">
        <f t="shared" si="29"/>
        <v>0</v>
      </c>
      <c r="G98" s="165">
        <f t="shared" si="29"/>
        <v>0</v>
      </c>
      <c r="H98" s="165">
        <f t="shared" si="29"/>
        <v>0</v>
      </c>
      <c r="I98" s="29">
        <f t="shared" si="29"/>
        <v>93</v>
      </c>
      <c r="J98" s="167">
        <f t="shared" si="29"/>
        <v>400</v>
      </c>
      <c r="K98" s="165">
        <f t="shared" si="29"/>
        <v>400</v>
      </c>
      <c r="L98" s="165">
        <f t="shared" si="29"/>
        <v>66</v>
      </c>
      <c r="M98" s="165">
        <f t="shared" si="29"/>
        <v>0</v>
      </c>
      <c r="N98" s="29">
        <f t="shared" si="29"/>
        <v>466</v>
      </c>
      <c r="O98" s="167">
        <f t="shared" si="29"/>
        <v>90</v>
      </c>
      <c r="P98" s="165">
        <f t="shared" si="29"/>
        <v>90</v>
      </c>
      <c r="Q98" s="165">
        <f t="shared" si="29"/>
        <v>61</v>
      </c>
      <c r="R98" s="29">
        <f t="shared" si="29"/>
        <v>29</v>
      </c>
      <c r="S98" s="167">
        <f t="shared" si="29"/>
        <v>0</v>
      </c>
      <c r="T98" s="165">
        <f t="shared" si="29"/>
        <v>0</v>
      </c>
      <c r="U98" s="165">
        <f t="shared" si="29"/>
        <v>0</v>
      </c>
      <c r="V98" s="29">
        <f t="shared" si="29"/>
        <v>0</v>
      </c>
      <c r="W98" s="193"/>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6"/>
      <c r="BR98" s="86"/>
      <c r="BS98" s="86"/>
      <c r="BT98" s="86"/>
      <c r="BU98" s="86"/>
      <c r="BV98" s="86"/>
      <c r="BW98" s="86"/>
      <c r="BX98" s="86"/>
      <c r="BY98" s="86"/>
      <c r="BZ98" s="86"/>
      <c r="CA98" s="86"/>
      <c r="CB98" s="86"/>
      <c r="CC98" s="86"/>
      <c r="CD98" s="86"/>
      <c r="CE98" s="86"/>
      <c r="CF98" s="86"/>
      <c r="CG98" s="86"/>
      <c r="CH98" s="86"/>
      <c r="CI98" s="86"/>
      <c r="CJ98" s="86"/>
      <c r="CK98" s="86"/>
      <c r="CL98" s="86"/>
      <c r="CM98" s="86"/>
      <c r="CN98" s="86"/>
      <c r="CO98" s="86"/>
      <c r="CP98" s="86"/>
      <c r="CQ98" s="86"/>
      <c r="CR98" s="86"/>
      <c r="CS98" s="86"/>
      <c r="CT98" s="86"/>
      <c r="CU98" s="86"/>
      <c r="CV98" s="86"/>
      <c r="CW98" s="86"/>
      <c r="CX98" s="86"/>
      <c r="CY98" s="86"/>
      <c r="CZ98" s="86"/>
      <c r="DA98" s="86"/>
      <c r="DB98" s="86"/>
      <c r="DC98" s="86"/>
      <c r="DD98" s="86"/>
      <c r="DE98" s="86"/>
      <c r="DF98" s="86"/>
      <c r="DG98" s="86"/>
      <c r="DH98" s="86"/>
      <c r="DI98" s="86"/>
      <c r="DJ98" s="86"/>
      <c r="DK98" s="86"/>
      <c r="DL98" s="86"/>
      <c r="DM98" s="86"/>
      <c r="DN98" s="86"/>
      <c r="DO98" s="86"/>
      <c r="DP98" s="86"/>
      <c r="DQ98" s="86"/>
      <c r="DR98" s="86"/>
      <c r="DS98" s="86"/>
      <c r="DT98" s="86"/>
      <c r="DU98" s="86"/>
      <c r="DV98" s="86"/>
      <c r="DW98" s="86"/>
      <c r="DX98" s="86"/>
      <c r="DY98" s="86"/>
      <c r="DZ98" s="86"/>
      <c r="EA98" s="86"/>
      <c r="EB98" s="86"/>
      <c r="EC98" s="86"/>
      <c r="ED98" s="86"/>
      <c r="EE98" s="86"/>
      <c r="EF98" s="86"/>
      <c r="EG98" s="86"/>
      <c r="EH98" s="86"/>
      <c r="EI98" s="86"/>
      <c r="EJ98" s="86"/>
      <c r="EK98" s="86"/>
      <c r="EL98" s="86"/>
      <c r="EM98" s="86"/>
      <c r="EN98" s="86"/>
      <c r="EO98" s="86"/>
      <c r="EP98" s="86"/>
      <c r="EQ98" s="86"/>
      <c r="ER98" s="86"/>
      <c r="ES98" s="86"/>
      <c r="ET98" s="86"/>
      <c r="EU98" s="86"/>
      <c r="EV98" s="86"/>
      <c r="EW98" s="86"/>
      <c r="EX98" s="86"/>
      <c r="EY98" s="86"/>
      <c r="EZ98" s="86"/>
      <c r="FA98" s="86"/>
      <c r="FB98" s="86"/>
      <c r="FC98" s="86"/>
      <c r="FD98" s="86"/>
      <c r="FE98" s="86"/>
      <c r="FF98" s="86"/>
      <c r="FG98" s="86"/>
      <c r="FH98" s="86"/>
      <c r="FI98" s="86"/>
      <c r="FJ98" s="86"/>
      <c r="FK98" s="86"/>
      <c r="FL98" s="86"/>
      <c r="FM98" s="86"/>
      <c r="FN98" s="86"/>
      <c r="FO98" s="86"/>
      <c r="FP98" s="86"/>
      <c r="FQ98" s="86"/>
      <c r="FR98" s="86"/>
      <c r="FS98" s="86"/>
      <c r="FT98" s="86"/>
      <c r="FU98" s="86"/>
      <c r="FV98" s="86"/>
      <c r="FW98" s="86"/>
      <c r="FX98" s="86"/>
      <c r="FY98" s="86"/>
      <c r="FZ98" s="86"/>
      <c r="GA98" s="86"/>
      <c r="GB98" s="86"/>
      <c r="GC98" s="86"/>
      <c r="GD98" s="86"/>
      <c r="GE98" s="86"/>
      <c r="GF98" s="86"/>
      <c r="GG98" s="86"/>
      <c r="GH98" s="86"/>
      <c r="GI98" s="86"/>
      <c r="GJ98" s="86"/>
      <c r="GK98" s="86"/>
      <c r="GL98" s="86"/>
      <c r="GM98" s="86"/>
      <c r="GN98" s="86"/>
      <c r="GO98" s="86"/>
      <c r="GP98" s="86"/>
      <c r="GQ98" s="86"/>
      <c r="GR98" s="86"/>
      <c r="GS98" s="86"/>
      <c r="GT98" s="86"/>
      <c r="GU98" s="86"/>
      <c r="GV98" s="86"/>
      <c r="GW98" s="86"/>
      <c r="GX98" s="86"/>
      <c r="GY98" s="86"/>
      <c r="GZ98" s="86"/>
      <c r="HA98" s="86"/>
      <c r="HB98" s="86"/>
      <c r="HC98" s="86"/>
      <c r="HD98" s="86"/>
      <c r="HE98" s="86"/>
      <c r="HF98" s="86"/>
      <c r="HG98" s="86"/>
      <c r="HH98" s="86"/>
      <c r="HI98" s="86"/>
      <c r="HJ98" s="86"/>
      <c r="HK98" s="86"/>
      <c r="HL98" s="86"/>
      <c r="HM98" s="86"/>
      <c r="HN98" s="86"/>
      <c r="HO98" s="86"/>
      <c r="HP98" s="86"/>
      <c r="HQ98" s="86"/>
      <c r="HR98" s="86"/>
      <c r="HS98" s="86"/>
      <c r="HT98" s="86"/>
      <c r="HU98" s="86"/>
      <c r="HV98" s="86"/>
      <c r="HW98" s="86"/>
      <c r="HX98" s="86"/>
      <c r="HY98" s="86"/>
      <c r="HZ98" s="86"/>
      <c r="IA98" s="86"/>
      <c r="IB98" s="86"/>
      <c r="IC98" s="86"/>
      <c r="ID98" s="86"/>
      <c r="IE98" s="86"/>
      <c r="IF98" s="86"/>
      <c r="IG98" s="86"/>
      <c r="IH98" s="86"/>
      <c r="II98" s="86"/>
      <c r="IJ98" s="86"/>
      <c r="IK98" s="86"/>
      <c r="IL98" s="86"/>
      <c r="IM98" s="86"/>
      <c r="IN98" s="86"/>
      <c r="IO98" s="86"/>
      <c r="IP98" s="86"/>
      <c r="IQ98" s="86"/>
      <c r="IR98" s="86"/>
      <c r="IS98" s="86"/>
      <c r="IT98" s="86"/>
      <c r="IU98" s="86"/>
      <c r="IV98" s="86"/>
    </row>
    <row r="99" spans="1:23" s="323" customFormat="1" ht="12.75">
      <c r="A99" s="357" t="s">
        <v>10</v>
      </c>
      <c r="B99" s="317">
        <v>93</v>
      </c>
      <c r="C99" s="318">
        <v>93</v>
      </c>
      <c r="D99" s="319">
        <v>0</v>
      </c>
      <c r="E99" s="319">
        <v>0</v>
      </c>
      <c r="F99" s="319">
        <v>0</v>
      </c>
      <c r="G99" s="319">
        <v>0</v>
      </c>
      <c r="H99" s="319">
        <v>0</v>
      </c>
      <c r="I99" s="321">
        <f>B99+D99-H99</f>
        <v>93</v>
      </c>
      <c r="J99" s="317">
        <v>164</v>
      </c>
      <c r="K99" s="318">
        <v>164</v>
      </c>
      <c r="L99" s="319">
        <v>0</v>
      </c>
      <c r="M99" s="319">
        <v>0</v>
      </c>
      <c r="N99" s="321">
        <f>J99+L99-M99</f>
        <v>164</v>
      </c>
      <c r="O99" s="317">
        <v>51</v>
      </c>
      <c r="P99" s="318">
        <v>51</v>
      </c>
      <c r="Q99" s="319">
        <v>22</v>
      </c>
      <c r="R99" s="321">
        <f>O99-Q99</f>
        <v>29</v>
      </c>
      <c r="S99" s="317">
        <v>0</v>
      </c>
      <c r="T99" s="318">
        <v>0</v>
      </c>
      <c r="U99" s="319">
        <v>0</v>
      </c>
      <c r="V99" s="321">
        <f>S99-U99</f>
        <v>0</v>
      </c>
      <c r="W99" s="356"/>
    </row>
    <row r="100" spans="1:23" s="323" customFormat="1" ht="23.25" thickBot="1">
      <c r="A100" s="358" t="s">
        <v>58</v>
      </c>
      <c r="B100" s="326">
        <v>0</v>
      </c>
      <c r="C100" s="328">
        <v>0</v>
      </c>
      <c r="D100" s="328">
        <v>0</v>
      </c>
      <c r="E100" s="328">
        <v>0</v>
      </c>
      <c r="F100" s="328">
        <v>0</v>
      </c>
      <c r="G100" s="328">
        <v>0</v>
      </c>
      <c r="H100" s="328">
        <v>0</v>
      </c>
      <c r="I100" s="321">
        <f>B100+D100-H100</f>
        <v>0</v>
      </c>
      <c r="J100" s="317">
        <v>236</v>
      </c>
      <c r="K100" s="318">
        <v>236</v>
      </c>
      <c r="L100" s="319">
        <v>66</v>
      </c>
      <c r="M100" s="319">
        <v>0</v>
      </c>
      <c r="N100" s="321">
        <f>J100+L100-M100</f>
        <v>302</v>
      </c>
      <c r="O100" s="317">
        <v>39</v>
      </c>
      <c r="P100" s="318">
        <v>39</v>
      </c>
      <c r="Q100" s="319">
        <v>39</v>
      </c>
      <c r="R100" s="321">
        <f>O100-Q100</f>
        <v>0</v>
      </c>
      <c r="S100" s="317">
        <v>0</v>
      </c>
      <c r="T100" s="318">
        <v>0</v>
      </c>
      <c r="U100" s="319">
        <v>0</v>
      </c>
      <c r="V100" s="321">
        <f>S100-U100</f>
        <v>0</v>
      </c>
      <c r="W100" s="356"/>
    </row>
    <row r="101" spans="1:217" s="42" customFormat="1" ht="13.5" thickBot="1">
      <c r="A101" s="166" t="s">
        <v>29</v>
      </c>
      <c r="B101" s="167">
        <f aca="true" t="shared" si="30" ref="B101:V101">SUM(B102:B102)</f>
        <v>203</v>
      </c>
      <c r="C101" s="165">
        <f t="shared" si="30"/>
        <v>203</v>
      </c>
      <c r="D101" s="165">
        <f t="shared" si="30"/>
        <v>169</v>
      </c>
      <c r="E101" s="165">
        <f t="shared" si="30"/>
        <v>150</v>
      </c>
      <c r="F101" s="165">
        <f t="shared" si="30"/>
        <v>0</v>
      </c>
      <c r="G101" s="165">
        <f t="shared" si="30"/>
        <v>100</v>
      </c>
      <c r="H101" s="165">
        <f t="shared" si="30"/>
        <v>250</v>
      </c>
      <c r="I101" s="29">
        <f t="shared" si="30"/>
        <v>122</v>
      </c>
      <c r="J101" s="167">
        <f t="shared" si="30"/>
        <v>105</v>
      </c>
      <c r="K101" s="165">
        <f t="shared" si="30"/>
        <v>105</v>
      </c>
      <c r="L101" s="165">
        <f t="shared" si="30"/>
        <v>13</v>
      </c>
      <c r="M101" s="165">
        <f t="shared" si="30"/>
        <v>0</v>
      </c>
      <c r="N101" s="29">
        <f t="shared" si="30"/>
        <v>118</v>
      </c>
      <c r="O101" s="167">
        <f t="shared" si="30"/>
        <v>236</v>
      </c>
      <c r="P101" s="165">
        <f t="shared" si="30"/>
        <v>236</v>
      </c>
      <c r="Q101" s="165">
        <f t="shared" si="30"/>
        <v>75</v>
      </c>
      <c r="R101" s="29">
        <f t="shared" si="30"/>
        <v>161</v>
      </c>
      <c r="S101" s="167">
        <f t="shared" si="30"/>
        <v>12</v>
      </c>
      <c r="T101" s="165">
        <f t="shared" si="30"/>
        <v>12</v>
      </c>
      <c r="U101" s="165">
        <f t="shared" si="30"/>
        <v>0</v>
      </c>
      <c r="V101" s="29">
        <f t="shared" si="30"/>
        <v>12</v>
      </c>
      <c r="W101" s="216"/>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7"/>
      <c r="BA101" s="217"/>
      <c r="BB101" s="217"/>
      <c r="BC101" s="217"/>
      <c r="BD101" s="217"/>
      <c r="BE101" s="217"/>
      <c r="BF101" s="217"/>
      <c r="BG101" s="217"/>
      <c r="BH101" s="217"/>
      <c r="BI101" s="217"/>
      <c r="BJ101" s="217"/>
      <c r="BK101" s="217"/>
      <c r="BL101" s="217"/>
      <c r="BM101" s="217"/>
      <c r="BN101" s="217"/>
      <c r="BO101" s="217"/>
      <c r="BP101" s="217"/>
      <c r="BQ101" s="217"/>
      <c r="BR101" s="217"/>
      <c r="BS101" s="217"/>
      <c r="BT101" s="217"/>
      <c r="BU101" s="217"/>
      <c r="BV101" s="217"/>
      <c r="BW101" s="217"/>
      <c r="BX101" s="217"/>
      <c r="BY101" s="217"/>
      <c r="BZ101" s="217"/>
      <c r="CA101" s="217"/>
      <c r="CB101" s="217"/>
      <c r="CC101" s="217"/>
      <c r="CD101" s="217"/>
      <c r="CE101" s="217"/>
      <c r="CF101" s="217"/>
      <c r="CG101" s="217"/>
      <c r="CH101" s="217"/>
      <c r="CI101" s="217"/>
      <c r="CJ101" s="217"/>
      <c r="CK101" s="217"/>
      <c r="CL101" s="217"/>
      <c r="CM101" s="217"/>
      <c r="CN101" s="217"/>
      <c r="CO101" s="217"/>
      <c r="CP101" s="217"/>
      <c r="CQ101" s="217"/>
      <c r="CR101" s="217"/>
      <c r="CS101" s="217"/>
      <c r="CT101" s="217"/>
      <c r="CU101" s="217"/>
      <c r="CV101" s="217"/>
      <c r="CW101" s="217"/>
      <c r="CX101" s="217"/>
      <c r="CY101" s="217"/>
      <c r="CZ101" s="217"/>
      <c r="DA101" s="217"/>
      <c r="DB101" s="217"/>
      <c r="DC101" s="217"/>
      <c r="DD101" s="217"/>
      <c r="DE101" s="217"/>
      <c r="DF101" s="217"/>
      <c r="DG101" s="217"/>
      <c r="DH101" s="217"/>
      <c r="DI101" s="217"/>
      <c r="DJ101" s="217"/>
      <c r="DK101" s="217"/>
      <c r="DL101" s="217"/>
      <c r="DM101" s="217"/>
      <c r="DN101" s="217"/>
      <c r="DO101" s="217"/>
      <c r="DP101" s="217"/>
      <c r="DQ101" s="217"/>
      <c r="DR101" s="217"/>
      <c r="DS101" s="217"/>
      <c r="DT101" s="217"/>
      <c r="DU101" s="217"/>
      <c r="DV101" s="217"/>
      <c r="DW101" s="217"/>
      <c r="DX101" s="217"/>
      <c r="DY101" s="217"/>
      <c r="DZ101" s="217"/>
      <c r="EA101" s="217"/>
      <c r="EB101" s="217"/>
      <c r="EC101" s="217"/>
      <c r="ED101" s="217"/>
      <c r="EE101" s="217"/>
      <c r="EF101" s="217"/>
      <c r="EG101" s="217"/>
      <c r="EH101" s="217"/>
      <c r="EI101" s="217"/>
      <c r="EJ101" s="217"/>
      <c r="EK101" s="217"/>
      <c r="EL101" s="217"/>
      <c r="EM101" s="217"/>
      <c r="EN101" s="217"/>
      <c r="EO101" s="217"/>
      <c r="EP101" s="217"/>
      <c r="EQ101" s="217"/>
      <c r="ER101" s="217"/>
      <c r="ES101" s="217"/>
      <c r="ET101" s="217"/>
      <c r="EU101" s="217"/>
      <c r="EV101" s="217"/>
      <c r="EW101" s="217"/>
      <c r="EX101" s="217"/>
      <c r="EY101" s="217"/>
      <c r="EZ101" s="217"/>
      <c r="FA101" s="217"/>
      <c r="FB101" s="217"/>
      <c r="FC101" s="217"/>
      <c r="FD101" s="217"/>
      <c r="FE101" s="217"/>
      <c r="FF101" s="217"/>
      <c r="FG101" s="217"/>
      <c r="FH101" s="217"/>
      <c r="FI101" s="217"/>
      <c r="FJ101" s="217"/>
      <c r="FK101" s="217"/>
      <c r="FL101" s="217"/>
      <c r="FM101" s="217"/>
      <c r="FN101" s="217"/>
      <c r="FO101" s="217"/>
      <c r="FP101" s="217"/>
      <c r="FQ101" s="217"/>
      <c r="FR101" s="217"/>
      <c r="FS101" s="217"/>
      <c r="FT101" s="217"/>
      <c r="FU101" s="217"/>
      <c r="FV101" s="217"/>
      <c r="FW101" s="217"/>
      <c r="FX101" s="217"/>
      <c r="FY101" s="217"/>
      <c r="FZ101" s="217"/>
      <c r="GA101" s="217"/>
      <c r="GB101" s="217"/>
      <c r="GC101" s="217"/>
      <c r="GD101" s="217"/>
      <c r="GE101" s="217"/>
      <c r="GF101" s="217"/>
      <c r="GG101" s="217"/>
      <c r="GH101" s="217"/>
      <c r="GI101" s="217"/>
      <c r="GJ101" s="217"/>
      <c r="GK101" s="217"/>
      <c r="GL101" s="217"/>
      <c r="GM101" s="217"/>
      <c r="GN101" s="217"/>
      <c r="GO101" s="217"/>
      <c r="GP101" s="217"/>
      <c r="GQ101" s="217"/>
      <c r="GR101" s="217"/>
      <c r="GS101" s="217"/>
      <c r="GT101" s="217"/>
      <c r="GU101" s="217"/>
      <c r="GV101" s="217"/>
      <c r="GW101" s="217"/>
      <c r="GX101" s="217"/>
      <c r="GY101" s="217"/>
      <c r="GZ101" s="217"/>
      <c r="HA101" s="217"/>
      <c r="HB101" s="217"/>
      <c r="HC101" s="217"/>
      <c r="HD101" s="217"/>
      <c r="HE101" s="217"/>
      <c r="HF101" s="217"/>
      <c r="HG101" s="217"/>
      <c r="HH101" s="217"/>
      <c r="HI101" s="217"/>
    </row>
    <row r="102" spans="1:217" s="219" customFormat="1" ht="13.5" thickBot="1">
      <c r="A102" s="244" t="s">
        <v>116</v>
      </c>
      <c r="B102" s="175">
        <v>203</v>
      </c>
      <c r="C102" s="177">
        <v>203</v>
      </c>
      <c r="D102" s="177">
        <v>169</v>
      </c>
      <c r="E102" s="177">
        <v>150</v>
      </c>
      <c r="F102" s="177">
        <v>0</v>
      </c>
      <c r="G102" s="177">
        <v>100</v>
      </c>
      <c r="H102" s="177">
        <f>150+100</f>
        <v>250</v>
      </c>
      <c r="I102" s="70">
        <f>B102+D102-H102</f>
        <v>122</v>
      </c>
      <c r="J102" s="175">
        <v>105</v>
      </c>
      <c r="K102" s="176">
        <v>105</v>
      </c>
      <c r="L102" s="176">
        <v>13</v>
      </c>
      <c r="M102" s="177">
        <v>0</v>
      </c>
      <c r="N102" s="178">
        <f>J102+L102-M102</f>
        <v>118</v>
      </c>
      <c r="O102" s="262">
        <f>176+60</f>
        <v>236</v>
      </c>
      <c r="P102" s="263">
        <v>236</v>
      </c>
      <c r="Q102" s="264">
        <v>75</v>
      </c>
      <c r="R102" s="265">
        <f>O102-Q102</f>
        <v>161</v>
      </c>
      <c r="S102" s="175">
        <f>9+3</f>
        <v>12</v>
      </c>
      <c r="T102" s="177">
        <v>12</v>
      </c>
      <c r="U102" s="177">
        <v>0</v>
      </c>
      <c r="V102" s="70">
        <f>S102-U102</f>
        <v>12</v>
      </c>
      <c r="W102" s="266"/>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7"/>
      <c r="BA102" s="267"/>
      <c r="BB102" s="267"/>
      <c r="BC102" s="267"/>
      <c r="BD102" s="267"/>
      <c r="BE102" s="267"/>
      <c r="BF102" s="267"/>
      <c r="BG102" s="267"/>
      <c r="BH102" s="267"/>
      <c r="BI102" s="267"/>
      <c r="BJ102" s="267"/>
      <c r="BK102" s="267"/>
      <c r="BL102" s="267"/>
      <c r="BM102" s="267"/>
      <c r="BN102" s="267"/>
      <c r="BO102" s="267"/>
      <c r="BP102" s="267"/>
      <c r="BQ102" s="267"/>
      <c r="BR102" s="267"/>
      <c r="BS102" s="267"/>
      <c r="BT102" s="267"/>
      <c r="BU102" s="267"/>
      <c r="BV102" s="267"/>
      <c r="BW102" s="267"/>
      <c r="BX102" s="267"/>
      <c r="BY102" s="267"/>
      <c r="BZ102" s="267"/>
      <c r="CA102" s="267"/>
      <c r="CB102" s="267"/>
      <c r="CC102" s="267"/>
      <c r="CD102" s="267"/>
      <c r="CE102" s="267"/>
      <c r="CF102" s="267"/>
      <c r="CG102" s="267"/>
      <c r="CH102" s="267"/>
      <c r="CI102" s="267"/>
      <c r="CJ102" s="267"/>
      <c r="CK102" s="267"/>
      <c r="CL102" s="267"/>
      <c r="CM102" s="267"/>
      <c r="CN102" s="267"/>
      <c r="CO102" s="267"/>
      <c r="CP102" s="267"/>
      <c r="CQ102" s="267"/>
      <c r="CR102" s="267"/>
      <c r="CS102" s="267"/>
      <c r="CT102" s="267"/>
      <c r="CU102" s="267"/>
      <c r="CV102" s="267"/>
      <c r="CW102" s="267"/>
      <c r="CX102" s="267"/>
      <c r="CY102" s="267"/>
      <c r="CZ102" s="267"/>
      <c r="DA102" s="267"/>
      <c r="DB102" s="267"/>
      <c r="DC102" s="267"/>
      <c r="DD102" s="267"/>
      <c r="DE102" s="267"/>
      <c r="DF102" s="267"/>
      <c r="DG102" s="267"/>
      <c r="DH102" s="267"/>
      <c r="DI102" s="267"/>
      <c r="DJ102" s="267"/>
      <c r="DK102" s="267"/>
      <c r="DL102" s="267"/>
      <c r="DM102" s="267"/>
      <c r="DN102" s="267"/>
      <c r="DO102" s="267"/>
      <c r="DP102" s="267"/>
      <c r="DQ102" s="267"/>
      <c r="DR102" s="267"/>
      <c r="DS102" s="267"/>
      <c r="DT102" s="267"/>
      <c r="DU102" s="267"/>
      <c r="DV102" s="267"/>
      <c r="DW102" s="267"/>
      <c r="DX102" s="267"/>
      <c r="DY102" s="267"/>
      <c r="DZ102" s="267"/>
      <c r="EA102" s="267"/>
      <c r="EB102" s="267"/>
      <c r="EC102" s="267"/>
      <c r="ED102" s="267"/>
      <c r="EE102" s="267"/>
      <c r="EF102" s="267"/>
      <c r="EG102" s="267"/>
      <c r="EH102" s="267"/>
      <c r="EI102" s="267"/>
      <c r="EJ102" s="267"/>
      <c r="EK102" s="267"/>
      <c r="EL102" s="267"/>
      <c r="EM102" s="267"/>
      <c r="EN102" s="267"/>
      <c r="EO102" s="267"/>
      <c r="EP102" s="267"/>
      <c r="EQ102" s="267"/>
      <c r="ER102" s="267"/>
      <c r="ES102" s="267"/>
      <c r="ET102" s="267"/>
      <c r="EU102" s="267"/>
      <c r="EV102" s="267"/>
      <c r="EW102" s="267"/>
      <c r="EX102" s="267"/>
      <c r="EY102" s="267"/>
      <c r="EZ102" s="267"/>
      <c r="FA102" s="267"/>
      <c r="FB102" s="267"/>
      <c r="FC102" s="267"/>
      <c r="FD102" s="267"/>
      <c r="FE102" s="267"/>
      <c r="FF102" s="267"/>
      <c r="FG102" s="267"/>
      <c r="FH102" s="267"/>
      <c r="FI102" s="267"/>
      <c r="FJ102" s="267"/>
      <c r="FK102" s="267"/>
      <c r="FL102" s="267"/>
      <c r="FM102" s="267"/>
      <c r="FN102" s="267"/>
      <c r="FO102" s="267"/>
      <c r="FP102" s="267"/>
      <c r="FQ102" s="267"/>
      <c r="FR102" s="267"/>
      <c r="FS102" s="267"/>
      <c r="FT102" s="267"/>
      <c r="FU102" s="267"/>
      <c r="FV102" s="267"/>
      <c r="FW102" s="267"/>
      <c r="FX102" s="267"/>
      <c r="FY102" s="267"/>
      <c r="FZ102" s="267"/>
      <c r="GA102" s="267"/>
      <c r="GB102" s="267"/>
      <c r="GC102" s="267"/>
      <c r="GD102" s="267"/>
      <c r="GE102" s="267"/>
      <c r="GF102" s="267"/>
      <c r="GG102" s="267"/>
      <c r="GH102" s="267"/>
      <c r="GI102" s="267"/>
      <c r="GJ102" s="267"/>
      <c r="GK102" s="267"/>
      <c r="GL102" s="267"/>
      <c r="GM102" s="267"/>
      <c r="GN102" s="267"/>
      <c r="GO102" s="267"/>
      <c r="GP102" s="267"/>
      <c r="GQ102" s="267"/>
      <c r="GR102" s="267"/>
      <c r="GS102" s="267"/>
      <c r="GT102" s="267"/>
      <c r="GU102" s="267"/>
      <c r="GV102" s="267"/>
      <c r="GW102" s="267"/>
      <c r="GX102" s="267"/>
      <c r="GY102" s="267"/>
      <c r="GZ102" s="267"/>
      <c r="HA102" s="267"/>
      <c r="HB102" s="267"/>
      <c r="HC102" s="267"/>
      <c r="HD102" s="267"/>
      <c r="HE102" s="267"/>
      <c r="HF102" s="267"/>
      <c r="HG102" s="267"/>
      <c r="HH102" s="267"/>
      <c r="HI102" s="267"/>
    </row>
    <row r="103" spans="1:35" ht="13.5" thickBot="1">
      <c r="A103" s="268" t="s">
        <v>55</v>
      </c>
      <c r="B103" s="242">
        <f>SUM(B104)</f>
        <v>0</v>
      </c>
      <c r="C103" s="243">
        <f aca="true" t="shared" si="31" ref="C103:V103">SUM(C104)</f>
        <v>0</v>
      </c>
      <c r="D103" s="243">
        <f t="shared" si="31"/>
        <v>0</v>
      </c>
      <c r="E103" s="243">
        <f t="shared" si="31"/>
        <v>0</v>
      </c>
      <c r="F103" s="243">
        <f t="shared" si="31"/>
        <v>0</v>
      </c>
      <c r="G103" s="243">
        <f t="shared" si="31"/>
        <v>0</v>
      </c>
      <c r="H103" s="243">
        <f t="shared" si="31"/>
        <v>0</v>
      </c>
      <c r="I103" s="102">
        <f t="shared" si="31"/>
        <v>0</v>
      </c>
      <c r="J103" s="242">
        <f t="shared" si="31"/>
        <v>0</v>
      </c>
      <c r="K103" s="243">
        <f t="shared" si="31"/>
        <v>0</v>
      </c>
      <c r="L103" s="243">
        <f t="shared" si="31"/>
        <v>0</v>
      </c>
      <c r="M103" s="243">
        <f t="shared" si="31"/>
        <v>0</v>
      </c>
      <c r="N103" s="102">
        <f t="shared" si="31"/>
        <v>0</v>
      </c>
      <c r="O103" s="242">
        <f t="shared" si="31"/>
        <v>0</v>
      </c>
      <c r="P103" s="243">
        <f t="shared" si="31"/>
        <v>0</v>
      </c>
      <c r="Q103" s="243">
        <f t="shared" si="31"/>
        <v>0</v>
      </c>
      <c r="R103" s="102">
        <f t="shared" si="31"/>
        <v>0</v>
      </c>
      <c r="S103" s="242">
        <f t="shared" si="31"/>
        <v>0</v>
      </c>
      <c r="T103" s="243">
        <f t="shared" si="31"/>
        <v>0</v>
      </c>
      <c r="U103" s="243">
        <f t="shared" si="31"/>
        <v>0</v>
      </c>
      <c r="V103" s="102">
        <f t="shared" si="31"/>
        <v>0</v>
      </c>
      <c r="W103" s="193"/>
      <c r="X103" s="86"/>
      <c r="Y103" s="86"/>
      <c r="Z103" s="86"/>
      <c r="AA103" s="86"/>
      <c r="AB103" s="86"/>
      <c r="AC103" s="86"/>
      <c r="AD103" s="86"/>
      <c r="AE103" s="86"/>
      <c r="AF103" s="86"/>
      <c r="AG103" s="86"/>
      <c r="AH103" s="86"/>
      <c r="AI103" s="86"/>
    </row>
    <row r="104" spans="1:35" ht="13.5" thickBot="1">
      <c r="A104" s="269" t="s">
        <v>133</v>
      </c>
      <c r="B104" s="183"/>
      <c r="C104" s="185"/>
      <c r="D104" s="185"/>
      <c r="E104" s="185"/>
      <c r="F104" s="185"/>
      <c r="G104" s="185"/>
      <c r="H104" s="185"/>
      <c r="I104" s="135">
        <f>B104+D104-H104</f>
        <v>0</v>
      </c>
      <c r="J104" s="183"/>
      <c r="K104" s="184"/>
      <c r="L104" s="184"/>
      <c r="M104" s="185"/>
      <c r="N104" s="186">
        <f>J104+L104-M104</f>
        <v>0</v>
      </c>
      <c r="O104" s="183"/>
      <c r="P104" s="184"/>
      <c r="Q104" s="185"/>
      <c r="R104" s="135">
        <f>O104-Q104</f>
        <v>0</v>
      </c>
      <c r="S104" s="183"/>
      <c r="T104" s="185"/>
      <c r="U104" s="185"/>
      <c r="V104" s="135">
        <f>S104-U104</f>
        <v>0</v>
      </c>
      <c r="W104" s="193"/>
      <c r="X104" s="86"/>
      <c r="Y104" s="86"/>
      <c r="Z104" s="86"/>
      <c r="AA104" s="86"/>
      <c r="AB104" s="86"/>
      <c r="AC104" s="86"/>
      <c r="AD104" s="86"/>
      <c r="AE104" s="86"/>
      <c r="AF104" s="86"/>
      <c r="AG104" s="86"/>
      <c r="AH104" s="86"/>
      <c r="AI104" s="86"/>
    </row>
    <row r="105" spans="1:35" ht="13.5" thickBot="1">
      <c r="A105" s="268" t="s">
        <v>30</v>
      </c>
      <c r="B105" s="167">
        <f aca="true" t="shared" si="32" ref="B105:V105">SUM(B106:B106)</f>
        <v>292</v>
      </c>
      <c r="C105" s="165">
        <f t="shared" si="32"/>
        <v>292</v>
      </c>
      <c r="D105" s="165">
        <f t="shared" si="32"/>
        <v>123</v>
      </c>
      <c r="E105" s="165">
        <f t="shared" si="32"/>
        <v>0</v>
      </c>
      <c r="F105" s="165">
        <f t="shared" si="32"/>
        <v>0</v>
      </c>
      <c r="G105" s="165">
        <f t="shared" si="32"/>
        <v>250</v>
      </c>
      <c r="H105" s="165">
        <f t="shared" si="32"/>
        <v>279</v>
      </c>
      <c r="I105" s="29">
        <f t="shared" si="32"/>
        <v>136</v>
      </c>
      <c r="J105" s="167">
        <f t="shared" si="32"/>
        <v>26</v>
      </c>
      <c r="K105" s="165">
        <f t="shared" si="32"/>
        <v>26</v>
      </c>
      <c r="L105" s="165">
        <f t="shared" si="32"/>
        <v>1</v>
      </c>
      <c r="M105" s="165">
        <f t="shared" si="32"/>
        <v>20</v>
      </c>
      <c r="N105" s="29">
        <f t="shared" si="32"/>
        <v>7</v>
      </c>
      <c r="O105" s="167">
        <f t="shared" si="32"/>
        <v>49</v>
      </c>
      <c r="P105" s="165">
        <f t="shared" si="32"/>
        <v>49</v>
      </c>
      <c r="Q105" s="165">
        <f t="shared" si="32"/>
        <v>36</v>
      </c>
      <c r="R105" s="29">
        <f t="shared" si="32"/>
        <v>13</v>
      </c>
      <c r="S105" s="167">
        <f t="shared" si="32"/>
        <v>3</v>
      </c>
      <c r="T105" s="165">
        <f t="shared" si="32"/>
        <v>3</v>
      </c>
      <c r="U105" s="165">
        <f t="shared" si="32"/>
        <v>0</v>
      </c>
      <c r="V105" s="29">
        <f t="shared" si="32"/>
        <v>3</v>
      </c>
      <c r="W105" s="193"/>
      <c r="X105" s="86"/>
      <c r="Y105" s="86"/>
      <c r="Z105" s="86"/>
      <c r="AA105" s="86"/>
      <c r="AB105" s="86"/>
      <c r="AC105" s="86"/>
      <c r="AD105" s="86"/>
      <c r="AE105" s="86"/>
      <c r="AF105" s="86"/>
      <c r="AG105" s="86"/>
      <c r="AH105" s="86"/>
      <c r="AI105" s="86"/>
    </row>
    <row r="106" spans="1:35" s="40" customFormat="1" ht="13.5" thickBot="1">
      <c r="A106" s="245" t="s">
        <v>9</v>
      </c>
      <c r="B106" s="168">
        <v>292</v>
      </c>
      <c r="C106" s="170">
        <v>292</v>
      </c>
      <c r="D106" s="170">
        <v>123</v>
      </c>
      <c r="E106" s="170">
        <v>0</v>
      </c>
      <c r="F106" s="170">
        <v>0</v>
      </c>
      <c r="G106" s="170">
        <v>250</v>
      </c>
      <c r="H106" s="170">
        <f>250+29</f>
        <v>279</v>
      </c>
      <c r="I106" s="38">
        <f>B106+D106-H106</f>
        <v>136</v>
      </c>
      <c r="J106" s="168">
        <v>26</v>
      </c>
      <c r="K106" s="170">
        <v>26</v>
      </c>
      <c r="L106" s="170">
        <v>1</v>
      </c>
      <c r="M106" s="170">
        <v>20</v>
      </c>
      <c r="N106" s="38">
        <f>J106+L106-M106</f>
        <v>7</v>
      </c>
      <c r="O106" s="168">
        <f>22+27</f>
        <v>49</v>
      </c>
      <c r="P106" s="170">
        <v>49</v>
      </c>
      <c r="Q106" s="170">
        <v>36</v>
      </c>
      <c r="R106" s="38">
        <f>O106-Q106</f>
        <v>13</v>
      </c>
      <c r="S106" s="168">
        <v>3</v>
      </c>
      <c r="T106" s="170">
        <v>3</v>
      </c>
      <c r="U106" s="170">
        <v>0</v>
      </c>
      <c r="V106" s="38">
        <f>S106-U106</f>
        <v>3</v>
      </c>
      <c r="W106" s="240"/>
      <c r="X106" s="179"/>
      <c r="Y106" s="179"/>
      <c r="Z106" s="179"/>
      <c r="AA106" s="179"/>
      <c r="AB106" s="179"/>
      <c r="AC106" s="179"/>
      <c r="AD106" s="179"/>
      <c r="AE106" s="179"/>
      <c r="AF106" s="179"/>
      <c r="AG106" s="179"/>
      <c r="AH106" s="179"/>
      <c r="AI106" s="179"/>
    </row>
    <row r="107" spans="1:35" ht="13.5" thickBot="1">
      <c r="A107" s="268" t="s">
        <v>31</v>
      </c>
      <c r="B107" s="167">
        <f>SUM(B108:B116)</f>
        <v>2536</v>
      </c>
      <c r="C107" s="165">
        <f aca="true" t="shared" si="33" ref="C107:V107">SUM(C108:C116)</f>
        <v>2536</v>
      </c>
      <c r="D107" s="165">
        <f t="shared" si="33"/>
        <v>1987</v>
      </c>
      <c r="E107" s="165">
        <f t="shared" si="33"/>
        <v>590</v>
      </c>
      <c r="F107" s="165">
        <f t="shared" si="33"/>
        <v>0</v>
      </c>
      <c r="G107" s="165">
        <f t="shared" si="33"/>
        <v>877</v>
      </c>
      <c r="H107" s="165">
        <f t="shared" si="33"/>
        <v>2268</v>
      </c>
      <c r="I107" s="29">
        <f t="shared" si="33"/>
        <v>2255</v>
      </c>
      <c r="J107" s="167">
        <f t="shared" si="33"/>
        <v>1705</v>
      </c>
      <c r="K107" s="165">
        <f t="shared" si="33"/>
        <v>1705</v>
      </c>
      <c r="L107" s="165">
        <f t="shared" si="33"/>
        <v>649</v>
      </c>
      <c r="M107" s="165">
        <f t="shared" si="33"/>
        <v>1190</v>
      </c>
      <c r="N107" s="29">
        <f t="shared" si="33"/>
        <v>1164</v>
      </c>
      <c r="O107" s="167">
        <f t="shared" si="33"/>
        <v>1408</v>
      </c>
      <c r="P107" s="165">
        <f t="shared" si="33"/>
        <v>1352</v>
      </c>
      <c r="Q107" s="165">
        <f t="shared" si="33"/>
        <v>963</v>
      </c>
      <c r="R107" s="29">
        <f t="shared" si="33"/>
        <v>445</v>
      </c>
      <c r="S107" s="167">
        <f t="shared" si="33"/>
        <v>136</v>
      </c>
      <c r="T107" s="165">
        <f t="shared" si="33"/>
        <v>136</v>
      </c>
      <c r="U107" s="165">
        <f t="shared" si="33"/>
        <v>9</v>
      </c>
      <c r="V107" s="29">
        <f t="shared" si="33"/>
        <v>127</v>
      </c>
      <c r="W107" s="193"/>
      <c r="X107" s="86"/>
      <c r="Y107" s="86"/>
      <c r="Z107" s="86"/>
      <c r="AA107" s="270"/>
      <c r="AB107" s="86"/>
      <c r="AC107" s="86"/>
      <c r="AD107" s="86"/>
      <c r="AE107" s="86"/>
      <c r="AF107" s="86"/>
      <c r="AG107" s="86"/>
      <c r="AH107" s="86"/>
      <c r="AI107" s="86"/>
    </row>
    <row r="108" spans="1:35" s="40" customFormat="1" ht="12.75">
      <c r="A108" s="271" t="s">
        <v>46</v>
      </c>
      <c r="B108" s="175">
        <v>147</v>
      </c>
      <c r="C108" s="177">
        <v>147</v>
      </c>
      <c r="D108" s="177">
        <v>244</v>
      </c>
      <c r="E108" s="177">
        <v>300</v>
      </c>
      <c r="F108" s="177">
        <v>0</v>
      </c>
      <c r="G108" s="177">
        <v>0</v>
      </c>
      <c r="H108" s="177">
        <v>391</v>
      </c>
      <c r="I108" s="70">
        <f aca="true" t="shared" si="34" ref="I108:I116">B108+D108-H108</f>
        <v>0</v>
      </c>
      <c r="J108" s="175">
        <f>40+105</f>
        <v>145</v>
      </c>
      <c r="K108" s="177">
        <v>145</v>
      </c>
      <c r="L108" s="177">
        <f>5+250</f>
        <v>255</v>
      </c>
      <c r="M108" s="177">
        <v>300</v>
      </c>
      <c r="N108" s="70">
        <f aca="true" t="shared" si="35" ref="N108:N115">J108+L108-M108</f>
        <v>100</v>
      </c>
      <c r="O108" s="175">
        <f>39+55</f>
        <v>94</v>
      </c>
      <c r="P108" s="177">
        <v>86</v>
      </c>
      <c r="Q108" s="177">
        <v>81</v>
      </c>
      <c r="R108" s="70">
        <f>O108-Q108</f>
        <v>13</v>
      </c>
      <c r="S108" s="175">
        <v>23</v>
      </c>
      <c r="T108" s="177">
        <v>23</v>
      </c>
      <c r="U108" s="177">
        <v>0</v>
      </c>
      <c r="V108" s="70">
        <f aca="true" t="shared" si="36" ref="V108:V115">S108-U108</f>
        <v>23</v>
      </c>
      <c r="W108" s="240"/>
      <c r="X108" s="179"/>
      <c r="Y108" s="179"/>
      <c r="Z108" s="179"/>
      <c r="AA108" s="179"/>
      <c r="AB108" s="179"/>
      <c r="AC108" s="179"/>
      <c r="AD108" s="179"/>
      <c r="AE108" s="179"/>
      <c r="AF108" s="179"/>
      <c r="AG108" s="179"/>
      <c r="AH108" s="179"/>
      <c r="AI108" s="179"/>
    </row>
    <row r="109" spans="1:35" s="40" customFormat="1" ht="12.75">
      <c r="A109" s="245" t="s">
        <v>47</v>
      </c>
      <c r="B109" s="168">
        <v>149</v>
      </c>
      <c r="C109" s="170">
        <v>149</v>
      </c>
      <c r="D109" s="170">
        <v>160</v>
      </c>
      <c r="E109" s="170">
        <v>0</v>
      </c>
      <c r="F109" s="170">
        <v>0</v>
      </c>
      <c r="G109" s="170">
        <v>0</v>
      </c>
      <c r="H109" s="170">
        <v>80</v>
      </c>
      <c r="I109" s="38">
        <f t="shared" si="34"/>
        <v>229</v>
      </c>
      <c r="J109" s="168">
        <v>58</v>
      </c>
      <c r="K109" s="170">
        <v>58</v>
      </c>
      <c r="L109" s="170">
        <v>8</v>
      </c>
      <c r="M109" s="170">
        <v>0</v>
      </c>
      <c r="N109" s="38">
        <f t="shared" si="35"/>
        <v>66</v>
      </c>
      <c r="O109" s="168">
        <f>233+40</f>
        <v>273</v>
      </c>
      <c r="P109" s="170">
        <v>249</v>
      </c>
      <c r="Q109" s="170">
        <v>60</v>
      </c>
      <c r="R109" s="38">
        <f aca="true" t="shared" si="37" ref="R109:R116">O109-Q109</f>
        <v>213</v>
      </c>
      <c r="S109" s="168">
        <v>6</v>
      </c>
      <c r="T109" s="170">
        <v>6</v>
      </c>
      <c r="U109" s="170">
        <v>0</v>
      </c>
      <c r="V109" s="38">
        <f t="shared" si="36"/>
        <v>6</v>
      </c>
      <c r="W109" s="240"/>
      <c r="X109" s="179"/>
      <c r="Y109" s="179"/>
      <c r="Z109" s="179"/>
      <c r="AA109" s="179"/>
      <c r="AB109" s="179"/>
      <c r="AC109" s="179"/>
      <c r="AD109" s="179"/>
      <c r="AE109" s="179"/>
      <c r="AF109" s="179"/>
      <c r="AG109" s="179"/>
      <c r="AH109" s="179"/>
      <c r="AI109" s="179"/>
    </row>
    <row r="110" spans="1:35" s="40" customFormat="1" ht="12.75">
      <c r="A110" s="141" t="s">
        <v>48</v>
      </c>
      <c r="B110" s="168">
        <v>441</v>
      </c>
      <c r="C110" s="170">
        <v>441</v>
      </c>
      <c r="D110" s="170">
        <v>302</v>
      </c>
      <c r="E110" s="170">
        <v>0</v>
      </c>
      <c r="F110" s="170">
        <v>0</v>
      </c>
      <c r="G110" s="170">
        <v>0</v>
      </c>
      <c r="H110" s="170">
        <v>86</v>
      </c>
      <c r="I110" s="38">
        <f t="shared" si="34"/>
        <v>657</v>
      </c>
      <c r="J110" s="168">
        <f>215+323</f>
        <v>538</v>
      </c>
      <c r="K110" s="170">
        <v>538</v>
      </c>
      <c r="L110" s="170">
        <f>16+80</f>
        <v>96</v>
      </c>
      <c r="M110" s="170">
        <v>180</v>
      </c>
      <c r="N110" s="38">
        <f t="shared" si="35"/>
        <v>454</v>
      </c>
      <c r="O110" s="168">
        <f>74+100</f>
        <v>174</v>
      </c>
      <c r="P110" s="170">
        <v>164</v>
      </c>
      <c r="Q110" s="170">
        <v>120</v>
      </c>
      <c r="R110" s="38">
        <f t="shared" si="37"/>
        <v>54</v>
      </c>
      <c r="S110" s="168">
        <v>95</v>
      </c>
      <c r="T110" s="170">
        <v>95</v>
      </c>
      <c r="U110" s="170">
        <v>0</v>
      </c>
      <c r="V110" s="38">
        <f t="shared" si="36"/>
        <v>95</v>
      </c>
      <c r="W110" s="240"/>
      <c r="X110" s="179"/>
      <c r="Y110" s="179"/>
      <c r="Z110" s="179"/>
      <c r="AA110" s="179"/>
      <c r="AB110" s="179"/>
      <c r="AC110" s="179"/>
      <c r="AD110" s="179"/>
      <c r="AE110" s="179"/>
      <c r="AF110" s="179"/>
      <c r="AG110" s="179"/>
      <c r="AH110" s="179"/>
      <c r="AI110" s="179"/>
    </row>
    <row r="111" spans="1:35" s="40" customFormat="1" ht="12.75">
      <c r="A111" s="245" t="s">
        <v>49</v>
      </c>
      <c r="B111" s="168">
        <v>306</v>
      </c>
      <c r="C111" s="170">
        <v>306</v>
      </c>
      <c r="D111" s="170">
        <v>346</v>
      </c>
      <c r="E111" s="170">
        <v>130</v>
      </c>
      <c r="F111" s="170">
        <v>0</v>
      </c>
      <c r="G111" s="170">
        <v>0</v>
      </c>
      <c r="H111" s="170">
        <v>288</v>
      </c>
      <c r="I111" s="38">
        <f t="shared" si="34"/>
        <v>364</v>
      </c>
      <c r="J111" s="168">
        <v>87</v>
      </c>
      <c r="K111" s="170">
        <v>87</v>
      </c>
      <c r="L111" s="170">
        <v>113</v>
      </c>
      <c r="M111" s="170">
        <v>200</v>
      </c>
      <c r="N111" s="38">
        <f t="shared" si="35"/>
        <v>0</v>
      </c>
      <c r="O111" s="168">
        <f>61+70</f>
        <v>131</v>
      </c>
      <c r="P111" s="170">
        <v>131</v>
      </c>
      <c r="Q111" s="170">
        <v>131</v>
      </c>
      <c r="R111" s="38">
        <f t="shared" si="37"/>
        <v>0</v>
      </c>
      <c r="S111" s="168">
        <v>8</v>
      </c>
      <c r="T111" s="170">
        <v>8</v>
      </c>
      <c r="U111" s="170">
        <v>8</v>
      </c>
      <c r="V111" s="38">
        <f t="shared" si="36"/>
        <v>0</v>
      </c>
      <c r="W111" s="240"/>
      <c r="X111" s="179"/>
      <c r="Y111" s="179"/>
      <c r="Z111" s="179"/>
      <c r="AA111" s="179"/>
      <c r="AB111" s="179"/>
      <c r="AC111" s="179"/>
      <c r="AD111" s="179"/>
      <c r="AE111" s="179"/>
      <c r="AF111" s="179"/>
      <c r="AG111" s="179"/>
      <c r="AH111" s="179"/>
      <c r="AI111" s="179"/>
    </row>
    <row r="112" spans="1:35" s="40" customFormat="1" ht="12.75">
      <c r="A112" s="187" t="s">
        <v>50</v>
      </c>
      <c r="B112" s="168">
        <v>392</v>
      </c>
      <c r="C112" s="170">
        <v>392</v>
      </c>
      <c r="D112" s="170">
        <v>407</v>
      </c>
      <c r="E112" s="170">
        <v>160</v>
      </c>
      <c r="F112" s="170">
        <v>0</v>
      </c>
      <c r="G112" s="170">
        <v>302</v>
      </c>
      <c r="H112" s="170">
        <v>625</v>
      </c>
      <c r="I112" s="38">
        <f t="shared" si="34"/>
        <v>174</v>
      </c>
      <c r="J112" s="168">
        <v>150</v>
      </c>
      <c r="K112" s="170">
        <v>150</v>
      </c>
      <c r="L112" s="170">
        <v>2</v>
      </c>
      <c r="M112" s="170">
        <v>2</v>
      </c>
      <c r="N112" s="38">
        <f t="shared" si="35"/>
        <v>150</v>
      </c>
      <c r="O112" s="168">
        <f>180+60</f>
        <v>240</v>
      </c>
      <c r="P112" s="170">
        <v>240</v>
      </c>
      <c r="Q112" s="170">
        <v>231</v>
      </c>
      <c r="R112" s="38">
        <f t="shared" si="37"/>
        <v>9</v>
      </c>
      <c r="S112" s="168">
        <v>2</v>
      </c>
      <c r="T112" s="170">
        <v>2</v>
      </c>
      <c r="U112" s="170">
        <v>0</v>
      </c>
      <c r="V112" s="38">
        <f t="shared" si="36"/>
        <v>2</v>
      </c>
      <c r="W112" s="240"/>
      <c r="X112" s="179"/>
      <c r="Y112" s="179"/>
      <c r="Z112" s="179"/>
      <c r="AA112" s="179"/>
      <c r="AB112" s="179"/>
      <c r="AC112" s="179"/>
      <c r="AD112" s="179"/>
      <c r="AE112" s="179"/>
      <c r="AF112" s="179"/>
      <c r="AG112" s="179"/>
      <c r="AH112" s="179"/>
      <c r="AI112" s="179"/>
    </row>
    <row r="113" spans="1:35" s="40" customFormat="1" ht="12.75">
      <c r="A113" s="245" t="s">
        <v>51</v>
      </c>
      <c r="B113" s="168">
        <v>302</v>
      </c>
      <c r="C113" s="170">
        <v>302</v>
      </c>
      <c r="D113" s="170">
        <v>66</v>
      </c>
      <c r="E113" s="170">
        <v>0</v>
      </c>
      <c r="F113" s="170">
        <v>0</v>
      </c>
      <c r="G113" s="170">
        <v>0</v>
      </c>
      <c r="H113" s="170">
        <v>15</v>
      </c>
      <c r="I113" s="38">
        <f t="shared" si="34"/>
        <v>353</v>
      </c>
      <c r="J113" s="168">
        <f>4+248</f>
        <v>252</v>
      </c>
      <c r="K113" s="170">
        <v>252</v>
      </c>
      <c r="L113" s="170">
        <v>63</v>
      </c>
      <c r="M113" s="170">
        <v>100</v>
      </c>
      <c r="N113" s="38">
        <f t="shared" si="35"/>
        <v>215</v>
      </c>
      <c r="O113" s="168">
        <f>45+24</f>
        <v>69</v>
      </c>
      <c r="P113" s="170">
        <v>69</v>
      </c>
      <c r="Q113" s="170">
        <v>46</v>
      </c>
      <c r="R113" s="38">
        <f t="shared" si="37"/>
        <v>23</v>
      </c>
      <c r="S113" s="168">
        <v>0</v>
      </c>
      <c r="T113" s="170">
        <v>0</v>
      </c>
      <c r="U113" s="170">
        <v>0</v>
      </c>
      <c r="V113" s="38">
        <f t="shared" si="36"/>
        <v>0</v>
      </c>
      <c r="W113" s="240"/>
      <c r="X113" s="179"/>
      <c r="Y113" s="179"/>
      <c r="Z113" s="179"/>
      <c r="AA113" s="179"/>
      <c r="AB113" s="179"/>
      <c r="AC113" s="179"/>
      <c r="AD113" s="179"/>
      <c r="AE113" s="179"/>
      <c r="AF113" s="179"/>
      <c r="AG113" s="179"/>
      <c r="AH113" s="179"/>
      <c r="AI113" s="179"/>
    </row>
    <row r="114" spans="1:35" s="40" customFormat="1" ht="12.75">
      <c r="A114" s="182" t="s">
        <v>52</v>
      </c>
      <c r="B114" s="168">
        <v>670</v>
      </c>
      <c r="C114" s="170">
        <v>670</v>
      </c>
      <c r="D114" s="170">
        <v>259</v>
      </c>
      <c r="E114" s="170">
        <v>0</v>
      </c>
      <c r="F114" s="170">
        <v>0</v>
      </c>
      <c r="G114" s="170">
        <v>500</v>
      </c>
      <c r="H114" s="170">
        <v>620</v>
      </c>
      <c r="I114" s="38">
        <f t="shared" si="34"/>
        <v>309</v>
      </c>
      <c r="J114" s="168">
        <f>3+175</f>
        <v>178</v>
      </c>
      <c r="K114" s="170">
        <v>178</v>
      </c>
      <c r="L114" s="170">
        <v>74</v>
      </c>
      <c r="M114" s="170">
        <v>153</v>
      </c>
      <c r="N114" s="38">
        <f t="shared" si="35"/>
        <v>99</v>
      </c>
      <c r="O114" s="168">
        <f>216+40</f>
        <v>256</v>
      </c>
      <c r="P114" s="170">
        <v>256</v>
      </c>
      <c r="Q114" s="170">
        <v>170</v>
      </c>
      <c r="R114" s="38">
        <f t="shared" si="37"/>
        <v>86</v>
      </c>
      <c r="S114" s="168">
        <v>1</v>
      </c>
      <c r="T114" s="170">
        <v>1</v>
      </c>
      <c r="U114" s="170">
        <v>1</v>
      </c>
      <c r="V114" s="38">
        <f t="shared" si="36"/>
        <v>0</v>
      </c>
      <c r="W114" s="240"/>
      <c r="X114" s="179"/>
      <c r="Y114" s="179"/>
      <c r="Z114" s="179"/>
      <c r="AA114" s="179"/>
      <c r="AB114" s="179"/>
      <c r="AC114" s="179"/>
      <c r="AD114" s="179"/>
      <c r="AE114" s="179"/>
      <c r="AF114" s="179"/>
      <c r="AG114" s="179"/>
      <c r="AH114" s="179"/>
      <c r="AI114" s="179"/>
    </row>
    <row r="115" spans="1:35" s="40" customFormat="1" ht="12.75">
      <c r="A115" s="245" t="s">
        <v>59</v>
      </c>
      <c r="B115" s="168">
        <v>70</v>
      </c>
      <c r="C115" s="170">
        <v>70</v>
      </c>
      <c r="D115" s="170">
        <v>32</v>
      </c>
      <c r="E115" s="170">
        <v>0</v>
      </c>
      <c r="F115" s="170">
        <v>0</v>
      </c>
      <c r="G115" s="170">
        <v>0</v>
      </c>
      <c r="H115" s="170">
        <v>15</v>
      </c>
      <c r="I115" s="38">
        <f t="shared" si="34"/>
        <v>87</v>
      </c>
      <c r="J115" s="168">
        <f>2+142</f>
        <v>144</v>
      </c>
      <c r="K115" s="170">
        <v>144</v>
      </c>
      <c r="L115" s="170">
        <v>23</v>
      </c>
      <c r="M115" s="170">
        <v>155</v>
      </c>
      <c r="N115" s="38">
        <f t="shared" si="35"/>
        <v>12</v>
      </c>
      <c r="O115" s="168">
        <f>58+26</f>
        <v>84</v>
      </c>
      <c r="P115" s="170">
        <v>84</v>
      </c>
      <c r="Q115" s="170">
        <v>54</v>
      </c>
      <c r="R115" s="38">
        <f t="shared" si="37"/>
        <v>30</v>
      </c>
      <c r="S115" s="168">
        <v>1</v>
      </c>
      <c r="T115" s="170">
        <v>1</v>
      </c>
      <c r="U115" s="170">
        <v>0</v>
      </c>
      <c r="V115" s="38">
        <f t="shared" si="36"/>
        <v>1</v>
      </c>
      <c r="W115" s="240"/>
      <c r="X115" s="179"/>
      <c r="Y115" s="179"/>
      <c r="Z115" s="179"/>
      <c r="AA115" s="179"/>
      <c r="AB115" s="179"/>
      <c r="AC115" s="179"/>
      <c r="AD115" s="179"/>
      <c r="AE115" s="179"/>
      <c r="AF115" s="179"/>
      <c r="AG115" s="179"/>
      <c r="AH115" s="179"/>
      <c r="AI115" s="179"/>
    </row>
    <row r="116" spans="1:35" s="40" customFormat="1" ht="13.5" thickBot="1">
      <c r="A116" s="272" t="s">
        <v>53</v>
      </c>
      <c r="B116" s="205">
        <v>59</v>
      </c>
      <c r="C116" s="207">
        <v>59</v>
      </c>
      <c r="D116" s="207">
        <v>171</v>
      </c>
      <c r="E116" s="207">
        <v>0</v>
      </c>
      <c r="F116" s="207">
        <v>0</v>
      </c>
      <c r="G116" s="207">
        <v>75</v>
      </c>
      <c r="H116" s="207">
        <v>148</v>
      </c>
      <c r="I116" s="63">
        <f t="shared" si="34"/>
        <v>82</v>
      </c>
      <c r="J116" s="205">
        <f>122+31</f>
        <v>153</v>
      </c>
      <c r="K116" s="207">
        <v>153</v>
      </c>
      <c r="L116" s="207">
        <v>15</v>
      </c>
      <c r="M116" s="207">
        <f>54+46</f>
        <v>100</v>
      </c>
      <c r="N116" s="63">
        <f>J116+L116-M116</f>
        <v>68</v>
      </c>
      <c r="O116" s="205">
        <f>52+35</f>
        <v>87</v>
      </c>
      <c r="P116" s="207">
        <f>38+35</f>
        <v>73</v>
      </c>
      <c r="Q116" s="207">
        <v>70</v>
      </c>
      <c r="R116" s="63">
        <f t="shared" si="37"/>
        <v>17</v>
      </c>
      <c r="S116" s="205">
        <v>0</v>
      </c>
      <c r="T116" s="207">
        <v>0</v>
      </c>
      <c r="U116" s="207">
        <v>0</v>
      </c>
      <c r="V116" s="63">
        <f>S116-U116</f>
        <v>0</v>
      </c>
      <c r="W116" s="266"/>
      <c r="X116" s="179"/>
      <c r="Y116" s="179"/>
      <c r="Z116" s="179"/>
      <c r="AA116" s="179"/>
      <c r="AB116" s="179"/>
      <c r="AC116" s="179"/>
      <c r="AD116" s="179"/>
      <c r="AE116" s="179"/>
      <c r="AF116" s="179"/>
      <c r="AG116" s="179"/>
      <c r="AH116" s="179"/>
      <c r="AI116" s="179"/>
    </row>
    <row r="117" spans="1:35" s="40" customFormat="1" ht="12.75">
      <c r="A117" s="248"/>
      <c r="B117" s="210"/>
      <c r="C117" s="210"/>
      <c r="D117" s="210"/>
      <c r="E117" s="210"/>
      <c r="F117" s="210"/>
      <c r="G117" s="210"/>
      <c r="H117" s="210"/>
      <c r="I117" s="210"/>
      <c r="J117" s="210"/>
      <c r="K117" s="210"/>
      <c r="L117" s="210"/>
      <c r="M117" s="210"/>
      <c r="N117" s="210"/>
      <c r="O117" s="210"/>
      <c r="P117" s="210"/>
      <c r="Q117" s="210"/>
      <c r="R117" s="210"/>
      <c r="S117" s="210"/>
      <c r="T117" s="210"/>
      <c r="U117" s="210"/>
      <c r="V117" s="210"/>
      <c r="W117" s="267"/>
      <c r="X117" s="179"/>
      <c r="Y117" s="179"/>
      <c r="Z117" s="179"/>
      <c r="AA117" s="179"/>
      <c r="AB117" s="179"/>
      <c r="AC117" s="179"/>
      <c r="AD117" s="179"/>
      <c r="AE117" s="179"/>
      <c r="AF117" s="179"/>
      <c r="AG117" s="179"/>
      <c r="AH117" s="179"/>
      <c r="AI117" s="179"/>
    </row>
    <row r="118" spans="1:34" ht="20.25" customHeight="1" thickBot="1">
      <c r="A118" s="273" t="s">
        <v>201</v>
      </c>
      <c r="B118" s="162"/>
      <c r="C118" s="162"/>
      <c r="D118" s="162"/>
      <c r="E118" s="162"/>
      <c r="F118" s="162"/>
      <c r="G118" s="162"/>
      <c r="H118" s="162"/>
      <c r="I118" s="162"/>
      <c r="J118" s="162"/>
      <c r="K118" s="274"/>
      <c r="L118" s="162"/>
      <c r="M118" s="162"/>
      <c r="N118" s="162"/>
      <c r="O118" s="162"/>
      <c r="P118" s="162"/>
      <c r="Q118" s="162"/>
      <c r="R118" s="162"/>
      <c r="S118" s="162"/>
      <c r="T118" s="162"/>
      <c r="U118" s="162"/>
      <c r="V118" s="162"/>
      <c r="W118" s="16"/>
      <c r="X118" s="42"/>
      <c r="Y118" s="150"/>
      <c r="Z118" s="152"/>
      <c r="AA118" s="150"/>
      <c r="AC118" s="42"/>
      <c r="AH118" s="42"/>
    </row>
    <row r="119" spans="1:34" s="285" customFormat="1" ht="12.75">
      <c r="A119" s="315" t="s">
        <v>176</v>
      </c>
      <c r="B119" s="275"/>
      <c r="C119" s="629">
        <v>394</v>
      </c>
      <c r="D119" s="630"/>
      <c r="E119" s="277"/>
      <c r="F119" s="278"/>
      <c r="G119" s="279"/>
      <c r="H119" s="278"/>
      <c r="I119" s="276"/>
      <c r="J119" s="276"/>
      <c r="K119" s="277"/>
      <c r="L119" s="280"/>
      <c r="M119" s="281"/>
      <c r="N119" s="281"/>
      <c r="O119" s="620"/>
      <c r="P119" s="621"/>
      <c r="Q119" s="282"/>
      <c r="R119" s="282"/>
      <c r="S119" s="210"/>
      <c r="T119" s="210"/>
      <c r="U119" s="282"/>
      <c r="V119" s="283"/>
      <c r="W119" s="284"/>
      <c r="X119" s="17"/>
      <c r="Y119" s="150"/>
      <c r="Z119" s="152"/>
      <c r="AA119" s="150"/>
      <c r="AC119" s="17"/>
      <c r="AH119" s="17"/>
    </row>
    <row r="120" spans="1:34" s="285" customFormat="1" ht="12.75">
      <c r="A120" s="180"/>
      <c r="B120" s="286"/>
      <c r="C120" s="287"/>
      <c r="D120" s="288"/>
      <c r="E120" s="289"/>
      <c r="F120" s="290"/>
      <c r="G120" s="291"/>
      <c r="H120" s="292"/>
      <c r="I120" s="626"/>
      <c r="J120" s="627"/>
      <c r="K120" s="294"/>
      <c r="L120" s="295"/>
      <c r="M120" s="296"/>
      <c r="N120" s="296"/>
      <c r="O120" s="626"/>
      <c r="P120" s="628"/>
      <c r="Q120" s="282"/>
      <c r="R120" s="282"/>
      <c r="S120" s="210"/>
      <c r="T120" s="210"/>
      <c r="U120" s="282"/>
      <c r="V120" s="283"/>
      <c r="W120" s="284"/>
      <c r="X120" s="17"/>
      <c r="Y120" s="150"/>
      <c r="Z120" s="152"/>
      <c r="AA120" s="150"/>
      <c r="AC120" s="17"/>
      <c r="AH120" s="17"/>
    </row>
    <row r="121" spans="1:34" s="285" customFormat="1" ht="12.75">
      <c r="A121" s="313"/>
      <c r="B121" s="314"/>
      <c r="C121" s="292"/>
      <c r="D121" s="287"/>
      <c r="E121" s="297"/>
      <c r="F121" s="298"/>
      <c r="G121" s="299"/>
      <c r="H121" s="299"/>
      <c r="I121" s="287"/>
      <c r="J121" s="287"/>
      <c r="K121" s="294"/>
      <c r="L121" s="295"/>
      <c r="M121" s="296"/>
      <c r="N121" s="296"/>
      <c r="O121" s="293"/>
      <c r="P121" s="300"/>
      <c r="Q121" s="282"/>
      <c r="R121" s="282"/>
      <c r="S121" s="282"/>
      <c r="T121" s="282"/>
      <c r="U121" s="282"/>
      <c r="V121" s="282"/>
      <c r="W121" s="284"/>
      <c r="X121" s="17"/>
      <c r="Y121" s="150"/>
      <c r="Z121" s="152"/>
      <c r="AA121" s="150"/>
      <c r="AC121" s="17"/>
      <c r="AH121" s="17"/>
    </row>
    <row r="122" spans="1:34" s="285" customFormat="1" ht="12.75" customHeight="1">
      <c r="A122" s="141"/>
      <c r="B122" s="292"/>
      <c r="C122" s="292"/>
      <c r="D122" s="287"/>
      <c r="E122" s="289"/>
      <c r="F122" s="292"/>
      <c r="G122" s="291"/>
      <c r="H122" s="292"/>
      <c r="I122" s="287"/>
      <c r="J122" s="287"/>
      <c r="K122" s="301"/>
      <c r="L122" s="302"/>
      <c r="M122" s="302"/>
      <c r="N122" s="302"/>
      <c r="O122" s="302"/>
      <c r="P122" s="303"/>
      <c r="Q122" s="282"/>
      <c r="R122" s="282"/>
      <c r="S122" s="282"/>
      <c r="T122" s="282"/>
      <c r="U122" s="282"/>
      <c r="V122" s="282"/>
      <c r="W122" s="284"/>
      <c r="X122" s="17"/>
      <c r="Y122" s="150"/>
      <c r="Z122" s="152"/>
      <c r="AA122" s="150"/>
      <c r="AC122" s="17"/>
      <c r="AH122" s="17"/>
    </row>
    <row r="123" spans="1:34" s="285" customFormat="1" ht="12.75" customHeight="1" thickBot="1">
      <c r="A123" s="304"/>
      <c r="B123" s="305"/>
      <c r="C123" s="306"/>
      <c r="D123" s="307"/>
      <c r="E123" s="308"/>
      <c r="F123" s="305"/>
      <c r="G123" s="306"/>
      <c r="H123" s="309"/>
      <c r="I123" s="624"/>
      <c r="J123" s="625"/>
      <c r="K123" s="308"/>
      <c r="L123" s="306"/>
      <c r="M123" s="309"/>
      <c r="N123" s="309"/>
      <c r="O123" s="622"/>
      <c r="P123" s="623"/>
      <c r="Q123" s="282"/>
      <c r="R123" s="282"/>
      <c r="S123" s="282"/>
      <c r="T123" s="282"/>
      <c r="U123" s="282"/>
      <c r="V123" s="282"/>
      <c r="W123" s="284"/>
      <c r="X123" s="17"/>
      <c r="Y123" s="150"/>
      <c r="Z123" s="152"/>
      <c r="AA123" s="150"/>
      <c r="AC123" s="17"/>
      <c r="AH123" s="17"/>
    </row>
    <row r="124" spans="1:34" s="285" customFormat="1" ht="12.75" customHeight="1">
      <c r="A124" s="310"/>
      <c r="B124" s="283"/>
      <c r="C124" s="283"/>
      <c r="D124" s="152"/>
      <c r="E124" s="209"/>
      <c r="F124" s="311"/>
      <c r="G124" s="312"/>
      <c r="H124" s="283"/>
      <c r="I124" s="149"/>
      <c r="J124" s="149"/>
      <c r="K124" s="209"/>
      <c r="L124" s="312"/>
      <c r="M124" s="283"/>
      <c r="N124" s="283"/>
      <c r="O124" s="152"/>
      <c r="P124" s="150"/>
      <c r="Q124" s="282"/>
      <c r="R124" s="282"/>
      <c r="S124" s="282"/>
      <c r="T124" s="282"/>
      <c r="U124" s="282"/>
      <c r="V124" s="282"/>
      <c r="W124" s="284"/>
      <c r="X124" s="17"/>
      <c r="Y124" s="150"/>
      <c r="Z124" s="152"/>
      <c r="AA124" s="150"/>
      <c r="AC124" s="17"/>
      <c r="AH124" s="17"/>
    </row>
    <row r="125" spans="1:34" ht="18.75" thickBot="1">
      <c r="A125" s="423" t="s">
        <v>148</v>
      </c>
      <c r="B125" s="423"/>
      <c r="C125" s="423"/>
      <c r="D125" s="423"/>
      <c r="E125" s="423"/>
      <c r="F125" s="423"/>
      <c r="G125" s="423"/>
      <c r="H125" s="423"/>
      <c r="I125" s="423"/>
      <c r="J125" s="423"/>
      <c r="K125" s="423"/>
      <c r="L125" s="423"/>
      <c r="M125" s="423"/>
      <c r="N125" s="423"/>
      <c r="O125" s="423"/>
      <c r="P125" s="423"/>
      <c r="Q125" s="423"/>
      <c r="R125" s="423"/>
      <c r="S125" s="423"/>
      <c r="T125" s="423"/>
      <c r="U125" s="423"/>
      <c r="V125" s="423"/>
      <c r="W125" s="16"/>
      <c r="X125" s="17"/>
      <c r="Y125" s="451"/>
      <c r="Z125" s="452"/>
      <c r="AC125" s="17"/>
      <c r="AH125" s="17"/>
    </row>
    <row r="126" spans="1:34" ht="22.5">
      <c r="A126" s="18" t="s">
        <v>3</v>
      </c>
      <c r="B126" s="139" t="s">
        <v>89</v>
      </c>
      <c r="C126" s="139"/>
      <c r="D126" s="139"/>
      <c r="E126" s="139"/>
      <c r="F126" s="139"/>
      <c r="G126" s="140"/>
      <c r="H126" s="19" t="s">
        <v>32</v>
      </c>
      <c r="I126" s="424" t="s">
        <v>88</v>
      </c>
      <c r="J126" s="425"/>
      <c r="K126" s="425"/>
      <c r="L126" s="425"/>
      <c r="M126" s="425"/>
      <c r="N126" s="425"/>
      <c r="O126" s="425"/>
      <c r="P126" s="425"/>
      <c r="Q126" s="425"/>
      <c r="R126" s="425"/>
      <c r="S126" s="425"/>
      <c r="T126" s="425"/>
      <c r="U126" s="426"/>
      <c r="V126" s="20" t="s">
        <v>32</v>
      </c>
      <c r="W126" s="16"/>
      <c r="X126" s="17"/>
      <c r="Y126" s="451"/>
      <c r="Z126" s="452"/>
      <c r="AC126" s="17"/>
      <c r="AH126" s="17"/>
    </row>
    <row r="127" spans="1:34" ht="13.5" thickBot="1">
      <c r="A127" s="21"/>
      <c r="B127" s="22" t="s">
        <v>64</v>
      </c>
      <c r="C127" s="22"/>
      <c r="D127" s="22"/>
      <c r="E127" s="22"/>
      <c r="F127" s="22"/>
      <c r="G127" s="23"/>
      <c r="H127" s="24" t="s">
        <v>65</v>
      </c>
      <c r="I127" s="427"/>
      <c r="J127" s="428"/>
      <c r="K127" s="428"/>
      <c r="L127" s="428"/>
      <c r="M127" s="428"/>
      <c r="N127" s="428"/>
      <c r="O127" s="428"/>
      <c r="P127" s="428"/>
      <c r="Q127" s="428"/>
      <c r="R127" s="428"/>
      <c r="S127" s="428"/>
      <c r="T127" s="428"/>
      <c r="U127" s="429"/>
      <c r="V127" s="25" t="s">
        <v>66</v>
      </c>
      <c r="W127" s="16"/>
      <c r="X127" s="17"/>
      <c r="Y127" s="451"/>
      <c r="Z127" s="452"/>
      <c r="AC127" s="17"/>
      <c r="AH127" s="17"/>
    </row>
    <row r="128" spans="1:34" ht="13.5" thickBot="1">
      <c r="A128" s="26" t="s">
        <v>17</v>
      </c>
      <c r="B128" s="27"/>
      <c r="C128" s="28"/>
      <c r="D128" s="28"/>
      <c r="E128" s="28"/>
      <c r="F128" s="28"/>
      <c r="G128" s="28"/>
      <c r="H128" s="29">
        <f>SUM(H129:H142)</f>
        <v>0</v>
      </c>
      <c r="I128" s="30"/>
      <c r="J128" s="28"/>
      <c r="K128" s="28"/>
      <c r="L128" s="28"/>
      <c r="M128" s="28"/>
      <c r="N128" s="28"/>
      <c r="O128" s="28"/>
      <c r="P128" s="28"/>
      <c r="Q128" s="28"/>
      <c r="R128" s="28"/>
      <c r="S128" s="28"/>
      <c r="T128" s="28"/>
      <c r="U128" s="28"/>
      <c r="V128" s="29">
        <f>SUM(V129:V142)</f>
        <v>852</v>
      </c>
      <c r="W128" s="16"/>
      <c r="X128" s="17"/>
      <c r="Y128" s="611"/>
      <c r="Z128" s="452"/>
      <c r="AC128" s="17"/>
      <c r="AH128" s="17"/>
    </row>
    <row r="129" spans="1:34" ht="12.75">
      <c r="A129" s="141" t="s">
        <v>107</v>
      </c>
      <c r="B129" s="32"/>
      <c r="C129" s="33"/>
      <c r="D129" s="33"/>
      <c r="E129" s="33"/>
      <c r="F129" s="33"/>
      <c r="G129" s="33"/>
      <c r="H129" s="34">
        <v>0</v>
      </c>
      <c r="I129" s="32"/>
      <c r="J129" s="33"/>
      <c r="K129" s="33"/>
      <c r="L129" s="33"/>
      <c r="M129" s="33"/>
      <c r="N129" s="33"/>
      <c r="O129" s="33"/>
      <c r="P129" s="33"/>
      <c r="Q129" s="33"/>
      <c r="R129" s="33"/>
      <c r="S129" s="33"/>
      <c r="T129" s="33"/>
      <c r="U129" s="33"/>
      <c r="V129" s="35">
        <v>0</v>
      </c>
      <c r="W129" s="16"/>
      <c r="X129" s="17"/>
      <c r="Y129" s="611"/>
      <c r="Z129" s="452"/>
      <c r="AC129" s="17"/>
      <c r="AH129" s="17"/>
    </row>
    <row r="130" spans="1:34" ht="12.75">
      <c r="A130" s="141" t="s">
        <v>117</v>
      </c>
      <c r="B130" s="32"/>
      <c r="C130" s="33"/>
      <c r="D130" s="33"/>
      <c r="E130" s="33"/>
      <c r="F130" s="33"/>
      <c r="G130" s="33"/>
      <c r="H130" s="34">
        <v>0</v>
      </c>
      <c r="I130" s="36" t="s">
        <v>172</v>
      </c>
      <c r="J130" s="33"/>
      <c r="K130" s="33"/>
      <c r="L130" s="33"/>
      <c r="M130" s="33"/>
      <c r="N130" s="33"/>
      <c r="O130" s="33"/>
      <c r="P130" s="33"/>
      <c r="Q130" s="33"/>
      <c r="R130" s="33"/>
      <c r="S130" s="33"/>
      <c r="T130" s="33"/>
      <c r="U130" s="33"/>
      <c r="V130" s="35">
        <v>350</v>
      </c>
      <c r="W130" s="16"/>
      <c r="X130" s="17"/>
      <c r="Y130" s="611"/>
      <c r="Z130" s="452"/>
      <c r="AC130" s="17"/>
      <c r="AH130" s="17"/>
    </row>
    <row r="131" spans="1:34" ht="12.75">
      <c r="A131" s="173" t="s">
        <v>45</v>
      </c>
      <c r="B131" s="32"/>
      <c r="C131" s="33"/>
      <c r="D131" s="33"/>
      <c r="E131" s="33"/>
      <c r="F131" s="33"/>
      <c r="G131" s="33"/>
      <c r="H131" s="34">
        <v>0</v>
      </c>
      <c r="I131" s="36"/>
      <c r="J131" s="33"/>
      <c r="K131" s="33"/>
      <c r="L131" s="33"/>
      <c r="M131" s="33"/>
      <c r="N131" s="33"/>
      <c r="O131" s="33"/>
      <c r="P131" s="33"/>
      <c r="Q131" s="33"/>
      <c r="R131" s="33"/>
      <c r="S131" s="33"/>
      <c r="T131" s="33"/>
      <c r="U131" s="33"/>
      <c r="V131" s="35">
        <v>0</v>
      </c>
      <c r="W131" s="16"/>
      <c r="X131" s="17"/>
      <c r="Y131" s="611"/>
      <c r="Z131" s="452"/>
      <c r="AC131" s="17"/>
      <c r="AH131" s="17"/>
    </row>
    <row r="132" spans="1:34" s="40" customFormat="1" ht="12.75">
      <c r="A132" s="141" t="s">
        <v>108</v>
      </c>
      <c r="B132" s="36"/>
      <c r="C132" s="37"/>
      <c r="D132" s="37"/>
      <c r="E132" s="37"/>
      <c r="F132" s="37"/>
      <c r="G132" s="37"/>
      <c r="H132" s="38">
        <v>0</v>
      </c>
      <c r="I132" s="36"/>
      <c r="J132" s="37"/>
      <c r="K132" s="37"/>
      <c r="L132" s="37"/>
      <c r="M132" s="37"/>
      <c r="N132" s="37"/>
      <c r="O132" s="37"/>
      <c r="P132" s="37"/>
      <c r="Q132" s="37"/>
      <c r="R132" s="37"/>
      <c r="S132" s="37"/>
      <c r="T132" s="37"/>
      <c r="U132" s="37"/>
      <c r="V132" s="39">
        <v>0</v>
      </c>
      <c r="X132" s="41"/>
      <c r="Y132" s="611"/>
      <c r="Z132" s="452"/>
      <c r="AC132" s="41"/>
      <c r="AH132" s="41"/>
    </row>
    <row r="133" spans="1:34" ht="12.75">
      <c r="A133" s="141" t="s">
        <v>60</v>
      </c>
      <c r="B133" s="32"/>
      <c r="C133" s="33"/>
      <c r="D133" s="33"/>
      <c r="E133" s="33"/>
      <c r="F133" s="33"/>
      <c r="G133" s="33"/>
      <c r="H133" s="34">
        <v>0</v>
      </c>
      <c r="I133" s="32"/>
      <c r="J133" s="33"/>
      <c r="K133" s="33"/>
      <c r="L133" s="33"/>
      <c r="M133" s="33"/>
      <c r="N133" s="33"/>
      <c r="O133" s="33"/>
      <c r="P133" s="33"/>
      <c r="Q133" s="33"/>
      <c r="R133" s="33"/>
      <c r="S133" s="33"/>
      <c r="T133" s="33"/>
      <c r="U133" s="33"/>
      <c r="V133" s="35">
        <v>0</v>
      </c>
      <c r="W133" s="16"/>
      <c r="X133" s="42"/>
      <c r="Y133" s="611"/>
      <c r="Z133" s="452"/>
      <c r="AC133" s="42"/>
      <c r="AH133" s="42"/>
    </row>
    <row r="134" spans="1:26" ht="12.75">
      <c r="A134" s="141" t="s">
        <v>109</v>
      </c>
      <c r="B134" s="32"/>
      <c r="C134" s="33"/>
      <c r="D134" s="33"/>
      <c r="E134" s="33"/>
      <c r="F134" s="33"/>
      <c r="G134" s="33"/>
      <c r="H134" s="34">
        <v>0</v>
      </c>
      <c r="I134" s="32"/>
      <c r="J134" s="33"/>
      <c r="K134" s="33"/>
      <c r="L134" s="33"/>
      <c r="M134" s="33"/>
      <c r="N134" s="33"/>
      <c r="O134" s="33"/>
      <c r="P134" s="33"/>
      <c r="Q134" s="33"/>
      <c r="R134" s="33"/>
      <c r="S134" s="33"/>
      <c r="T134" s="33"/>
      <c r="U134" s="33"/>
      <c r="V134" s="35">
        <v>0</v>
      </c>
      <c r="W134" s="16" t="s">
        <v>19</v>
      </c>
      <c r="Z134" s="42"/>
    </row>
    <row r="135" spans="1:22" s="40" customFormat="1" ht="12.75">
      <c r="A135" s="141" t="s">
        <v>106</v>
      </c>
      <c r="B135" s="36"/>
      <c r="C135" s="37"/>
      <c r="D135" s="37"/>
      <c r="E135" s="37"/>
      <c r="F135" s="37"/>
      <c r="G135" s="37"/>
      <c r="H135" s="38">
        <v>0</v>
      </c>
      <c r="I135" s="36"/>
      <c r="J135" s="37"/>
      <c r="K135" s="37"/>
      <c r="L135" s="37"/>
      <c r="M135" s="37"/>
      <c r="N135" s="37"/>
      <c r="O135" s="37"/>
      <c r="P135" s="37"/>
      <c r="Q135" s="37"/>
      <c r="R135" s="37"/>
      <c r="S135" s="37"/>
      <c r="T135" s="37"/>
      <c r="U135" s="37"/>
      <c r="V135" s="39">
        <v>0</v>
      </c>
    </row>
    <row r="136" spans="1:22" s="40" customFormat="1" ht="12.75">
      <c r="A136" s="141" t="s">
        <v>114</v>
      </c>
      <c r="B136" s="36"/>
      <c r="C136" s="43"/>
      <c r="D136" s="37"/>
      <c r="E136" s="37"/>
      <c r="F136" s="37"/>
      <c r="G136" s="37"/>
      <c r="H136" s="38">
        <v>0</v>
      </c>
      <c r="I136" s="36" t="s">
        <v>218</v>
      </c>
      <c r="J136" s="37"/>
      <c r="K136" s="37"/>
      <c r="L136" s="37"/>
      <c r="M136" s="37"/>
      <c r="N136" s="37"/>
      <c r="O136" s="44"/>
      <c r="P136" s="44"/>
      <c r="Q136" s="44"/>
      <c r="R136" s="44"/>
      <c r="S136" s="44"/>
      <c r="T136" s="44"/>
      <c r="U136" s="37"/>
      <c r="V136" s="39">
        <v>67</v>
      </c>
    </row>
    <row r="137" spans="1:23" ht="12.75">
      <c r="A137" s="141" t="s">
        <v>115</v>
      </c>
      <c r="B137" s="32"/>
      <c r="C137" s="33"/>
      <c r="D137" s="33"/>
      <c r="E137" s="33"/>
      <c r="F137" s="33"/>
      <c r="G137" s="33"/>
      <c r="H137" s="34">
        <v>0</v>
      </c>
      <c r="I137" s="36" t="s">
        <v>219</v>
      </c>
      <c r="J137" s="33"/>
      <c r="K137" s="33"/>
      <c r="L137" s="33"/>
      <c r="M137" s="33"/>
      <c r="N137" s="33"/>
      <c r="O137" s="33"/>
      <c r="P137" s="33"/>
      <c r="Q137" s="33"/>
      <c r="R137" s="33"/>
      <c r="S137" s="33"/>
      <c r="T137" s="33"/>
      <c r="U137" s="33"/>
      <c r="V137" s="35">
        <v>235</v>
      </c>
      <c r="W137" s="16"/>
    </row>
    <row r="138" spans="1:23" ht="12.75">
      <c r="A138" s="141" t="s">
        <v>171</v>
      </c>
      <c r="B138" s="36"/>
      <c r="C138" s="33"/>
      <c r="D138" s="33"/>
      <c r="E138" s="33"/>
      <c r="F138" s="33"/>
      <c r="G138" s="33"/>
      <c r="H138" s="34">
        <v>0</v>
      </c>
      <c r="J138" s="33"/>
      <c r="K138" s="33"/>
      <c r="L138" s="33"/>
      <c r="M138" s="33"/>
      <c r="N138" s="33"/>
      <c r="O138" s="33"/>
      <c r="P138" s="33"/>
      <c r="Q138" s="33"/>
      <c r="R138" s="33"/>
      <c r="S138" s="33"/>
      <c r="T138" s="33"/>
      <c r="U138" s="33"/>
      <c r="V138" s="35">
        <v>0</v>
      </c>
      <c r="W138" s="16"/>
    </row>
    <row r="139" spans="1:23" ht="12.75">
      <c r="A139" s="141" t="s">
        <v>110</v>
      </c>
      <c r="B139" s="32"/>
      <c r="C139" s="33"/>
      <c r="D139" s="33"/>
      <c r="E139" s="33"/>
      <c r="F139" s="33"/>
      <c r="G139" s="33"/>
      <c r="H139" s="34">
        <v>0</v>
      </c>
      <c r="I139" s="51"/>
      <c r="J139" s="33"/>
      <c r="K139" s="33"/>
      <c r="L139" s="33"/>
      <c r="M139" s="33"/>
      <c r="N139" s="33"/>
      <c r="O139" s="33"/>
      <c r="P139" s="33"/>
      <c r="Q139" s="33"/>
      <c r="R139" s="33"/>
      <c r="S139" s="33"/>
      <c r="T139" s="33"/>
      <c r="U139" s="33"/>
      <c r="V139" s="35">
        <v>0</v>
      </c>
      <c r="W139" s="16"/>
    </row>
    <row r="140" spans="1:23" ht="12.75">
      <c r="A140" s="141" t="s">
        <v>111</v>
      </c>
      <c r="B140" s="32"/>
      <c r="C140" s="33"/>
      <c r="D140" s="33"/>
      <c r="E140" s="33"/>
      <c r="F140" s="33"/>
      <c r="G140" s="33"/>
      <c r="H140" s="34">
        <v>0</v>
      </c>
      <c r="I140" s="32"/>
      <c r="J140" s="33"/>
      <c r="K140" s="33"/>
      <c r="L140" s="33"/>
      <c r="M140" s="33"/>
      <c r="N140" s="33"/>
      <c r="O140" s="33"/>
      <c r="P140" s="33"/>
      <c r="Q140" s="33"/>
      <c r="R140" s="33"/>
      <c r="S140" s="33"/>
      <c r="T140" s="33"/>
      <c r="U140" s="33"/>
      <c r="V140" s="35">
        <v>0</v>
      </c>
      <c r="W140" s="16"/>
    </row>
    <row r="141" spans="1:23" ht="12.75">
      <c r="A141" s="141" t="s">
        <v>112</v>
      </c>
      <c r="B141" s="45"/>
      <c r="C141" s="46"/>
      <c r="D141" s="46"/>
      <c r="E141" s="46"/>
      <c r="F141" s="46"/>
      <c r="G141" s="46"/>
      <c r="H141" s="47">
        <v>0</v>
      </c>
      <c r="I141" s="48"/>
      <c r="J141" s="46"/>
      <c r="K141" s="46"/>
      <c r="L141" s="46"/>
      <c r="M141" s="46"/>
      <c r="N141" s="46"/>
      <c r="O141" s="46"/>
      <c r="P141" s="46"/>
      <c r="Q141" s="46"/>
      <c r="R141" s="46"/>
      <c r="S141" s="46"/>
      <c r="T141" s="46"/>
      <c r="U141" s="46"/>
      <c r="V141" s="49">
        <v>0</v>
      </c>
      <c r="W141" s="16"/>
    </row>
    <row r="142" spans="1:23" ht="13.5" thickBot="1">
      <c r="A142" s="180" t="s">
        <v>113</v>
      </c>
      <c r="B142" s="51"/>
      <c r="C142" s="33"/>
      <c r="D142" s="33"/>
      <c r="E142" s="33"/>
      <c r="F142" s="33"/>
      <c r="G142" s="33"/>
      <c r="H142" s="34">
        <v>0</v>
      </c>
      <c r="I142" s="51" t="s">
        <v>220</v>
      </c>
      <c r="J142" s="33"/>
      <c r="K142" s="33"/>
      <c r="L142" s="33"/>
      <c r="M142" s="33"/>
      <c r="N142" s="33"/>
      <c r="O142" s="33"/>
      <c r="P142" s="33"/>
      <c r="Q142" s="33"/>
      <c r="R142" s="33"/>
      <c r="S142" s="33"/>
      <c r="T142" s="33"/>
      <c r="U142" s="33"/>
      <c r="V142" s="38">
        <v>200</v>
      </c>
      <c r="W142" s="16"/>
    </row>
    <row r="143" spans="1:22" ht="13.5" thickBot="1">
      <c r="A143" s="52" t="s">
        <v>67</v>
      </c>
      <c r="B143" s="27"/>
      <c r="C143" s="28"/>
      <c r="D143" s="28"/>
      <c r="E143" s="28"/>
      <c r="F143" s="28"/>
      <c r="G143" s="28"/>
      <c r="H143" s="29">
        <f>SUM(H144:H161)</f>
        <v>1400</v>
      </c>
      <c r="I143" s="27"/>
      <c r="J143" s="28"/>
      <c r="K143" s="28"/>
      <c r="L143" s="28"/>
      <c r="M143" s="28"/>
      <c r="N143" s="28"/>
      <c r="O143" s="28"/>
      <c r="P143" s="28"/>
      <c r="Q143" s="28"/>
      <c r="R143" s="28"/>
      <c r="S143" s="28"/>
      <c r="T143" s="28"/>
      <c r="U143" s="28"/>
      <c r="V143" s="29">
        <f>SUM(V144:V161)</f>
        <v>2000</v>
      </c>
    </row>
    <row r="144" spans="1:22" s="40" customFormat="1" ht="12.75">
      <c r="A144" s="50" t="s">
        <v>68</v>
      </c>
      <c r="B144" s="403" t="s">
        <v>208</v>
      </c>
      <c r="C144" s="404"/>
      <c r="D144" s="404"/>
      <c r="E144" s="404"/>
      <c r="F144" s="404"/>
      <c r="G144" s="405"/>
      <c r="H144" s="53">
        <v>80</v>
      </c>
      <c r="I144" s="403" t="s">
        <v>221</v>
      </c>
      <c r="J144" s="404"/>
      <c r="K144" s="404"/>
      <c r="L144" s="404"/>
      <c r="M144" s="404"/>
      <c r="N144" s="404"/>
      <c r="O144" s="404"/>
      <c r="P144" s="404"/>
      <c r="Q144" s="404"/>
      <c r="R144" s="404"/>
      <c r="S144" s="404"/>
      <c r="T144" s="404"/>
      <c r="U144" s="405"/>
      <c r="V144" s="54">
        <v>150</v>
      </c>
    </row>
    <row r="145" spans="1:22" s="40" customFormat="1" ht="12.75">
      <c r="A145" s="31" t="s">
        <v>4</v>
      </c>
      <c r="B145" s="36"/>
      <c r="C145" s="37"/>
      <c r="D145" s="37"/>
      <c r="E145" s="37"/>
      <c r="F145" s="37"/>
      <c r="G145" s="37"/>
      <c r="H145" s="38">
        <v>0</v>
      </c>
      <c r="I145" s="36"/>
      <c r="J145" s="37"/>
      <c r="K145" s="37"/>
      <c r="L145" s="37"/>
      <c r="M145" s="37"/>
      <c r="N145" s="37"/>
      <c r="O145" s="37"/>
      <c r="P145" s="37"/>
      <c r="Q145" s="37"/>
      <c r="R145" s="37"/>
      <c r="S145" s="37"/>
      <c r="T145" s="37"/>
      <c r="U145" s="37"/>
      <c r="V145" s="39"/>
    </row>
    <row r="146" spans="1:22" s="40" customFormat="1" ht="36.75" customHeight="1">
      <c r="A146" s="55" t="s">
        <v>98</v>
      </c>
      <c r="B146" s="36"/>
      <c r="C146" s="37"/>
      <c r="D146" s="37"/>
      <c r="E146" s="37"/>
      <c r="F146" s="37"/>
      <c r="G146" s="37"/>
      <c r="H146" s="38">
        <v>0</v>
      </c>
      <c r="I146" s="406" t="s">
        <v>222</v>
      </c>
      <c r="J146" s="407"/>
      <c r="K146" s="407"/>
      <c r="L146" s="407"/>
      <c r="M146" s="407"/>
      <c r="N146" s="407"/>
      <c r="O146" s="407"/>
      <c r="P146" s="407"/>
      <c r="Q146" s="407"/>
      <c r="R146" s="407"/>
      <c r="S146" s="407"/>
      <c r="T146" s="407"/>
      <c r="U146" s="408"/>
      <c r="V146" s="39">
        <v>1030</v>
      </c>
    </row>
    <row r="147" spans="1:22" s="40" customFormat="1" ht="18.75" customHeight="1">
      <c r="A147" s="31" t="s">
        <v>5</v>
      </c>
      <c r="B147" s="406" t="s">
        <v>209</v>
      </c>
      <c r="C147" s="407"/>
      <c r="D147" s="407"/>
      <c r="E147" s="407"/>
      <c r="F147" s="407"/>
      <c r="G147" s="408"/>
      <c r="H147" s="38">
        <v>100</v>
      </c>
      <c r="I147" s="612"/>
      <c r="J147" s="613"/>
      <c r="K147" s="613"/>
      <c r="L147" s="613"/>
      <c r="M147" s="613"/>
      <c r="N147" s="37"/>
      <c r="O147" s="37"/>
      <c r="P147" s="37"/>
      <c r="Q147" s="37"/>
      <c r="R147" s="37"/>
      <c r="S147" s="37"/>
      <c r="T147" s="37"/>
      <c r="U147" s="37"/>
      <c r="V147" s="39"/>
    </row>
    <row r="148" spans="1:22" s="40" customFormat="1" ht="12.75">
      <c r="A148" s="31" t="s">
        <v>99</v>
      </c>
      <c r="B148" s="36"/>
      <c r="C148" s="44"/>
      <c r="D148" s="37"/>
      <c r="E148" s="37"/>
      <c r="F148" s="37"/>
      <c r="G148" s="37"/>
      <c r="H148" s="38">
        <v>0</v>
      </c>
      <c r="I148" s="406" t="s">
        <v>203</v>
      </c>
      <c r="J148" s="407"/>
      <c r="K148" s="407"/>
      <c r="L148" s="407"/>
      <c r="M148" s="407"/>
      <c r="N148" s="407"/>
      <c r="O148" s="407"/>
      <c r="P148" s="407"/>
      <c r="Q148" s="407"/>
      <c r="R148" s="407"/>
      <c r="S148" s="407"/>
      <c r="T148" s="407"/>
      <c r="U148" s="408"/>
      <c r="V148" s="39">
        <v>170</v>
      </c>
    </row>
    <row r="149" spans="1:22" s="40" customFormat="1" ht="12.75" customHeight="1">
      <c r="A149" s="447" t="s">
        <v>100</v>
      </c>
      <c r="B149" s="397" t="s">
        <v>210</v>
      </c>
      <c r="C149" s="398"/>
      <c r="D149" s="398"/>
      <c r="E149" s="398"/>
      <c r="F149" s="398"/>
      <c r="G149" s="399"/>
      <c r="H149" s="449">
        <v>63</v>
      </c>
      <c r="I149" s="453" t="s">
        <v>204</v>
      </c>
      <c r="J149" s="454"/>
      <c r="K149" s="454"/>
      <c r="L149" s="454"/>
      <c r="M149" s="454"/>
      <c r="N149" s="454"/>
      <c r="O149" s="454"/>
      <c r="P149" s="454"/>
      <c r="Q149" s="454"/>
      <c r="R149" s="454"/>
      <c r="S149" s="454"/>
      <c r="T149" s="454"/>
      <c r="U149" s="455"/>
      <c r="V149" s="449">
        <v>430</v>
      </c>
    </row>
    <row r="150" spans="1:22" s="40" customFormat="1" ht="10.5" customHeight="1">
      <c r="A150" s="448"/>
      <c r="B150" s="409"/>
      <c r="C150" s="410"/>
      <c r="D150" s="410"/>
      <c r="E150" s="410"/>
      <c r="F150" s="410"/>
      <c r="G150" s="411"/>
      <c r="H150" s="450"/>
      <c r="I150" s="456"/>
      <c r="J150" s="457"/>
      <c r="K150" s="457"/>
      <c r="L150" s="457"/>
      <c r="M150" s="457"/>
      <c r="N150" s="457"/>
      <c r="O150" s="457"/>
      <c r="P150" s="457"/>
      <c r="Q150" s="457"/>
      <c r="R150" s="457"/>
      <c r="S150" s="457"/>
      <c r="T150" s="457"/>
      <c r="U150" s="458"/>
      <c r="V150" s="450"/>
    </row>
    <row r="151" spans="1:22" s="40" customFormat="1" ht="12.75">
      <c r="A151" s="31" t="s">
        <v>6</v>
      </c>
      <c r="B151" s="36"/>
      <c r="C151" s="37"/>
      <c r="D151" s="37"/>
      <c r="E151" s="37"/>
      <c r="F151" s="37"/>
      <c r="G151" s="37"/>
      <c r="H151" s="38">
        <v>0</v>
      </c>
      <c r="I151" s="406" t="s">
        <v>223</v>
      </c>
      <c r="J151" s="407"/>
      <c r="K151" s="407"/>
      <c r="L151" s="407"/>
      <c r="M151" s="407"/>
      <c r="N151" s="407"/>
      <c r="O151" s="407"/>
      <c r="P151" s="407"/>
      <c r="Q151" s="407"/>
      <c r="R151" s="407"/>
      <c r="S151" s="407"/>
      <c r="T151" s="407"/>
      <c r="U151" s="408"/>
      <c r="V151" s="39">
        <v>70</v>
      </c>
    </row>
    <row r="152" spans="1:22" s="40" customFormat="1" ht="12.75">
      <c r="A152" s="57" t="s">
        <v>7</v>
      </c>
      <c r="B152" s="36"/>
      <c r="C152" s="37"/>
      <c r="D152" s="37"/>
      <c r="E152" s="37"/>
      <c r="F152" s="37"/>
      <c r="G152" s="37"/>
      <c r="H152" s="38">
        <v>0</v>
      </c>
      <c r="I152" s="36"/>
      <c r="J152" s="37"/>
      <c r="K152" s="37"/>
      <c r="L152" s="37"/>
      <c r="M152" s="37"/>
      <c r="N152" s="37"/>
      <c r="O152" s="37"/>
      <c r="P152" s="37"/>
      <c r="Q152" s="37"/>
      <c r="R152" s="37"/>
      <c r="S152" s="37"/>
      <c r="T152" s="37"/>
      <c r="U152" s="37"/>
      <c r="V152" s="39">
        <v>0</v>
      </c>
    </row>
    <row r="153" spans="1:22" s="40" customFormat="1" ht="22.5" customHeight="1">
      <c r="A153" s="412" t="s">
        <v>104</v>
      </c>
      <c r="B153" s="397" t="s">
        <v>212</v>
      </c>
      <c r="C153" s="398"/>
      <c r="D153" s="398"/>
      <c r="E153" s="398"/>
      <c r="F153" s="398"/>
      <c r="G153" s="399"/>
      <c r="H153" s="449">
        <v>532</v>
      </c>
      <c r="I153" s="397"/>
      <c r="J153" s="398"/>
      <c r="K153" s="398"/>
      <c r="L153" s="398"/>
      <c r="M153" s="398"/>
      <c r="N153" s="398"/>
      <c r="O153" s="398"/>
      <c r="P153" s="398"/>
      <c r="Q153" s="398"/>
      <c r="R153" s="398"/>
      <c r="S153" s="398"/>
      <c r="T153" s="398"/>
      <c r="U153" s="399"/>
      <c r="V153" s="449">
        <v>0</v>
      </c>
    </row>
    <row r="154" spans="1:22" s="40" customFormat="1" ht="12.75">
      <c r="A154" s="413"/>
      <c r="B154" s="409"/>
      <c r="C154" s="410"/>
      <c r="D154" s="410"/>
      <c r="E154" s="410"/>
      <c r="F154" s="410"/>
      <c r="G154" s="411"/>
      <c r="H154" s="450"/>
      <c r="I154" s="409"/>
      <c r="J154" s="410"/>
      <c r="K154" s="410"/>
      <c r="L154" s="410"/>
      <c r="M154" s="410"/>
      <c r="N154" s="410"/>
      <c r="O154" s="410"/>
      <c r="P154" s="410"/>
      <c r="Q154" s="410"/>
      <c r="R154" s="410"/>
      <c r="S154" s="410"/>
      <c r="T154" s="410"/>
      <c r="U154" s="411"/>
      <c r="V154" s="450"/>
    </row>
    <row r="155" spans="1:22" s="40" customFormat="1" ht="23.25" customHeight="1">
      <c r="A155" s="55" t="s">
        <v>8</v>
      </c>
      <c r="B155" s="397" t="s">
        <v>205</v>
      </c>
      <c r="C155" s="398"/>
      <c r="D155" s="398"/>
      <c r="E155" s="398"/>
      <c r="F155" s="398"/>
      <c r="G155" s="399"/>
      <c r="H155" s="38">
        <v>200</v>
      </c>
      <c r="I155" s="36"/>
      <c r="J155" s="37"/>
      <c r="K155" s="37"/>
      <c r="L155" s="37"/>
      <c r="M155" s="37"/>
      <c r="N155" s="37"/>
      <c r="O155" s="37"/>
      <c r="P155" s="37"/>
      <c r="Q155" s="37"/>
      <c r="R155" s="37"/>
      <c r="S155" s="37"/>
      <c r="T155" s="37"/>
      <c r="U155" s="37"/>
      <c r="V155" s="38">
        <v>0</v>
      </c>
    </row>
    <row r="156" spans="1:22" s="40" customFormat="1" ht="22.5" customHeight="1">
      <c r="A156" s="412" t="s">
        <v>85</v>
      </c>
      <c r="B156" s="397" t="s">
        <v>206</v>
      </c>
      <c r="C156" s="398"/>
      <c r="D156" s="398"/>
      <c r="E156" s="398"/>
      <c r="F156" s="398"/>
      <c r="G156" s="399"/>
      <c r="H156" s="449">
        <v>225</v>
      </c>
      <c r="I156" s="397"/>
      <c r="J156" s="398"/>
      <c r="K156" s="398"/>
      <c r="L156" s="398"/>
      <c r="M156" s="398"/>
      <c r="N156" s="398"/>
      <c r="O156" s="398"/>
      <c r="P156" s="398"/>
      <c r="Q156" s="398"/>
      <c r="R156" s="398"/>
      <c r="S156" s="398"/>
      <c r="T156" s="398"/>
      <c r="U156" s="399"/>
      <c r="V156" s="449">
        <v>0</v>
      </c>
    </row>
    <row r="157" spans="1:22" s="40" customFormat="1" ht="32.25" customHeight="1">
      <c r="A157" s="413"/>
      <c r="B157" s="409"/>
      <c r="C157" s="410"/>
      <c r="D157" s="410"/>
      <c r="E157" s="410"/>
      <c r="F157" s="410"/>
      <c r="G157" s="411"/>
      <c r="H157" s="450"/>
      <c r="I157" s="409"/>
      <c r="J157" s="410"/>
      <c r="K157" s="410"/>
      <c r="L157" s="410"/>
      <c r="M157" s="410"/>
      <c r="N157" s="410"/>
      <c r="O157" s="410"/>
      <c r="P157" s="410"/>
      <c r="Q157" s="410"/>
      <c r="R157" s="410"/>
      <c r="S157" s="410"/>
      <c r="T157" s="410"/>
      <c r="U157" s="411"/>
      <c r="V157" s="450"/>
    </row>
    <row r="158" spans="1:22" s="40" customFormat="1" ht="12.75" customHeight="1">
      <c r="A158" s="412" t="s">
        <v>103</v>
      </c>
      <c r="B158" s="397" t="s">
        <v>207</v>
      </c>
      <c r="C158" s="398"/>
      <c r="D158" s="398"/>
      <c r="E158" s="398"/>
      <c r="F158" s="398"/>
      <c r="G158" s="399"/>
      <c r="H158" s="449">
        <v>150</v>
      </c>
      <c r="I158" s="397"/>
      <c r="J158" s="398"/>
      <c r="K158" s="398"/>
      <c r="L158" s="398"/>
      <c r="M158" s="398"/>
      <c r="N158" s="398"/>
      <c r="O158" s="398"/>
      <c r="P158" s="398"/>
      <c r="Q158" s="398"/>
      <c r="R158" s="398"/>
      <c r="S158" s="398"/>
      <c r="T158" s="398"/>
      <c r="U158" s="399"/>
      <c r="V158" s="449">
        <v>0</v>
      </c>
    </row>
    <row r="159" spans="1:22" s="40" customFormat="1" ht="12.75" customHeight="1">
      <c r="A159" s="413"/>
      <c r="B159" s="409"/>
      <c r="C159" s="410"/>
      <c r="D159" s="410"/>
      <c r="E159" s="410"/>
      <c r="F159" s="410"/>
      <c r="G159" s="411"/>
      <c r="H159" s="450"/>
      <c r="I159" s="409"/>
      <c r="J159" s="410"/>
      <c r="K159" s="410"/>
      <c r="L159" s="410"/>
      <c r="M159" s="410"/>
      <c r="N159" s="410"/>
      <c r="O159" s="410"/>
      <c r="P159" s="410"/>
      <c r="Q159" s="410"/>
      <c r="R159" s="410"/>
      <c r="S159" s="410"/>
      <c r="T159" s="410"/>
      <c r="U159" s="411"/>
      <c r="V159" s="450"/>
    </row>
    <row r="160" spans="1:22" s="40" customFormat="1" ht="19.5" customHeight="1">
      <c r="A160" s="31" t="s">
        <v>34</v>
      </c>
      <c r="B160" s="397" t="s">
        <v>211</v>
      </c>
      <c r="C160" s="398"/>
      <c r="D160" s="398"/>
      <c r="E160" s="398"/>
      <c r="F160" s="398"/>
      <c r="G160" s="399"/>
      <c r="H160" s="38">
        <v>50</v>
      </c>
      <c r="I160" s="36"/>
      <c r="J160" s="37"/>
      <c r="K160" s="37"/>
      <c r="L160" s="37"/>
      <c r="M160" s="37"/>
      <c r="N160" s="37"/>
      <c r="O160" s="37"/>
      <c r="P160" s="37"/>
      <c r="Q160" s="37"/>
      <c r="R160" s="37"/>
      <c r="S160" s="37"/>
      <c r="T160" s="37"/>
      <c r="U160" s="37"/>
      <c r="V160" s="39">
        <v>0</v>
      </c>
    </row>
    <row r="161" spans="1:22" s="40" customFormat="1" ht="13.5" thickBot="1">
      <c r="A161" s="60" t="s">
        <v>35</v>
      </c>
      <c r="B161" s="61"/>
      <c r="C161" s="62"/>
      <c r="D161" s="62"/>
      <c r="E161" s="62"/>
      <c r="F161" s="62"/>
      <c r="G161" s="62"/>
      <c r="H161" s="63">
        <v>0</v>
      </c>
      <c r="I161" s="400" t="s">
        <v>224</v>
      </c>
      <c r="J161" s="401"/>
      <c r="K161" s="401"/>
      <c r="L161" s="401"/>
      <c r="M161" s="401"/>
      <c r="N161" s="401"/>
      <c r="O161" s="401"/>
      <c r="P161" s="401"/>
      <c r="Q161" s="401"/>
      <c r="R161" s="401"/>
      <c r="S161" s="401"/>
      <c r="T161" s="401"/>
      <c r="U161" s="402"/>
      <c r="V161" s="64">
        <v>150</v>
      </c>
    </row>
    <row r="162" ht="12.75">
      <c r="A162" s="65"/>
    </row>
    <row r="163" spans="1:24" ht="18.75" thickBot="1">
      <c r="A163" s="423" t="s">
        <v>148</v>
      </c>
      <c r="B163" s="423"/>
      <c r="C163" s="423"/>
      <c r="D163" s="423"/>
      <c r="E163" s="423"/>
      <c r="F163" s="423"/>
      <c r="G163" s="423"/>
      <c r="H163" s="423"/>
      <c r="I163" s="423"/>
      <c r="J163" s="423"/>
      <c r="K163" s="423"/>
      <c r="L163" s="423"/>
      <c r="M163" s="423"/>
      <c r="N163" s="423"/>
      <c r="O163" s="423"/>
      <c r="P163" s="423"/>
      <c r="Q163" s="423"/>
      <c r="R163" s="423"/>
      <c r="S163" s="423"/>
      <c r="T163" s="423"/>
      <c r="U163" s="423"/>
      <c r="V163" s="423"/>
      <c r="X163" s="66"/>
    </row>
    <row r="164" spans="1:34" ht="22.5">
      <c r="A164" s="18" t="s">
        <v>3</v>
      </c>
      <c r="B164" s="139" t="s">
        <v>89</v>
      </c>
      <c r="C164" s="139"/>
      <c r="D164" s="139"/>
      <c r="E164" s="139"/>
      <c r="F164" s="139"/>
      <c r="G164" s="140"/>
      <c r="H164" s="19" t="s">
        <v>32</v>
      </c>
      <c r="I164" s="424" t="s">
        <v>88</v>
      </c>
      <c r="J164" s="425"/>
      <c r="K164" s="425"/>
      <c r="L164" s="425"/>
      <c r="M164" s="425"/>
      <c r="N164" s="425"/>
      <c r="O164" s="425"/>
      <c r="P164" s="425"/>
      <c r="Q164" s="425"/>
      <c r="R164" s="425"/>
      <c r="S164" s="425"/>
      <c r="T164" s="425"/>
      <c r="U164" s="426"/>
      <c r="V164" s="20" t="s">
        <v>32</v>
      </c>
      <c r="W164" s="16"/>
      <c r="X164" s="17"/>
      <c r="Y164" s="451"/>
      <c r="Z164" s="452"/>
      <c r="AC164" s="17"/>
      <c r="AH164" s="17"/>
    </row>
    <row r="165" spans="1:34" ht="13.5" thickBot="1">
      <c r="A165" s="21"/>
      <c r="B165" s="22" t="s">
        <v>64</v>
      </c>
      <c r="C165" s="22"/>
      <c r="D165" s="22"/>
      <c r="E165" s="22"/>
      <c r="F165" s="22"/>
      <c r="G165" s="23"/>
      <c r="H165" s="24" t="s">
        <v>65</v>
      </c>
      <c r="I165" s="427"/>
      <c r="J165" s="428"/>
      <c r="K165" s="428"/>
      <c r="L165" s="428"/>
      <c r="M165" s="428"/>
      <c r="N165" s="428"/>
      <c r="O165" s="428"/>
      <c r="P165" s="428"/>
      <c r="Q165" s="428"/>
      <c r="R165" s="428"/>
      <c r="S165" s="428"/>
      <c r="T165" s="428"/>
      <c r="U165" s="429"/>
      <c r="V165" s="25" t="s">
        <v>66</v>
      </c>
      <c r="W165" s="16"/>
      <c r="X165" s="17"/>
      <c r="Y165" s="451"/>
      <c r="Z165" s="452"/>
      <c r="AC165" s="17"/>
      <c r="AH165" s="17"/>
    </row>
    <row r="166" spans="1:23" ht="13.5" thickBot="1">
      <c r="A166" s="26" t="s">
        <v>69</v>
      </c>
      <c r="B166" s="27"/>
      <c r="C166" s="28"/>
      <c r="D166" s="28"/>
      <c r="E166" s="28"/>
      <c r="F166" s="28"/>
      <c r="G166" s="28"/>
      <c r="H166" s="29">
        <f>SUM(H167:H191)</f>
        <v>7457</v>
      </c>
      <c r="I166" s="27"/>
      <c r="J166" s="28"/>
      <c r="K166" s="28"/>
      <c r="L166" s="28"/>
      <c r="M166" s="28"/>
      <c r="N166" s="28"/>
      <c r="O166" s="28"/>
      <c r="P166" s="28"/>
      <c r="Q166" s="28"/>
      <c r="R166" s="28"/>
      <c r="S166" s="28"/>
      <c r="T166" s="28"/>
      <c r="U166" s="28"/>
      <c r="V166" s="29">
        <f>SUM(I167+V167+V169+V170+V171+V172+V174+V176+V177+V178+V179+V180+V181+V182+V183+V184+V185+V186+V187+V188+V189+V190+V191)</f>
        <v>8212</v>
      </c>
      <c r="W166" s="67"/>
    </row>
    <row r="167" spans="1:22" s="40" customFormat="1" ht="12.75">
      <c r="A167" s="440" t="s">
        <v>118</v>
      </c>
      <c r="B167" s="441" t="s">
        <v>177</v>
      </c>
      <c r="C167" s="442"/>
      <c r="D167" s="442"/>
      <c r="E167" s="442"/>
      <c r="F167" s="442"/>
      <c r="G167" s="443"/>
      <c r="H167" s="479">
        <f>370+45</f>
        <v>415</v>
      </c>
      <c r="I167" s="475"/>
      <c r="J167" s="475"/>
      <c r="K167" s="475"/>
      <c r="L167" s="475"/>
      <c r="M167" s="475"/>
      <c r="N167" s="475"/>
      <c r="O167" s="475"/>
      <c r="P167" s="475"/>
      <c r="Q167" s="475"/>
      <c r="R167" s="475"/>
      <c r="S167" s="475"/>
      <c r="T167" s="475"/>
      <c r="U167" s="476"/>
      <c r="V167" s="473">
        <v>0</v>
      </c>
    </row>
    <row r="168" spans="1:22" s="40" customFormat="1" ht="7.5" customHeight="1">
      <c r="A168" s="413"/>
      <c r="B168" s="409"/>
      <c r="C168" s="410"/>
      <c r="D168" s="410"/>
      <c r="E168" s="410"/>
      <c r="F168" s="410"/>
      <c r="G168" s="411"/>
      <c r="H168" s="415"/>
      <c r="I168" s="477"/>
      <c r="J168" s="477"/>
      <c r="K168" s="477"/>
      <c r="L168" s="477"/>
      <c r="M168" s="477"/>
      <c r="N168" s="477"/>
      <c r="O168" s="477"/>
      <c r="P168" s="477"/>
      <c r="Q168" s="477"/>
      <c r="R168" s="477"/>
      <c r="S168" s="477"/>
      <c r="T168" s="477"/>
      <c r="U168" s="478"/>
      <c r="V168" s="474"/>
    </row>
    <row r="169" spans="1:22" s="40" customFormat="1" ht="22.5" customHeight="1">
      <c r="A169" s="50" t="s">
        <v>119</v>
      </c>
      <c r="B169" s="68" t="s">
        <v>198</v>
      </c>
      <c r="C169" s="69"/>
      <c r="D169" s="69"/>
      <c r="E169" s="69"/>
      <c r="F169" s="69"/>
      <c r="G169" s="69"/>
      <c r="H169" s="70">
        <v>200</v>
      </c>
      <c r="I169" s="68" t="s">
        <v>178</v>
      </c>
      <c r="J169" s="69"/>
      <c r="K169" s="69"/>
      <c r="L169" s="69"/>
      <c r="M169" s="69"/>
      <c r="N169" s="69"/>
      <c r="O169" s="69"/>
      <c r="P169" s="69"/>
      <c r="Q169" s="69"/>
      <c r="R169" s="69"/>
      <c r="S169" s="69"/>
      <c r="T169" s="69"/>
      <c r="U169" s="69"/>
      <c r="V169" s="59">
        <f>800</f>
        <v>800</v>
      </c>
    </row>
    <row r="170" spans="1:22" s="40" customFormat="1" ht="22.5">
      <c r="A170" s="31" t="s">
        <v>120</v>
      </c>
      <c r="B170" s="36"/>
      <c r="C170" s="43"/>
      <c r="D170" s="37"/>
      <c r="E170" s="37"/>
      <c r="F170" s="37"/>
      <c r="G170" s="37"/>
      <c r="H170" s="38">
        <v>0</v>
      </c>
      <c r="I170" s="36" t="s">
        <v>179</v>
      </c>
      <c r="J170" s="37"/>
      <c r="K170" s="37"/>
      <c r="L170" s="37"/>
      <c r="M170" s="37"/>
      <c r="N170" s="37"/>
      <c r="O170" s="37"/>
      <c r="P170" s="37"/>
      <c r="Q170" s="37"/>
      <c r="R170" s="37"/>
      <c r="S170" s="37"/>
      <c r="T170" s="37"/>
      <c r="U170" s="37"/>
      <c r="V170" s="39">
        <v>60</v>
      </c>
    </row>
    <row r="171" spans="1:22" s="40" customFormat="1" ht="23.25" customHeight="1">
      <c r="A171" s="57" t="s">
        <v>121</v>
      </c>
      <c r="B171" s="36"/>
      <c r="C171" s="37"/>
      <c r="D171" s="37"/>
      <c r="E171" s="37"/>
      <c r="F171" s="37"/>
      <c r="G171" s="37"/>
      <c r="H171" s="38">
        <v>0</v>
      </c>
      <c r="I171" s="36" t="s">
        <v>180</v>
      </c>
      <c r="J171" s="37"/>
      <c r="K171" s="37"/>
      <c r="L171" s="37"/>
      <c r="M171" s="37"/>
      <c r="N171" s="37"/>
      <c r="O171" s="37"/>
      <c r="P171" s="37"/>
      <c r="Q171" s="37"/>
      <c r="R171" s="37"/>
      <c r="S171" s="37"/>
      <c r="T171" s="37"/>
      <c r="U171" s="37"/>
      <c r="V171" s="58">
        <v>200</v>
      </c>
    </row>
    <row r="172" spans="1:26" s="40" customFormat="1" ht="12.75" customHeight="1">
      <c r="A172" s="470" t="s">
        <v>122</v>
      </c>
      <c r="B172" s="397" t="s">
        <v>182</v>
      </c>
      <c r="C172" s="459"/>
      <c r="D172" s="459"/>
      <c r="E172" s="459"/>
      <c r="F172" s="459"/>
      <c r="G172" s="460"/>
      <c r="H172" s="449">
        <v>484</v>
      </c>
      <c r="I172" s="397" t="s">
        <v>181</v>
      </c>
      <c r="J172" s="459"/>
      <c r="K172" s="459"/>
      <c r="L172" s="459"/>
      <c r="M172" s="459"/>
      <c r="N172" s="459"/>
      <c r="O172" s="459"/>
      <c r="P172" s="459"/>
      <c r="Q172" s="459"/>
      <c r="R172" s="459"/>
      <c r="S172" s="459"/>
      <c r="T172" s="459"/>
      <c r="U172" s="459"/>
      <c r="V172" s="472">
        <v>1304</v>
      </c>
      <c r="W172" s="8"/>
      <c r="X172" s="8"/>
      <c r="Y172" s="8"/>
      <c r="Z172" s="8"/>
    </row>
    <row r="173" spans="1:26" s="40" customFormat="1" ht="33.75" customHeight="1">
      <c r="A173" s="413"/>
      <c r="B173" s="481"/>
      <c r="C173" s="482"/>
      <c r="D173" s="482"/>
      <c r="E173" s="482"/>
      <c r="F173" s="482"/>
      <c r="G173" s="483"/>
      <c r="H173" s="450"/>
      <c r="I173" s="481"/>
      <c r="J173" s="482"/>
      <c r="K173" s="482"/>
      <c r="L173" s="482"/>
      <c r="M173" s="482"/>
      <c r="N173" s="482"/>
      <c r="O173" s="482"/>
      <c r="P173" s="482"/>
      <c r="Q173" s="482"/>
      <c r="R173" s="482"/>
      <c r="S173" s="482"/>
      <c r="T173" s="482"/>
      <c r="U173" s="482"/>
      <c r="V173" s="415"/>
      <c r="W173" s="8"/>
      <c r="X173" s="8"/>
      <c r="Y173" s="8"/>
      <c r="Z173" s="8"/>
    </row>
    <row r="174" spans="1:22" s="40" customFormat="1" ht="12.75">
      <c r="A174" s="447" t="s">
        <v>123</v>
      </c>
      <c r="B174" s="397" t="s">
        <v>183</v>
      </c>
      <c r="C174" s="398"/>
      <c r="D174" s="398"/>
      <c r="E174" s="398"/>
      <c r="F174" s="398"/>
      <c r="G174" s="399"/>
      <c r="H174" s="414">
        <v>750</v>
      </c>
      <c r="I174" s="606"/>
      <c r="J174" s="614"/>
      <c r="K174" s="614"/>
      <c r="L174" s="614"/>
      <c r="M174" s="614"/>
      <c r="N174" s="614"/>
      <c r="O174" s="614"/>
      <c r="P174" s="614"/>
      <c r="Q174" s="614"/>
      <c r="R174" s="614"/>
      <c r="S174" s="614"/>
      <c r="T174" s="614"/>
      <c r="U174" s="615"/>
      <c r="V174" s="449">
        <v>0</v>
      </c>
    </row>
    <row r="175" spans="1:22" s="40" customFormat="1" ht="39.75" customHeight="1">
      <c r="A175" s="480"/>
      <c r="B175" s="409"/>
      <c r="C175" s="410"/>
      <c r="D175" s="410"/>
      <c r="E175" s="410"/>
      <c r="F175" s="410"/>
      <c r="G175" s="411"/>
      <c r="H175" s="422"/>
      <c r="I175" s="616"/>
      <c r="J175" s="579"/>
      <c r="K175" s="579"/>
      <c r="L175" s="579"/>
      <c r="M175" s="579"/>
      <c r="N175" s="579"/>
      <c r="O175" s="579"/>
      <c r="P175" s="579"/>
      <c r="Q175" s="579"/>
      <c r="R175" s="579"/>
      <c r="S175" s="579"/>
      <c r="T175" s="579"/>
      <c r="U175" s="580"/>
      <c r="V175" s="474"/>
    </row>
    <row r="176" spans="1:22" s="40" customFormat="1" ht="22.5">
      <c r="A176" s="31" t="s">
        <v>124</v>
      </c>
      <c r="B176" s="36"/>
      <c r="C176" s="37"/>
      <c r="D176" s="37"/>
      <c r="E176" s="37"/>
      <c r="F176" s="37"/>
      <c r="G176" s="37"/>
      <c r="H176" s="38">
        <v>0</v>
      </c>
      <c r="I176" s="36"/>
      <c r="J176" s="37"/>
      <c r="K176" s="37"/>
      <c r="L176" s="37"/>
      <c r="M176" s="37"/>
      <c r="N176" s="37"/>
      <c r="O176" s="37"/>
      <c r="P176" s="37"/>
      <c r="Q176" s="37"/>
      <c r="R176" s="37"/>
      <c r="S176" s="37"/>
      <c r="T176" s="37"/>
      <c r="U176" s="37"/>
      <c r="V176" s="39">
        <v>0</v>
      </c>
    </row>
    <row r="177" spans="1:22" ht="33.75" customHeight="1">
      <c r="A177" s="56" t="s">
        <v>56</v>
      </c>
      <c r="B177" s="397" t="s">
        <v>184</v>
      </c>
      <c r="C177" s="398"/>
      <c r="D177" s="398"/>
      <c r="E177" s="398"/>
      <c r="F177" s="398"/>
      <c r="G177" s="399"/>
      <c r="H177" s="72">
        <v>343</v>
      </c>
      <c r="I177" s="68"/>
      <c r="J177" s="73"/>
      <c r="K177" s="73"/>
      <c r="L177" s="73"/>
      <c r="M177" s="73"/>
      <c r="N177" s="73"/>
      <c r="O177" s="73"/>
      <c r="P177" s="73"/>
      <c r="Q177" s="73"/>
      <c r="R177" s="73"/>
      <c r="S177" s="73"/>
      <c r="T177" s="73"/>
      <c r="U177" s="73"/>
      <c r="V177" s="74">
        <v>0</v>
      </c>
    </row>
    <row r="178" spans="1:47" ht="12.75" customHeight="1">
      <c r="A178" s="412" t="s">
        <v>86</v>
      </c>
      <c r="B178" s="416"/>
      <c r="C178" s="417"/>
      <c r="D178" s="417"/>
      <c r="E178" s="417"/>
      <c r="F178" s="417"/>
      <c r="G178" s="418"/>
      <c r="H178" s="430">
        <v>0</v>
      </c>
      <c r="I178" s="547" t="s">
        <v>225</v>
      </c>
      <c r="J178" s="593"/>
      <c r="K178" s="593"/>
      <c r="L178" s="593"/>
      <c r="M178" s="593"/>
      <c r="N178" s="593"/>
      <c r="O178" s="593"/>
      <c r="P178" s="593"/>
      <c r="Q178" s="593"/>
      <c r="R178" s="593"/>
      <c r="S178" s="593"/>
      <c r="T178" s="593"/>
      <c r="U178" s="593"/>
      <c r="V178" s="430">
        <v>2530</v>
      </c>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row>
    <row r="179" spans="1:22" ht="29.25" customHeight="1">
      <c r="A179" s="413"/>
      <c r="B179" s="419"/>
      <c r="C179" s="420"/>
      <c r="D179" s="420"/>
      <c r="E179" s="420"/>
      <c r="F179" s="420"/>
      <c r="G179" s="421"/>
      <c r="H179" s="431"/>
      <c r="I179" s="640"/>
      <c r="J179" s="641"/>
      <c r="K179" s="641"/>
      <c r="L179" s="641"/>
      <c r="M179" s="641"/>
      <c r="N179" s="641"/>
      <c r="O179" s="641"/>
      <c r="P179" s="641"/>
      <c r="Q179" s="641"/>
      <c r="R179" s="641"/>
      <c r="S179" s="641"/>
      <c r="T179" s="641"/>
      <c r="U179" s="641"/>
      <c r="V179" s="431"/>
    </row>
    <row r="180" spans="1:22" s="40" customFormat="1" ht="12.75" customHeight="1">
      <c r="A180" s="412" t="s">
        <v>130</v>
      </c>
      <c r="B180" s="397"/>
      <c r="C180" s="398"/>
      <c r="D180" s="398"/>
      <c r="E180" s="398"/>
      <c r="F180" s="398"/>
      <c r="G180" s="399"/>
      <c r="H180" s="414">
        <v>0</v>
      </c>
      <c r="I180" s="606" t="s">
        <v>185</v>
      </c>
      <c r="J180" s="607"/>
      <c r="K180" s="607"/>
      <c r="L180" s="607"/>
      <c r="M180" s="607"/>
      <c r="N180" s="607"/>
      <c r="O180" s="607"/>
      <c r="P180" s="607"/>
      <c r="Q180" s="607"/>
      <c r="R180" s="607"/>
      <c r="S180" s="607"/>
      <c r="T180" s="607"/>
      <c r="U180" s="608"/>
      <c r="V180" s="449">
        <v>130</v>
      </c>
    </row>
    <row r="181" spans="1:22" s="40" customFormat="1" ht="12.75" customHeight="1">
      <c r="A181" s="413"/>
      <c r="B181" s="409"/>
      <c r="C181" s="410"/>
      <c r="D181" s="410"/>
      <c r="E181" s="410"/>
      <c r="F181" s="410"/>
      <c r="G181" s="411"/>
      <c r="H181" s="415"/>
      <c r="I181" s="578"/>
      <c r="J181" s="609"/>
      <c r="K181" s="609"/>
      <c r="L181" s="609"/>
      <c r="M181" s="609"/>
      <c r="N181" s="609"/>
      <c r="O181" s="609"/>
      <c r="P181" s="609"/>
      <c r="Q181" s="609"/>
      <c r="R181" s="609"/>
      <c r="S181" s="609"/>
      <c r="T181" s="609"/>
      <c r="U181" s="610"/>
      <c r="V181" s="474"/>
    </row>
    <row r="182" spans="1:22" s="40" customFormat="1" ht="102.75" customHeight="1">
      <c r="A182" s="57" t="s">
        <v>70</v>
      </c>
      <c r="B182" s="603" t="s">
        <v>200</v>
      </c>
      <c r="C182" s="604"/>
      <c r="D182" s="604"/>
      <c r="E182" s="604"/>
      <c r="F182" s="604"/>
      <c r="G182" s="604"/>
      <c r="H182" s="153">
        <v>1505</v>
      </c>
      <c r="I182" s="631" t="s">
        <v>186</v>
      </c>
      <c r="J182" s="631"/>
      <c r="K182" s="631"/>
      <c r="L182" s="631"/>
      <c r="M182" s="631"/>
      <c r="N182" s="631"/>
      <c r="O182" s="631"/>
      <c r="P182" s="631"/>
      <c r="Q182" s="631"/>
      <c r="R182" s="631"/>
      <c r="S182" s="631"/>
      <c r="T182" s="631"/>
      <c r="U182" s="632"/>
      <c r="V182" s="39">
        <v>300</v>
      </c>
    </row>
    <row r="183" spans="1:22" s="40" customFormat="1" ht="12.75">
      <c r="A183" s="412" t="s">
        <v>125</v>
      </c>
      <c r="B183" s="397" t="s">
        <v>199</v>
      </c>
      <c r="C183" s="459"/>
      <c r="D183" s="459"/>
      <c r="E183" s="459"/>
      <c r="F183" s="459"/>
      <c r="G183" s="460"/>
      <c r="H183" s="449">
        <f>260+2300</f>
        <v>2560</v>
      </c>
      <c r="I183" s="397" t="s">
        <v>187</v>
      </c>
      <c r="J183" s="398"/>
      <c r="K183" s="398"/>
      <c r="L183" s="398"/>
      <c r="M183" s="398"/>
      <c r="N183" s="398"/>
      <c r="O183" s="398"/>
      <c r="P183" s="398"/>
      <c r="Q183" s="398"/>
      <c r="R183" s="398"/>
      <c r="S183" s="398"/>
      <c r="T183" s="398"/>
      <c r="U183" s="399"/>
      <c r="V183" s="449">
        <v>363</v>
      </c>
    </row>
    <row r="184" spans="1:22" s="40" customFormat="1" ht="109.5" customHeight="1">
      <c r="A184" s="413"/>
      <c r="B184" s="481"/>
      <c r="C184" s="482"/>
      <c r="D184" s="482"/>
      <c r="E184" s="482"/>
      <c r="F184" s="482"/>
      <c r="G184" s="483"/>
      <c r="H184" s="450"/>
      <c r="I184" s="409"/>
      <c r="J184" s="410"/>
      <c r="K184" s="410"/>
      <c r="L184" s="410"/>
      <c r="M184" s="410"/>
      <c r="N184" s="410"/>
      <c r="O184" s="410"/>
      <c r="P184" s="410"/>
      <c r="Q184" s="410"/>
      <c r="R184" s="410"/>
      <c r="S184" s="410"/>
      <c r="T184" s="410"/>
      <c r="U184" s="411"/>
      <c r="V184" s="474"/>
    </row>
    <row r="185" spans="1:22" ht="12.75" customHeight="1">
      <c r="A185" s="412" t="s">
        <v>126</v>
      </c>
      <c r="B185" s="432"/>
      <c r="C185" s="433"/>
      <c r="D185" s="433"/>
      <c r="E185" s="433"/>
      <c r="F185" s="433"/>
      <c r="G185" s="434"/>
      <c r="H185" s="590">
        <v>0</v>
      </c>
      <c r="I185" s="397" t="s">
        <v>188</v>
      </c>
      <c r="J185" s="398"/>
      <c r="K185" s="398"/>
      <c r="L185" s="398"/>
      <c r="M185" s="398"/>
      <c r="N185" s="398"/>
      <c r="O185" s="398"/>
      <c r="P185" s="398"/>
      <c r="Q185" s="398"/>
      <c r="R185" s="398"/>
      <c r="S185" s="398"/>
      <c r="T185" s="398"/>
      <c r="U185" s="399"/>
      <c r="V185" s="590">
        <v>620</v>
      </c>
    </row>
    <row r="186" spans="1:22" ht="12" customHeight="1">
      <c r="A186" s="413"/>
      <c r="B186" s="435"/>
      <c r="C186" s="436"/>
      <c r="D186" s="436"/>
      <c r="E186" s="436"/>
      <c r="F186" s="436"/>
      <c r="G186" s="437"/>
      <c r="H186" s="605"/>
      <c r="I186" s="409"/>
      <c r="J186" s="410"/>
      <c r="K186" s="410"/>
      <c r="L186" s="410"/>
      <c r="M186" s="410"/>
      <c r="N186" s="410"/>
      <c r="O186" s="410"/>
      <c r="P186" s="410"/>
      <c r="Q186" s="410"/>
      <c r="R186" s="410"/>
      <c r="S186" s="410"/>
      <c r="T186" s="410"/>
      <c r="U186" s="411"/>
      <c r="V186" s="474"/>
    </row>
    <row r="187" spans="1:22" s="40" customFormat="1" ht="18.75" customHeight="1">
      <c r="A187" s="50" t="s">
        <v>127</v>
      </c>
      <c r="B187" s="578" t="s">
        <v>189</v>
      </c>
      <c r="C187" s="579"/>
      <c r="D187" s="579"/>
      <c r="E187" s="579"/>
      <c r="F187" s="579"/>
      <c r="G187" s="580"/>
      <c r="H187" s="70">
        <v>700</v>
      </c>
      <c r="I187" s="68" t="s">
        <v>190</v>
      </c>
      <c r="J187" s="69"/>
      <c r="K187" s="69"/>
      <c r="L187" s="69"/>
      <c r="M187" s="69"/>
      <c r="N187" s="69"/>
      <c r="O187" s="69"/>
      <c r="P187" s="69"/>
      <c r="Q187" s="69"/>
      <c r="R187" s="69"/>
      <c r="S187" s="69"/>
      <c r="T187" s="69"/>
      <c r="U187" s="69"/>
      <c r="V187" s="59">
        <v>835</v>
      </c>
    </row>
    <row r="188" spans="1:22" s="40" customFormat="1" ht="31.5" customHeight="1">
      <c r="A188" s="31" t="s">
        <v>131</v>
      </c>
      <c r="B188" s="406" t="s">
        <v>192</v>
      </c>
      <c r="C188" s="407"/>
      <c r="D188" s="407"/>
      <c r="E188" s="407"/>
      <c r="F188" s="407"/>
      <c r="G188" s="408"/>
      <c r="H188" s="38">
        <f>300+200</f>
        <v>500</v>
      </c>
      <c r="I188" s="555" t="s">
        <v>191</v>
      </c>
      <c r="J188" s="601"/>
      <c r="K188" s="601"/>
      <c r="L188" s="601"/>
      <c r="M188" s="601"/>
      <c r="N188" s="601"/>
      <c r="O188" s="601"/>
      <c r="P188" s="601"/>
      <c r="Q188" s="601"/>
      <c r="R188" s="601"/>
      <c r="S188" s="601"/>
      <c r="T188" s="601"/>
      <c r="U188" s="602"/>
      <c r="V188" s="39">
        <v>420</v>
      </c>
    </row>
    <row r="189" spans="1:22" s="40" customFormat="1" ht="12.75" customHeight="1">
      <c r="A189" s="412" t="s">
        <v>128</v>
      </c>
      <c r="B189" s="432"/>
      <c r="C189" s="433"/>
      <c r="D189" s="433"/>
      <c r="E189" s="433"/>
      <c r="F189" s="433"/>
      <c r="G189" s="434"/>
      <c r="H189" s="590">
        <v>0</v>
      </c>
      <c r="I189" s="633" t="s">
        <v>193</v>
      </c>
      <c r="J189" s="634"/>
      <c r="K189" s="634"/>
      <c r="L189" s="634"/>
      <c r="M189" s="634"/>
      <c r="N189" s="634"/>
      <c r="O189" s="634"/>
      <c r="P189" s="634"/>
      <c r="Q189" s="634"/>
      <c r="R189" s="634"/>
      <c r="S189" s="634"/>
      <c r="T189" s="634"/>
      <c r="U189" s="635"/>
      <c r="V189" s="512">
        <v>650</v>
      </c>
    </row>
    <row r="190" spans="1:22" s="40" customFormat="1" ht="12.75" customHeight="1">
      <c r="A190" s="413"/>
      <c r="B190" s="435"/>
      <c r="C190" s="436"/>
      <c r="D190" s="436"/>
      <c r="E190" s="436"/>
      <c r="F190" s="436"/>
      <c r="G190" s="437"/>
      <c r="H190" s="605"/>
      <c r="I190" s="636"/>
      <c r="J190" s="637"/>
      <c r="K190" s="637"/>
      <c r="L190" s="637"/>
      <c r="M190" s="637"/>
      <c r="N190" s="637"/>
      <c r="O190" s="637"/>
      <c r="P190" s="637"/>
      <c r="Q190" s="637"/>
      <c r="R190" s="637"/>
      <c r="S190" s="637"/>
      <c r="T190" s="637"/>
      <c r="U190" s="638"/>
      <c r="V190" s="639"/>
    </row>
    <row r="191" spans="1:22" s="40" customFormat="1" ht="23.25" thickBot="1">
      <c r="A191" s="31" t="s">
        <v>129</v>
      </c>
      <c r="B191" s="36"/>
      <c r="C191" s="37"/>
      <c r="D191" s="37"/>
      <c r="E191" s="37"/>
      <c r="F191" s="37"/>
      <c r="G191" s="37"/>
      <c r="H191" s="38">
        <v>0</v>
      </c>
      <c r="I191" s="36"/>
      <c r="J191" s="37"/>
      <c r="K191" s="37"/>
      <c r="L191" s="37"/>
      <c r="M191" s="37"/>
      <c r="N191" s="37"/>
      <c r="O191" s="37"/>
      <c r="P191" s="37"/>
      <c r="Q191" s="37"/>
      <c r="R191" s="37"/>
      <c r="S191" s="37"/>
      <c r="T191" s="37"/>
      <c r="U191" s="37"/>
      <c r="V191" s="39">
        <v>0</v>
      </c>
    </row>
    <row r="192" spans="1:22" ht="13.5" thickBot="1">
      <c r="A192" s="26" t="s">
        <v>71</v>
      </c>
      <c r="B192" s="27"/>
      <c r="C192" s="28"/>
      <c r="D192" s="28"/>
      <c r="E192" s="28"/>
      <c r="F192" s="28"/>
      <c r="G192" s="28"/>
      <c r="H192" s="29">
        <f>SUM(H193:H216)</f>
        <v>6018</v>
      </c>
      <c r="I192" s="30"/>
      <c r="J192" s="28"/>
      <c r="K192" s="28"/>
      <c r="L192" s="28"/>
      <c r="M192" s="28"/>
      <c r="N192" s="28"/>
      <c r="O192" s="28"/>
      <c r="P192" s="28"/>
      <c r="Q192" s="28"/>
      <c r="R192" s="28"/>
      <c r="S192" s="28"/>
      <c r="T192" s="28"/>
      <c r="U192" s="28"/>
      <c r="V192" s="29">
        <f>SUM(V193:V216)</f>
        <v>11086</v>
      </c>
    </row>
    <row r="193" spans="1:22" s="40" customFormat="1" ht="12.75" customHeight="1">
      <c r="A193" s="440" t="s">
        <v>72</v>
      </c>
      <c r="B193" s="441" t="s">
        <v>155</v>
      </c>
      <c r="C193" s="442"/>
      <c r="D193" s="442"/>
      <c r="E193" s="442"/>
      <c r="F193" s="442"/>
      <c r="G193" s="443"/>
      <c r="H193" s="591">
        <v>100</v>
      </c>
      <c r="I193" s="441" t="s">
        <v>160</v>
      </c>
      <c r="J193" s="442"/>
      <c r="K193" s="442"/>
      <c r="L193" s="442"/>
      <c r="M193" s="442"/>
      <c r="N193" s="442"/>
      <c r="O193" s="442"/>
      <c r="P193" s="442"/>
      <c r="Q193" s="442"/>
      <c r="R193" s="442"/>
      <c r="S193" s="442"/>
      <c r="T193" s="442"/>
      <c r="U193" s="443"/>
      <c r="V193" s="586">
        <v>660</v>
      </c>
    </row>
    <row r="194" spans="1:22" s="40" customFormat="1" ht="19.5" customHeight="1">
      <c r="A194" s="413"/>
      <c r="B194" s="444"/>
      <c r="C194" s="445"/>
      <c r="D194" s="445"/>
      <c r="E194" s="445"/>
      <c r="F194" s="445"/>
      <c r="G194" s="446"/>
      <c r="H194" s="592"/>
      <c r="I194" s="409"/>
      <c r="J194" s="410"/>
      <c r="K194" s="410"/>
      <c r="L194" s="410"/>
      <c r="M194" s="410"/>
      <c r="N194" s="410"/>
      <c r="O194" s="410"/>
      <c r="P194" s="410"/>
      <c r="Q194" s="410"/>
      <c r="R194" s="410"/>
      <c r="S194" s="410"/>
      <c r="T194" s="410"/>
      <c r="U194" s="411"/>
      <c r="V194" s="587"/>
    </row>
    <row r="195" spans="1:22" s="40" customFormat="1" ht="12.75" customHeight="1">
      <c r="A195" s="141" t="s">
        <v>87</v>
      </c>
      <c r="B195" s="406" t="s">
        <v>202</v>
      </c>
      <c r="C195" s="407"/>
      <c r="D195" s="407"/>
      <c r="E195" s="407"/>
      <c r="F195" s="407"/>
      <c r="G195" s="408"/>
      <c r="H195" s="70">
        <v>550</v>
      </c>
      <c r="I195" s="555" t="s">
        <v>156</v>
      </c>
      <c r="J195" s="588"/>
      <c r="K195" s="588"/>
      <c r="L195" s="588"/>
      <c r="M195" s="588"/>
      <c r="N195" s="588"/>
      <c r="O195" s="588"/>
      <c r="P195" s="588"/>
      <c r="Q195" s="588"/>
      <c r="R195" s="588"/>
      <c r="S195" s="588"/>
      <c r="T195" s="588"/>
      <c r="U195" s="589"/>
      <c r="V195" s="59">
        <f>340+250</f>
        <v>590</v>
      </c>
    </row>
    <row r="196" spans="1:22" s="40" customFormat="1" ht="12.75" customHeight="1">
      <c r="A196" s="412" t="s">
        <v>97</v>
      </c>
      <c r="B196" s="397" t="s">
        <v>157</v>
      </c>
      <c r="C196" s="459"/>
      <c r="D196" s="459"/>
      <c r="E196" s="459"/>
      <c r="F196" s="459"/>
      <c r="G196" s="460"/>
      <c r="H196" s="467">
        <f>220+100+500+100+150</f>
        <v>1070</v>
      </c>
      <c r="I196" s="547" t="s">
        <v>226</v>
      </c>
      <c r="J196" s="593"/>
      <c r="K196" s="593"/>
      <c r="L196" s="593"/>
      <c r="M196" s="593"/>
      <c r="N196" s="593"/>
      <c r="O196" s="593"/>
      <c r="P196" s="593"/>
      <c r="Q196" s="593"/>
      <c r="R196" s="593"/>
      <c r="S196" s="593"/>
      <c r="T196" s="593"/>
      <c r="U196" s="594"/>
      <c r="V196" s="467">
        <f>380+100</f>
        <v>480</v>
      </c>
    </row>
    <row r="197" spans="1:22" s="40" customFormat="1" ht="12.75" customHeight="1">
      <c r="A197" s="470"/>
      <c r="B197" s="461"/>
      <c r="C197" s="462"/>
      <c r="D197" s="462"/>
      <c r="E197" s="462"/>
      <c r="F197" s="462"/>
      <c r="G197" s="463"/>
      <c r="H197" s="468"/>
      <c r="I197" s="595"/>
      <c r="J197" s="596"/>
      <c r="K197" s="596"/>
      <c r="L197" s="596"/>
      <c r="M197" s="596"/>
      <c r="N197" s="596"/>
      <c r="O197" s="596"/>
      <c r="P197" s="596"/>
      <c r="Q197" s="596"/>
      <c r="R197" s="596"/>
      <c r="S197" s="596"/>
      <c r="T197" s="596"/>
      <c r="U197" s="597"/>
      <c r="V197" s="468"/>
    </row>
    <row r="198" spans="1:22" s="40" customFormat="1" ht="32.25" customHeight="1" thickBot="1">
      <c r="A198" s="471"/>
      <c r="B198" s="464"/>
      <c r="C198" s="465"/>
      <c r="D198" s="465"/>
      <c r="E198" s="465"/>
      <c r="F198" s="465"/>
      <c r="G198" s="466"/>
      <c r="H198" s="469"/>
      <c r="I198" s="598"/>
      <c r="J198" s="599"/>
      <c r="K198" s="599"/>
      <c r="L198" s="599"/>
      <c r="M198" s="599"/>
      <c r="N198" s="599"/>
      <c r="O198" s="599"/>
      <c r="P198" s="599"/>
      <c r="Q198" s="599"/>
      <c r="R198" s="599"/>
      <c r="S198" s="599"/>
      <c r="T198" s="599"/>
      <c r="U198" s="600"/>
      <c r="V198" s="469"/>
    </row>
    <row r="199" spans="1:22" s="86" customFormat="1" ht="6.75" customHeight="1">
      <c r="A199" s="81"/>
      <c r="B199" s="82"/>
      <c r="C199" s="79"/>
      <c r="D199" s="79"/>
      <c r="E199" s="79"/>
      <c r="F199" s="79"/>
      <c r="G199" s="79"/>
      <c r="H199" s="83"/>
      <c r="I199" s="84"/>
      <c r="J199" s="79"/>
      <c r="K199" s="79"/>
      <c r="L199" s="79"/>
      <c r="M199" s="79"/>
      <c r="N199" s="79"/>
      <c r="O199" s="79"/>
      <c r="P199" s="79"/>
      <c r="Q199" s="79"/>
      <c r="R199" s="79"/>
      <c r="S199" s="79"/>
      <c r="T199" s="79"/>
      <c r="U199" s="79"/>
      <c r="V199" s="85"/>
    </row>
    <row r="200" spans="1:22" ht="23.25" customHeight="1" thickBot="1">
      <c r="A200" s="423" t="s">
        <v>148</v>
      </c>
      <c r="B200" s="423"/>
      <c r="C200" s="423"/>
      <c r="D200" s="423"/>
      <c r="E200" s="423"/>
      <c r="F200" s="423"/>
      <c r="G200" s="423"/>
      <c r="H200" s="423"/>
      <c r="I200" s="423"/>
      <c r="J200" s="423"/>
      <c r="K200" s="423"/>
      <c r="L200" s="423"/>
      <c r="M200" s="423"/>
      <c r="N200" s="423"/>
      <c r="O200" s="423"/>
      <c r="P200" s="423"/>
      <c r="Q200" s="423"/>
      <c r="R200" s="423"/>
      <c r="S200" s="423"/>
      <c r="T200" s="423"/>
      <c r="U200" s="423"/>
      <c r="V200" s="423"/>
    </row>
    <row r="201" spans="1:34" ht="22.5">
      <c r="A201" s="18" t="s">
        <v>3</v>
      </c>
      <c r="B201" s="139" t="s">
        <v>89</v>
      </c>
      <c r="C201" s="139"/>
      <c r="D201" s="139"/>
      <c r="E201" s="139"/>
      <c r="F201" s="139"/>
      <c r="G201" s="140"/>
      <c r="H201" s="19" t="s">
        <v>32</v>
      </c>
      <c r="I201" s="424" t="s">
        <v>88</v>
      </c>
      <c r="J201" s="425"/>
      <c r="K201" s="425"/>
      <c r="L201" s="425"/>
      <c r="M201" s="425"/>
      <c r="N201" s="425"/>
      <c r="O201" s="425"/>
      <c r="P201" s="425"/>
      <c r="Q201" s="425"/>
      <c r="R201" s="425"/>
      <c r="S201" s="425"/>
      <c r="T201" s="425"/>
      <c r="U201" s="426"/>
      <c r="V201" s="20" t="s">
        <v>32</v>
      </c>
      <c r="W201" s="16"/>
      <c r="X201" s="17"/>
      <c r="Y201" s="451"/>
      <c r="Z201" s="452"/>
      <c r="AC201" s="17"/>
      <c r="AH201" s="17"/>
    </row>
    <row r="202" spans="1:34" ht="13.5" thickBot="1">
      <c r="A202" s="21"/>
      <c r="B202" s="22" t="s">
        <v>64</v>
      </c>
      <c r="C202" s="22"/>
      <c r="D202" s="22"/>
      <c r="E202" s="22"/>
      <c r="F202" s="22"/>
      <c r="G202" s="23"/>
      <c r="H202" s="24" t="s">
        <v>65</v>
      </c>
      <c r="I202" s="427"/>
      <c r="J202" s="428"/>
      <c r="K202" s="428"/>
      <c r="L202" s="428"/>
      <c r="M202" s="428"/>
      <c r="N202" s="428"/>
      <c r="O202" s="428"/>
      <c r="P202" s="428"/>
      <c r="Q202" s="428"/>
      <c r="R202" s="428"/>
      <c r="S202" s="428"/>
      <c r="T202" s="428"/>
      <c r="U202" s="429"/>
      <c r="V202" s="25" t="s">
        <v>66</v>
      </c>
      <c r="W202" s="16"/>
      <c r="X202" s="17"/>
      <c r="Y202" s="451"/>
      <c r="Z202" s="452"/>
      <c r="AC202" s="17"/>
      <c r="AH202" s="17"/>
    </row>
    <row r="203" spans="1:22" ht="24.75" customHeight="1">
      <c r="A203" s="87" t="s">
        <v>37</v>
      </c>
      <c r="B203" s="403" t="s">
        <v>158</v>
      </c>
      <c r="C203" s="404"/>
      <c r="D203" s="404"/>
      <c r="E203" s="404"/>
      <c r="F203" s="404"/>
      <c r="G203" s="405"/>
      <c r="H203" s="54">
        <f>100+110</f>
        <v>210</v>
      </c>
      <c r="I203" s="575" t="s">
        <v>159</v>
      </c>
      <c r="J203" s="576"/>
      <c r="K203" s="576"/>
      <c r="L203" s="576"/>
      <c r="M203" s="576"/>
      <c r="N203" s="576"/>
      <c r="O203" s="576"/>
      <c r="P203" s="576"/>
      <c r="Q203" s="576"/>
      <c r="R203" s="576"/>
      <c r="S203" s="576"/>
      <c r="T203" s="576"/>
      <c r="U203" s="577"/>
      <c r="V203" s="88">
        <v>300</v>
      </c>
    </row>
    <row r="204" spans="1:22" s="40" customFormat="1" ht="12.75" customHeight="1">
      <c r="A204" s="141" t="s">
        <v>91</v>
      </c>
      <c r="B204" s="578"/>
      <c r="C204" s="579"/>
      <c r="D204" s="579"/>
      <c r="E204" s="579"/>
      <c r="F204" s="579"/>
      <c r="G204" s="580"/>
      <c r="H204" s="70">
        <v>0</v>
      </c>
      <c r="I204" s="583" t="s">
        <v>170</v>
      </c>
      <c r="J204" s="584"/>
      <c r="K204" s="584"/>
      <c r="L204" s="584"/>
      <c r="M204" s="584"/>
      <c r="N204" s="584"/>
      <c r="O204" s="584"/>
      <c r="P204" s="584"/>
      <c r="Q204" s="584"/>
      <c r="R204" s="584"/>
      <c r="S204" s="584"/>
      <c r="T204" s="584"/>
      <c r="U204" s="585"/>
      <c r="V204" s="147">
        <f>100+400</f>
        <v>500</v>
      </c>
    </row>
    <row r="205" spans="1:22" s="40" customFormat="1" ht="37.5" customHeight="1">
      <c r="A205" s="141" t="s">
        <v>92</v>
      </c>
      <c r="B205" s="406"/>
      <c r="C205" s="438"/>
      <c r="D205" s="438"/>
      <c r="E205" s="438"/>
      <c r="F205" s="438"/>
      <c r="G205" s="439"/>
      <c r="H205" s="38">
        <v>0</v>
      </c>
      <c r="I205" s="36"/>
      <c r="J205" s="37"/>
      <c r="K205" s="37"/>
      <c r="L205" s="37"/>
      <c r="M205" s="37"/>
      <c r="N205" s="37"/>
      <c r="O205" s="37"/>
      <c r="P205" s="37"/>
      <c r="Q205" s="37"/>
      <c r="R205" s="37"/>
      <c r="S205" s="37"/>
      <c r="T205" s="37"/>
      <c r="U205" s="37"/>
      <c r="V205" s="39">
        <v>0</v>
      </c>
    </row>
    <row r="206" spans="1:22" s="92" customFormat="1" ht="24.75" customHeight="1">
      <c r="A206" s="89" t="s">
        <v>38</v>
      </c>
      <c r="B206" s="509" t="s">
        <v>161</v>
      </c>
      <c r="C206" s="581"/>
      <c r="D206" s="581"/>
      <c r="E206" s="581"/>
      <c r="F206" s="581"/>
      <c r="G206" s="582"/>
      <c r="H206" s="90">
        <v>846</v>
      </c>
      <c r="I206" s="509"/>
      <c r="J206" s="510"/>
      <c r="K206" s="510"/>
      <c r="L206" s="510"/>
      <c r="M206" s="510"/>
      <c r="N206" s="510"/>
      <c r="O206" s="510"/>
      <c r="P206" s="510"/>
      <c r="Q206" s="510"/>
      <c r="R206" s="510"/>
      <c r="S206" s="510"/>
      <c r="T206" s="510"/>
      <c r="U206" s="511"/>
      <c r="V206" s="91">
        <v>0</v>
      </c>
    </row>
    <row r="207" spans="1:22" s="40" customFormat="1" ht="12.75" customHeight="1">
      <c r="A207" s="31" t="s">
        <v>39</v>
      </c>
      <c r="B207" s="36"/>
      <c r="C207" s="37"/>
      <c r="D207" s="37"/>
      <c r="E207" s="37"/>
      <c r="F207" s="37"/>
      <c r="G207" s="37"/>
      <c r="H207" s="38">
        <v>0</v>
      </c>
      <c r="I207" s="36" t="s">
        <v>162</v>
      </c>
      <c r="J207" s="37"/>
      <c r="K207" s="37"/>
      <c r="L207" s="37"/>
      <c r="M207" s="37"/>
      <c r="N207" s="37"/>
      <c r="O207" s="37"/>
      <c r="P207" s="37"/>
      <c r="Q207" s="37"/>
      <c r="R207" s="37"/>
      <c r="S207" s="37"/>
      <c r="T207" s="37"/>
      <c r="U207" s="37"/>
      <c r="V207" s="39">
        <f>480+320</f>
        <v>800</v>
      </c>
    </row>
    <row r="208" spans="1:22" s="40" customFormat="1" ht="65.25" customHeight="1">
      <c r="A208" s="31" t="s">
        <v>40</v>
      </c>
      <c r="B208" s="406" t="s">
        <v>163</v>
      </c>
      <c r="C208" s="438"/>
      <c r="D208" s="438"/>
      <c r="E208" s="438"/>
      <c r="F208" s="438"/>
      <c r="G208" s="439"/>
      <c r="H208" s="38">
        <f>100+150+150+100+600+600</f>
        <v>1700</v>
      </c>
      <c r="I208" s="406" t="s">
        <v>227</v>
      </c>
      <c r="J208" s="407"/>
      <c r="K208" s="407"/>
      <c r="L208" s="407"/>
      <c r="M208" s="407"/>
      <c r="N208" s="407"/>
      <c r="O208" s="407"/>
      <c r="P208" s="407"/>
      <c r="Q208" s="407"/>
      <c r="R208" s="407"/>
      <c r="S208" s="407"/>
      <c r="T208" s="407"/>
      <c r="U208" s="408"/>
      <c r="V208" s="39">
        <f>350+250</f>
        <v>600</v>
      </c>
    </row>
    <row r="209" spans="1:22" s="40" customFormat="1" ht="24" customHeight="1">
      <c r="A209" s="31" t="s">
        <v>93</v>
      </c>
      <c r="B209" s="406" t="s">
        <v>164</v>
      </c>
      <c r="C209" s="407"/>
      <c r="D209" s="407"/>
      <c r="E209" s="407"/>
      <c r="F209" s="407"/>
      <c r="G209" s="408"/>
      <c r="H209" s="38">
        <f>250+350</f>
        <v>600</v>
      </c>
      <c r="I209" s="32"/>
      <c r="J209" s="37"/>
      <c r="K209" s="37"/>
      <c r="L209" s="37"/>
      <c r="M209" s="37"/>
      <c r="N209" s="37"/>
      <c r="O209" s="37"/>
      <c r="P209" s="37"/>
      <c r="Q209" s="37"/>
      <c r="R209" s="37"/>
      <c r="S209" s="37"/>
      <c r="T209" s="37"/>
      <c r="U209" s="37"/>
      <c r="V209" s="39">
        <v>0</v>
      </c>
    </row>
    <row r="210" spans="1:22" s="40" customFormat="1" ht="22.5" customHeight="1">
      <c r="A210" s="148" t="s">
        <v>41</v>
      </c>
      <c r="B210" s="509" t="s">
        <v>165</v>
      </c>
      <c r="C210" s="510"/>
      <c r="D210" s="510"/>
      <c r="E210" s="510"/>
      <c r="F210" s="510"/>
      <c r="G210" s="511"/>
      <c r="H210" s="90">
        <v>202</v>
      </c>
      <c r="I210" s="36"/>
      <c r="J210" s="37"/>
      <c r="K210" s="37"/>
      <c r="L210" s="37"/>
      <c r="M210" s="37"/>
      <c r="N210" s="37"/>
      <c r="O210" s="37"/>
      <c r="P210" s="37"/>
      <c r="Q210" s="37"/>
      <c r="R210" s="37"/>
      <c r="S210" s="37"/>
      <c r="T210" s="37"/>
      <c r="U210" s="37"/>
      <c r="V210" s="39">
        <v>0</v>
      </c>
    </row>
    <row r="211" spans="1:22" s="40" customFormat="1" ht="33.75" customHeight="1">
      <c r="A211" s="55" t="s">
        <v>73</v>
      </c>
      <c r="B211" s="36"/>
      <c r="C211" s="37"/>
      <c r="D211" s="37"/>
      <c r="E211" s="37"/>
      <c r="F211" s="37"/>
      <c r="G211" s="37"/>
      <c r="H211" s="38">
        <v>0</v>
      </c>
      <c r="I211" s="555" t="s">
        <v>228</v>
      </c>
      <c r="J211" s="556"/>
      <c r="K211" s="556"/>
      <c r="L211" s="556"/>
      <c r="M211" s="556"/>
      <c r="N211" s="556"/>
      <c r="O211" s="556"/>
      <c r="P211" s="556"/>
      <c r="Q211" s="556"/>
      <c r="R211" s="556"/>
      <c r="S211" s="556"/>
      <c r="T211" s="556"/>
      <c r="U211" s="557"/>
      <c r="V211" s="39">
        <f>400+3461+50+100</f>
        <v>4011</v>
      </c>
    </row>
    <row r="212" spans="1:22" s="40" customFormat="1" ht="12.75" customHeight="1">
      <c r="A212" s="55" t="s">
        <v>42</v>
      </c>
      <c r="B212" s="36"/>
      <c r="C212" s="37"/>
      <c r="D212" s="37"/>
      <c r="E212" s="37"/>
      <c r="F212" s="37"/>
      <c r="G212" s="37"/>
      <c r="H212" s="38">
        <v>0</v>
      </c>
      <c r="I212" s="572" t="s">
        <v>166</v>
      </c>
      <c r="J212" s="573"/>
      <c r="K212" s="573"/>
      <c r="L212" s="573"/>
      <c r="M212" s="573"/>
      <c r="N212" s="573"/>
      <c r="O212" s="573"/>
      <c r="P212" s="573"/>
      <c r="Q212" s="573"/>
      <c r="R212" s="573"/>
      <c r="S212" s="573"/>
      <c r="T212" s="573"/>
      <c r="U212" s="574"/>
      <c r="V212" s="39">
        <f>235+75</f>
        <v>310</v>
      </c>
    </row>
    <row r="213" spans="1:22" s="40" customFormat="1" ht="12.75" customHeight="1">
      <c r="A213" s="412" t="s">
        <v>43</v>
      </c>
      <c r="B213" s="397"/>
      <c r="C213" s="459"/>
      <c r="D213" s="459"/>
      <c r="E213" s="459"/>
      <c r="F213" s="459"/>
      <c r="G213" s="460"/>
      <c r="H213" s="449">
        <v>0</v>
      </c>
      <c r="I213" s="561" t="s">
        <v>229</v>
      </c>
      <c r="J213" s="562"/>
      <c r="K213" s="562"/>
      <c r="L213" s="562"/>
      <c r="M213" s="562"/>
      <c r="N213" s="562"/>
      <c r="O213" s="562"/>
      <c r="P213" s="562"/>
      <c r="Q213" s="562"/>
      <c r="R213" s="562"/>
      <c r="S213" s="562"/>
      <c r="T213" s="562"/>
      <c r="U213" s="563"/>
      <c r="V213" s="449">
        <f>100+200+80+380</f>
        <v>760</v>
      </c>
    </row>
    <row r="214" spans="1:22" s="40" customFormat="1" ht="12.75" customHeight="1">
      <c r="A214" s="413"/>
      <c r="B214" s="481"/>
      <c r="C214" s="482"/>
      <c r="D214" s="482"/>
      <c r="E214" s="482"/>
      <c r="F214" s="482"/>
      <c r="G214" s="483"/>
      <c r="H214" s="450"/>
      <c r="I214" s="564"/>
      <c r="J214" s="565"/>
      <c r="K214" s="565"/>
      <c r="L214" s="565"/>
      <c r="M214" s="565"/>
      <c r="N214" s="565"/>
      <c r="O214" s="565"/>
      <c r="P214" s="565"/>
      <c r="Q214" s="565"/>
      <c r="R214" s="565"/>
      <c r="S214" s="565"/>
      <c r="T214" s="565"/>
      <c r="U214" s="566"/>
      <c r="V214" s="450"/>
    </row>
    <row r="215" spans="1:22" s="40" customFormat="1" ht="36.75" customHeight="1">
      <c r="A215" s="142" t="s">
        <v>95</v>
      </c>
      <c r="B215" s="406" t="s">
        <v>167</v>
      </c>
      <c r="C215" s="438"/>
      <c r="D215" s="438"/>
      <c r="E215" s="438"/>
      <c r="F215" s="438"/>
      <c r="G215" s="439"/>
      <c r="H215" s="38">
        <f>200+100+200+240</f>
        <v>740</v>
      </c>
      <c r="I215" s="406" t="s">
        <v>168</v>
      </c>
      <c r="J215" s="438"/>
      <c r="K215" s="438"/>
      <c r="L215" s="438"/>
      <c r="M215" s="438"/>
      <c r="N215" s="438"/>
      <c r="O215" s="438"/>
      <c r="P215" s="438"/>
      <c r="Q215" s="438"/>
      <c r="R215" s="438"/>
      <c r="S215" s="438"/>
      <c r="T215" s="438"/>
      <c r="U215" s="439"/>
      <c r="V215" s="39">
        <f>900+150+250+315</f>
        <v>1615</v>
      </c>
    </row>
    <row r="216" spans="1:22" s="40" customFormat="1" ht="21" customHeight="1" thickBot="1">
      <c r="A216" s="187" t="s">
        <v>96</v>
      </c>
      <c r="B216" s="567"/>
      <c r="C216" s="568"/>
      <c r="D216" s="568"/>
      <c r="E216" s="568"/>
      <c r="F216" s="568"/>
      <c r="G216" s="569"/>
      <c r="H216" s="38">
        <v>0</v>
      </c>
      <c r="I216" s="400" t="s">
        <v>169</v>
      </c>
      <c r="J216" s="570"/>
      <c r="K216" s="570"/>
      <c r="L216" s="570"/>
      <c r="M216" s="570"/>
      <c r="N216" s="570"/>
      <c r="O216" s="570"/>
      <c r="P216" s="570"/>
      <c r="Q216" s="570"/>
      <c r="R216" s="570"/>
      <c r="S216" s="570"/>
      <c r="T216" s="570"/>
      <c r="U216" s="571"/>
      <c r="V216" s="39">
        <f>130+135+135+60</f>
        <v>460</v>
      </c>
    </row>
    <row r="217" spans="1:22" s="40" customFormat="1" ht="12.75" customHeight="1" thickBot="1">
      <c r="A217" s="26" t="s">
        <v>44</v>
      </c>
      <c r="B217" s="93"/>
      <c r="C217" s="94"/>
      <c r="D217" s="94"/>
      <c r="E217" s="94"/>
      <c r="F217" s="94"/>
      <c r="G217" s="94"/>
      <c r="H217" s="29">
        <f>SUM(H218)</f>
        <v>0</v>
      </c>
      <c r="I217" s="93"/>
      <c r="J217" s="94"/>
      <c r="K217" s="94"/>
      <c r="L217" s="94"/>
      <c r="M217" s="94"/>
      <c r="N217" s="94"/>
      <c r="O217" s="94"/>
      <c r="P217" s="94"/>
      <c r="Q217" s="94"/>
      <c r="R217" s="94"/>
      <c r="S217" s="94"/>
      <c r="T217" s="94"/>
      <c r="U217" s="95"/>
      <c r="V217" s="29">
        <f>SUM(V218)</f>
        <v>210</v>
      </c>
    </row>
    <row r="218" spans="1:22" s="40" customFormat="1" ht="23.25" customHeight="1" thickBot="1">
      <c r="A218" s="96" t="s">
        <v>134</v>
      </c>
      <c r="B218" s="97"/>
      <c r="C218" s="98"/>
      <c r="D218" s="98"/>
      <c r="E218" s="98"/>
      <c r="F218" s="98"/>
      <c r="G218" s="98"/>
      <c r="H218" s="99">
        <v>0</v>
      </c>
      <c r="I218" s="100" t="s">
        <v>173</v>
      </c>
      <c r="J218" s="98"/>
      <c r="K218" s="98"/>
      <c r="L218" s="98"/>
      <c r="M218" s="98"/>
      <c r="N218" s="98"/>
      <c r="O218" s="98"/>
      <c r="P218" s="98"/>
      <c r="Q218" s="98"/>
      <c r="R218" s="98"/>
      <c r="S218" s="98"/>
      <c r="T218" s="98"/>
      <c r="U218" s="98"/>
      <c r="V218" s="99">
        <v>210</v>
      </c>
    </row>
    <row r="219" spans="1:22" ht="12.75" customHeight="1" thickBot="1">
      <c r="A219" s="101" t="s">
        <v>22</v>
      </c>
      <c r="B219" s="97"/>
      <c r="C219" s="98"/>
      <c r="D219" s="98"/>
      <c r="E219" s="98"/>
      <c r="F219" s="98"/>
      <c r="G219" s="98"/>
      <c r="H219" s="102">
        <f>SUM(H220+H222)</f>
        <v>0</v>
      </c>
      <c r="I219" s="97"/>
      <c r="J219" s="98"/>
      <c r="K219" s="98"/>
      <c r="L219" s="98"/>
      <c r="M219" s="98"/>
      <c r="N219" s="98"/>
      <c r="O219" s="98"/>
      <c r="P219" s="98"/>
      <c r="Q219" s="98"/>
      <c r="R219" s="98"/>
      <c r="S219" s="98"/>
      <c r="T219" s="98"/>
      <c r="U219" s="98"/>
      <c r="V219" s="102">
        <f>SUM(V220)</f>
        <v>0</v>
      </c>
    </row>
    <row r="220" spans="1:22" ht="12.75" customHeight="1">
      <c r="A220" s="516" t="s">
        <v>74</v>
      </c>
      <c r="B220" s="529"/>
      <c r="C220" s="530"/>
      <c r="D220" s="530"/>
      <c r="E220" s="530"/>
      <c r="F220" s="530"/>
      <c r="G220" s="531"/>
      <c r="H220" s="558"/>
      <c r="I220" s="519"/>
      <c r="J220" s="520"/>
      <c r="K220" s="520"/>
      <c r="L220" s="520"/>
      <c r="M220" s="520"/>
      <c r="N220" s="520"/>
      <c r="O220" s="520"/>
      <c r="P220" s="520"/>
      <c r="Q220" s="520"/>
      <c r="R220" s="520"/>
      <c r="S220" s="520"/>
      <c r="T220" s="520"/>
      <c r="U220" s="521"/>
      <c r="V220" s="514"/>
    </row>
    <row r="221" spans="1:22" ht="12.75" customHeight="1" hidden="1">
      <c r="A221" s="517"/>
      <c r="B221" s="532"/>
      <c r="C221" s="533"/>
      <c r="D221" s="533"/>
      <c r="E221" s="533"/>
      <c r="F221" s="533"/>
      <c r="G221" s="534"/>
      <c r="H221" s="559"/>
      <c r="I221" s="522"/>
      <c r="J221" s="523"/>
      <c r="K221" s="523"/>
      <c r="L221" s="523"/>
      <c r="M221" s="523"/>
      <c r="N221" s="523"/>
      <c r="O221" s="523"/>
      <c r="P221" s="523"/>
      <c r="Q221" s="523"/>
      <c r="R221" s="523"/>
      <c r="S221" s="523"/>
      <c r="T221" s="523"/>
      <c r="U221" s="524"/>
      <c r="V221" s="528"/>
    </row>
    <row r="222" spans="1:22" ht="57" customHeight="1" thickBot="1">
      <c r="A222" s="518"/>
      <c r="B222" s="535"/>
      <c r="C222" s="536"/>
      <c r="D222" s="536"/>
      <c r="E222" s="536"/>
      <c r="F222" s="536"/>
      <c r="G222" s="537"/>
      <c r="H222" s="560"/>
      <c r="I222" s="525"/>
      <c r="J222" s="526"/>
      <c r="K222" s="526"/>
      <c r="L222" s="526"/>
      <c r="M222" s="526"/>
      <c r="N222" s="526"/>
      <c r="O222" s="526"/>
      <c r="P222" s="526"/>
      <c r="Q222" s="526"/>
      <c r="R222" s="526"/>
      <c r="S222" s="526"/>
      <c r="T222" s="526"/>
      <c r="U222" s="527"/>
      <c r="V222" s="450"/>
    </row>
    <row r="223" spans="1:22" ht="12.75" customHeight="1" thickBot="1">
      <c r="A223" s="26" t="s">
        <v>75</v>
      </c>
      <c r="B223" s="27"/>
      <c r="C223" s="28"/>
      <c r="D223" s="28"/>
      <c r="E223" s="28"/>
      <c r="F223" s="28"/>
      <c r="G223" s="28"/>
      <c r="H223" s="29">
        <f>SUM(H224+H225+H226+H227+H228)</f>
        <v>0</v>
      </c>
      <c r="I223" s="28"/>
      <c r="J223" s="28"/>
      <c r="K223" s="28"/>
      <c r="L223" s="28"/>
      <c r="M223" s="28"/>
      <c r="N223" s="28"/>
      <c r="O223" s="28"/>
      <c r="P223" s="28"/>
      <c r="Q223" s="28"/>
      <c r="R223" s="28"/>
      <c r="S223" s="28"/>
      <c r="T223" s="28"/>
      <c r="U223" s="28"/>
      <c r="V223" s="29">
        <f>SUM(V224+V225+V226+V227+V228)</f>
        <v>0</v>
      </c>
    </row>
    <row r="224" spans="1:22" ht="12.75" customHeight="1">
      <c r="A224" s="105" t="s">
        <v>136</v>
      </c>
      <c r="B224" s="106"/>
      <c r="C224" s="106"/>
      <c r="D224" s="106"/>
      <c r="E224" s="106"/>
      <c r="F224" s="106"/>
      <c r="G224" s="106"/>
      <c r="H224" s="107">
        <v>0</v>
      </c>
      <c r="I224" s="106"/>
      <c r="J224" s="106"/>
      <c r="K224" s="106"/>
      <c r="L224" s="106"/>
      <c r="M224" s="106"/>
      <c r="N224" s="106"/>
      <c r="O224" s="106"/>
      <c r="P224" s="106"/>
      <c r="Q224" s="106"/>
      <c r="R224" s="106"/>
      <c r="S224" s="106"/>
      <c r="T224" s="106"/>
      <c r="U224" s="106"/>
      <c r="V224" s="88">
        <v>0</v>
      </c>
    </row>
    <row r="225" spans="1:22" ht="12.75">
      <c r="A225" s="108" t="s">
        <v>24</v>
      </c>
      <c r="B225" s="109"/>
      <c r="C225" s="110"/>
      <c r="D225" s="110"/>
      <c r="E225" s="110"/>
      <c r="F225" s="110"/>
      <c r="G225" s="110"/>
      <c r="H225" s="35">
        <v>0</v>
      </c>
      <c r="I225" s="111"/>
      <c r="J225" s="112"/>
      <c r="K225" s="112"/>
      <c r="L225" s="112"/>
      <c r="M225" s="112"/>
      <c r="N225" s="112"/>
      <c r="O225" s="112"/>
      <c r="P225" s="112"/>
      <c r="Q225" s="112"/>
      <c r="R225" s="112"/>
      <c r="S225" s="112"/>
      <c r="T225" s="112"/>
      <c r="U225" s="112"/>
      <c r="V225" s="113">
        <v>0</v>
      </c>
    </row>
    <row r="226" spans="1:22" s="86" customFormat="1" ht="12.75" customHeight="1">
      <c r="A226" s="114" t="s">
        <v>25</v>
      </c>
      <c r="B226" s="115"/>
      <c r="C226" s="116"/>
      <c r="D226" s="116"/>
      <c r="E226" s="116"/>
      <c r="F226" s="116"/>
      <c r="G226" s="116"/>
      <c r="H226" s="70">
        <v>0</v>
      </c>
      <c r="I226" s="117"/>
      <c r="J226" s="118"/>
      <c r="K226" s="118"/>
      <c r="L226" s="118"/>
      <c r="M226" s="118"/>
      <c r="N226" s="118"/>
      <c r="O226" s="118"/>
      <c r="P226" s="118"/>
      <c r="Q226" s="118"/>
      <c r="R226" s="118"/>
      <c r="S226" s="118"/>
      <c r="T226" s="118"/>
      <c r="U226" s="118"/>
      <c r="V226" s="59">
        <v>0</v>
      </c>
    </row>
    <row r="227" spans="1:22" ht="12.75">
      <c r="A227" s="119" t="s">
        <v>26</v>
      </c>
      <c r="B227" s="120"/>
      <c r="C227" s="77"/>
      <c r="D227" s="77"/>
      <c r="E227" s="77"/>
      <c r="F227" s="77"/>
      <c r="G227" s="77"/>
      <c r="H227" s="78">
        <v>0</v>
      </c>
      <c r="I227" s="68"/>
      <c r="J227" s="77"/>
      <c r="K227" s="77"/>
      <c r="L227" s="77"/>
      <c r="M227" s="77"/>
      <c r="N227" s="77"/>
      <c r="O227" s="77"/>
      <c r="P227" s="77"/>
      <c r="Q227" s="77"/>
      <c r="R227" s="77"/>
      <c r="S227" s="77"/>
      <c r="T227" s="77"/>
      <c r="U227" s="77"/>
      <c r="V227" s="72">
        <v>0</v>
      </c>
    </row>
    <row r="228" spans="1:22" ht="13.5" thickBot="1">
      <c r="A228" s="121" t="s">
        <v>36</v>
      </c>
      <c r="B228" s="103"/>
      <c r="C228" s="104"/>
      <c r="D228" s="104"/>
      <c r="E228" s="104"/>
      <c r="F228" s="104"/>
      <c r="G228" s="104"/>
      <c r="H228" s="122">
        <v>0</v>
      </c>
      <c r="I228" s="123"/>
      <c r="J228" s="104"/>
      <c r="K228" s="104"/>
      <c r="L228" s="104"/>
      <c r="M228" s="104"/>
      <c r="N228" s="104"/>
      <c r="O228" s="104"/>
      <c r="P228" s="104"/>
      <c r="Q228" s="104"/>
      <c r="R228" s="104"/>
      <c r="S228" s="104"/>
      <c r="T228" s="104"/>
      <c r="U228" s="104"/>
      <c r="V228" s="80">
        <v>0</v>
      </c>
    </row>
    <row r="229" spans="1:22" ht="13.5" thickBot="1">
      <c r="A229" s="26" t="s">
        <v>27</v>
      </c>
      <c r="B229" s="27"/>
      <c r="C229" s="28"/>
      <c r="D229" s="28"/>
      <c r="E229" s="28"/>
      <c r="F229" s="28"/>
      <c r="G229" s="28"/>
      <c r="H229" s="29">
        <f>SUM(H230:H230)</f>
        <v>227</v>
      </c>
      <c r="I229" s="27"/>
      <c r="J229" s="28"/>
      <c r="K229" s="28"/>
      <c r="L229" s="28"/>
      <c r="M229" s="28"/>
      <c r="N229" s="28"/>
      <c r="O229" s="28"/>
      <c r="P229" s="28"/>
      <c r="Q229" s="28"/>
      <c r="R229" s="28"/>
      <c r="S229" s="28"/>
      <c r="T229" s="28"/>
      <c r="U229" s="28"/>
      <c r="V229" s="29">
        <f>SUM(V230:V230)</f>
        <v>0</v>
      </c>
    </row>
    <row r="230" spans="1:22" ht="12.75">
      <c r="A230" s="516" t="s">
        <v>132</v>
      </c>
      <c r="B230" s="541" t="s">
        <v>194</v>
      </c>
      <c r="C230" s="542"/>
      <c r="D230" s="542"/>
      <c r="E230" s="542"/>
      <c r="F230" s="542"/>
      <c r="G230" s="543"/>
      <c r="H230" s="514">
        <v>227</v>
      </c>
      <c r="I230" s="541"/>
      <c r="J230" s="442"/>
      <c r="K230" s="442"/>
      <c r="L230" s="442"/>
      <c r="M230" s="442"/>
      <c r="N230" s="442"/>
      <c r="O230" s="442"/>
      <c r="P230" s="442"/>
      <c r="Q230" s="442"/>
      <c r="R230" s="442"/>
      <c r="S230" s="442"/>
      <c r="T230" s="442"/>
      <c r="U230" s="443"/>
      <c r="V230" s="586">
        <v>0</v>
      </c>
    </row>
    <row r="231" spans="1:22" ht="34.5" customHeight="1" thickBot="1">
      <c r="A231" s="518"/>
      <c r="B231" s="544"/>
      <c r="C231" s="545"/>
      <c r="D231" s="545"/>
      <c r="E231" s="545"/>
      <c r="F231" s="545"/>
      <c r="G231" s="546"/>
      <c r="H231" s="515"/>
      <c r="I231" s="548"/>
      <c r="J231" s="549"/>
      <c r="K231" s="549"/>
      <c r="L231" s="549"/>
      <c r="M231" s="549"/>
      <c r="N231" s="549"/>
      <c r="O231" s="549"/>
      <c r="P231" s="549"/>
      <c r="Q231" s="549"/>
      <c r="R231" s="549"/>
      <c r="S231" s="549"/>
      <c r="T231" s="549"/>
      <c r="U231" s="550"/>
      <c r="V231" s="513"/>
    </row>
    <row r="232" spans="1:22" ht="13.5" thickBot="1">
      <c r="A232" s="26" t="s">
        <v>76</v>
      </c>
      <c r="B232" s="27"/>
      <c r="C232" s="28"/>
      <c r="D232" s="28"/>
      <c r="E232" s="28"/>
      <c r="F232" s="28"/>
      <c r="G232" s="28"/>
      <c r="H232" s="29">
        <f>SUM(H233:H235)</f>
        <v>0</v>
      </c>
      <c r="I232" s="27"/>
      <c r="J232" s="28"/>
      <c r="K232" s="28"/>
      <c r="L232" s="28"/>
      <c r="M232" s="28"/>
      <c r="N232" s="28"/>
      <c r="O232" s="28"/>
      <c r="P232" s="28"/>
      <c r="Q232" s="28"/>
      <c r="R232" s="28"/>
      <c r="S232" s="28"/>
      <c r="T232" s="28"/>
      <c r="U232" s="28"/>
      <c r="V232" s="29">
        <f>SUM(V233:V235)</f>
        <v>0</v>
      </c>
    </row>
    <row r="233" spans="1:22" ht="12.75">
      <c r="A233" s="126" t="s">
        <v>10</v>
      </c>
      <c r="B233" s="120"/>
      <c r="C233" s="77"/>
      <c r="D233" s="77"/>
      <c r="E233" s="77"/>
      <c r="F233" s="77"/>
      <c r="G233" s="77"/>
      <c r="H233" s="78"/>
      <c r="I233" s="120"/>
      <c r="J233" s="77"/>
      <c r="K233" s="77"/>
      <c r="L233" s="77"/>
      <c r="M233" s="77"/>
      <c r="N233" s="77"/>
      <c r="O233" s="77"/>
      <c r="P233" s="77"/>
      <c r="Q233" s="77"/>
      <c r="R233" s="77"/>
      <c r="S233" s="77"/>
      <c r="T233" s="77"/>
      <c r="U233" s="77"/>
      <c r="V233" s="72"/>
    </row>
    <row r="234" spans="1:22" s="40" customFormat="1" ht="12.75" customHeight="1">
      <c r="A234" s="553" t="s">
        <v>58</v>
      </c>
      <c r="B234" s="547"/>
      <c r="C234" s="398"/>
      <c r="D234" s="398"/>
      <c r="E234" s="398"/>
      <c r="F234" s="398"/>
      <c r="G234" s="399"/>
      <c r="H234" s="551"/>
      <c r="I234" s="547"/>
      <c r="J234" s="398"/>
      <c r="K234" s="398"/>
      <c r="L234" s="398"/>
      <c r="M234" s="398"/>
      <c r="N234" s="398"/>
      <c r="O234" s="398"/>
      <c r="P234" s="398"/>
      <c r="Q234" s="398"/>
      <c r="R234" s="398"/>
      <c r="S234" s="398"/>
      <c r="T234" s="398"/>
      <c r="U234" s="399"/>
      <c r="V234" s="512"/>
    </row>
    <row r="235" spans="1:22" s="40" customFormat="1" ht="13.5" thickBot="1">
      <c r="A235" s="554"/>
      <c r="B235" s="548"/>
      <c r="C235" s="549"/>
      <c r="D235" s="549"/>
      <c r="E235" s="549"/>
      <c r="F235" s="549"/>
      <c r="G235" s="550"/>
      <c r="H235" s="552"/>
      <c r="I235" s="548"/>
      <c r="J235" s="549"/>
      <c r="K235" s="549"/>
      <c r="L235" s="549"/>
      <c r="M235" s="549"/>
      <c r="N235" s="549"/>
      <c r="O235" s="549"/>
      <c r="P235" s="549"/>
      <c r="Q235" s="549"/>
      <c r="R235" s="549"/>
      <c r="S235" s="549"/>
      <c r="T235" s="549"/>
      <c r="U235" s="550"/>
      <c r="V235" s="513"/>
    </row>
    <row r="236" spans="1:22" s="40" customFormat="1" ht="12.75">
      <c r="A236" s="127"/>
      <c r="B236" s="104"/>
      <c r="C236" s="104"/>
      <c r="D236" s="104"/>
      <c r="E236" s="104"/>
      <c r="F236" s="104"/>
      <c r="G236" s="104"/>
      <c r="H236" s="128"/>
      <c r="I236" s="104"/>
      <c r="J236" s="104"/>
      <c r="K236" s="104"/>
      <c r="L236" s="104"/>
      <c r="M236" s="104"/>
      <c r="N236" s="104"/>
      <c r="O236" s="104"/>
      <c r="P236" s="104"/>
      <c r="Q236" s="104"/>
      <c r="R236" s="104"/>
      <c r="S236" s="104"/>
      <c r="T236" s="104"/>
      <c r="U236" s="104"/>
      <c r="V236" s="85"/>
    </row>
    <row r="237" spans="1:34" ht="18.75" thickBot="1">
      <c r="A237" s="423" t="s">
        <v>148</v>
      </c>
      <c r="B237" s="423"/>
      <c r="C237" s="423"/>
      <c r="D237" s="423"/>
      <c r="E237" s="423"/>
      <c r="F237" s="423"/>
      <c r="G237" s="423"/>
      <c r="H237" s="423"/>
      <c r="I237" s="423"/>
      <c r="J237" s="423"/>
      <c r="K237" s="423"/>
      <c r="L237" s="423"/>
      <c r="M237" s="423"/>
      <c r="N237" s="423"/>
      <c r="O237" s="423"/>
      <c r="P237" s="423"/>
      <c r="Q237" s="423"/>
      <c r="R237" s="423"/>
      <c r="S237" s="423"/>
      <c r="T237" s="423"/>
      <c r="U237" s="423"/>
      <c r="V237" s="423"/>
      <c r="W237" s="16"/>
      <c r="X237" s="17"/>
      <c r="Y237" s="451"/>
      <c r="Z237" s="452"/>
      <c r="AC237" s="17"/>
      <c r="AH237" s="17"/>
    </row>
    <row r="238" spans="1:34" ht="22.5">
      <c r="A238" s="18" t="s">
        <v>3</v>
      </c>
      <c r="B238" s="139" t="s">
        <v>89</v>
      </c>
      <c r="C238" s="139"/>
      <c r="D238" s="139"/>
      <c r="E238" s="139"/>
      <c r="F238" s="139"/>
      <c r="G238" s="140"/>
      <c r="H238" s="19" t="s">
        <v>32</v>
      </c>
      <c r="I238" s="424" t="s">
        <v>88</v>
      </c>
      <c r="J238" s="425"/>
      <c r="K238" s="425"/>
      <c r="L238" s="425"/>
      <c r="M238" s="425"/>
      <c r="N238" s="425"/>
      <c r="O238" s="425"/>
      <c r="P238" s="425"/>
      <c r="Q238" s="425"/>
      <c r="R238" s="425"/>
      <c r="S238" s="425"/>
      <c r="T238" s="425"/>
      <c r="U238" s="426"/>
      <c r="V238" s="20" t="s">
        <v>32</v>
      </c>
      <c r="W238" s="16"/>
      <c r="X238" s="17"/>
      <c r="Y238" s="451"/>
      <c r="Z238" s="452"/>
      <c r="AC238" s="17"/>
      <c r="AH238" s="17"/>
    </row>
    <row r="239" spans="1:34" ht="13.5" thickBot="1">
      <c r="A239" s="21"/>
      <c r="B239" s="22" t="s">
        <v>64</v>
      </c>
      <c r="C239" s="22"/>
      <c r="D239" s="22"/>
      <c r="E239" s="22"/>
      <c r="F239" s="22"/>
      <c r="G239" s="23"/>
      <c r="H239" s="24" t="s">
        <v>65</v>
      </c>
      <c r="I239" s="427"/>
      <c r="J239" s="428"/>
      <c r="K239" s="428"/>
      <c r="L239" s="428"/>
      <c r="M239" s="428"/>
      <c r="N239" s="428"/>
      <c r="O239" s="428"/>
      <c r="P239" s="428"/>
      <c r="Q239" s="428"/>
      <c r="R239" s="428"/>
      <c r="S239" s="428"/>
      <c r="T239" s="428"/>
      <c r="U239" s="429"/>
      <c r="V239" s="25" t="s">
        <v>66</v>
      </c>
      <c r="W239" s="16"/>
      <c r="X239" s="17"/>
      <c r="Y239" s="451"/>
      <c r="Z239" s="452"/>
      <c r="AC239" s="17"/>
      <c r="AH239" s="17"/>
    </row>
    <row r="240" spans="1:22" ht="13.5" thickBot="1">
      <c r="A240" s="26" t="s">
        <v>77</v>
      </c>
      <c r="B240" s="27"/>
      <c r="C240" s="28"/>
      <c r="D240" s="28"/>
      <c r="E240" s="28"/>
      <c r="F240" s="28"/>
      <c r="G240" s="28"/>
      <c r="H240" s="29">
        <f>SUM(H241:H241)</f>
        <v>100</v>
      </c>
      <c r="I240" s="27"/>
      <c r="J240" s="28"/>
      <c r="K240" s="28"/>
      <c r="L240" s="28"/>
      <c r="M240" s="28"/>
      <c r="N240" s="28"/>
      <c r="O240" s="28"/>
      <c r="P240" s="28"/>
      <c r="Q240" s="28"/>
      <c r="R240" s="28"/>
      <c r="S240" s="28"/>
      <c r="T240" s="28"/>
      <c r="U240" s="28"/>
      <c r="V240" s="29">
        <f>SUM(V241:V241)</f>
        <v>150</v>
      </c>
    </row>
    <row r="241" spans="1:22" s="40" customFormat="1" ht="13.5" thickBot="1">
      <c r="A241" s="244" t="s">
        <v>116</v>
      </c>
      <c r="B241" s="68" t="s">
        <v>213</v>
      </c>
      <c r="C241" s="69"/>
      <c r="D241" s="69"/>
      <c r="E241" s="69"/>
      <c r="F241" s="69"/>
      <c r="G241" s="69"/>
      <c r="H241" s="70">
        <v>100</v>
      </c>
      <c r="I241" s="68" t="s">
        <v>230</v>
      </c>
      <c r="J241" s="69"/>
      <c r="K241" s="69"/>
      <c r="L241" s="69"/>
      <c r="M241" s="69"/>
      <c r="N241" s="69"/>
      <c r="O241" s="69"/>
      <c r="P241" s="69"/>
      <c r="Q241" s="69"/>
      <c r="R241" s="69"/>
      <c r="S241" s="69"/>
      <c r="T241" s="69"/>
      <c r="U241" s="69"/>
      <c r="V241" s="59">
        <f>45+105</f>
        <v>150</v>
      </c>
    </row>
    <row r="242" spans="1:22" s="40" customFormat="1" ht="13.5" thickBot="1">
      <c r="A242" s="132" t="s">
        <v>78</v>
      </c>
      <c r="B242" s="133"/>
      <c r="C242" s="134"/>
      <c r="D242" s="134"/>
      <c r="E242" s="134"/>
      <c r="F242" s="134"/>
      <c r="G242" s="134"/>
      <c r="H242" s="102">
        <f>SUM(H243)</f>
        <v>0</v>
      </c>
      <c r="I242" s="133"/>
      <c r="J242" s="134"/>
      <c r="K242" s="134"/>
      <c r="L242" s="134"/>
      <c r="M242" s="134"/>
      <c r="N242" s="134"/>
      <c r="O242" s="134"/>
      <c r="P242" s="134"/>
      <c r="Q242" s="134"/>
      <c r="R242" s="134"/>
      <c r="S242" s="134"/>
      <c r="T242" s="134"/>
      <c r="U242" s="134"/>
      <c r="V242" s="102">
        <f>SUM(V243)</f>
        <v>0</v>
      </c>
    </row>
    <row r="243" spans="1:22" s="40" customFormat="1" ht="13.5" thickBot="1">
      <c r="A243" s="121" t="s">
        <v>133</v>
      </c>
      <c r="B243" s="75"/>
      <c r="C243" s="76"/>
      <c r="D243" s="76"/>
      <c r="E243" s="76"/>
      <c r="F243" s="76"/>
      <c r="G243" s="76"/>
      <c r="H243" s="124"/>
      <c r="I243" s="75"/>
      <c r="J243" s="76"/>
      <c r="K243" s="76"/>
      <c r="L243" s="76"/>
      <c r="M243" s="76"/>
      <c r="N243" s="76"/>
      <c r="O243" s="76"/>
      <c r="P243" s="76"/>
      <c r="Q243" s="76"/>
      <c r="R243" s="76"/>
      <c r="S243" s="76"/>
      <c r="T243" s="76"/>
      <c r="U243" s="76"/>
      <c r="V243" s="125"/>
    </row>
    <row r="244" spans="1:22" ht="13.5" thickBot="1">
      <c r="A244" s="132" t="s">
        <v>79</v>
      </c>
      <c r="B244" s="27"/>
      <c r="C244" s="28"/>
      <c r="D244" s="28"/>
      <c r="E244" s="28"/>
      <c r="F244" s="28"/>
      <c r="G244" s="28"/>
      <c r="H244" s="29">
        <f>SUM(H245:H245)</f>
        <v>250</v>
      </c>
      <c r="I244" s="27"/>
      <c r="J244" s="28"/>
      <c r="K244" s="28"/>
      <c r="L244" s="28"/>
      <c r="M244" s="28"/>
      <c r="N244" s="28"/>
      <c r="O244" s="28"/>
      <c r="P244" s="28"/>
      <c r="Q244" s="28"/>
      <c r="R244" s="28"/>
      <c r="S244" s="28"/>
      <c r="T244" s="28"/>
      <c r="U244" s="28"/>
      <c r="V244" s="29">
        <f>SUM(V245:V245)</f>
        <v>0</v>
      </c>
    </row>
    <row r="245" spans="1:22" s="40" customFormat="1" ht="59.25" customHeight="1" thickBot="1">
      <c r="A245" s="245" t="s">
        <v>9</v>
      </c>
      <c r="B245" s="406" t="s">
        <v>214</v>
      </c>
      <c r="C245" s="407"/>
      <c r="D245" s="407"/>
      <c r="E245" s="407"/>
      <c r="F245" s="407"/>
      <c r="G245" s="408"/>
      <c r="H245" s="38">
        <f>30+80+30+70+40</f>
        <v>250</v>
      </c>
      <c r="I245" s="538"/>
      <c r="J245" s="539"/>
      <c r="K245" s="539"/>
      <c r="L245" s="539"/>
      <c r="M245" s="539"/>
      <c r="N245" s="539"/>
      <c r="O245" s="539"/>
      <c r="P245" s="539"/>
      <c r="Q245" s="539"/>
      <c r="R245" s="539"/>
      <c r="S245" s="539"/>
      <c r="T245" s="539"/>
      <c r="U245" s="540"/>
      <c r="V245" s="39">
        <v>0</v>
      </c>
    </row>
    <row r="246" spans="1:22" ht="13.5" thickBot="1">
      <c r="A246" s="132" t="s">
        <v>80</v>
      </c>
      <c r="B246" s="27"/>
      <c r="C246" s="28"/>
      <c r="D246" s="28"/>
      <c r="E246" s="28"/>
      <c r="F246" s="28"/>
      <c r="G246" s="28"/>
      <c r="H246" s="29">
        <f>SUM(H247:H255)</f>
        <v>877</v>
      </c>
      <c r="I246" s="136"/>
      <c r="J246" s="28"/>
      <c r="K246" s="28"/>
      <c r="L246" s="28"/>
      <c r="M246" s="28"/>
      <c r="N246" s="28"/>
      <c r="O246" s="28"/>
      <c r="P246" s="28"/>
      <c r="Q246" s="28"/>
      <c r="R246" s="28"/>
      <c r="S246" s="28"/>
      <c r="T246" s="28"/>
      <c r="U246" s="28"/>
      <c r="V246" s="29">
        <f>SUM(V247:V255)</f>
        <v>590</v>
      </c>
    </row>
    <row r="247" spans="1:22" s="40" customFormat="1" ht="24.75" customHeight="1">
      <c r="A247" s="129" t="s">
        <v>137</v>
      </c>
      <c r="B247" s="403"/>
      <c r="C247" s="404"/>
      <c r="D247" s="404"/>
      <c r="E247" s="404"/>
      <c r="F247" s="404"/>
      <c r="G247" s="405"/>
      <c r="H247" s="70">
        <v>0</v>
      </c>
      <c r="I247" s="68" t="s">
        <v>174</v>
      </c>
      <c r="J247" s="69"/>
      <c r="K247" s="69"/>
      <c r="L247" s="69"/>
      <c r="M247" s="69"/>
      <c r="N247" s="69"/>
      <c r="O247" s="69"/>
      <c r="P247" s="69"/>
      <c r="Q247" s="69"/>
      <c r="R247" s="69"/>
      <c r="S247" s="69"/>
      <c r="T247" s="69"/>
      <c r="U247" s="69"/>
      <c r="V247" s="59">
        <v>300</v>
      </c>
    </row>
    <row r="248" spans="1:22" s="40" customFormat="1" ht="12.75">
      <c r="A248" s="130" t="s">
        <v>138</v>
      </c>
      <c r="B248" s="36"/>
      <c r="C248" s="37"/>
      <c r="D248" s="37"/>
      <c r="E248" s="37"/>
      <c r="F248" s="37"/>
      <c r="G248" s="37"/>
      <c r="H248" s="38">
        <v>0</v>
      </c>
      <c r="I248" s="36"/>
      <c r="J248" s="37"/>
      <c r="K248" s="37"/>
      <c r="L248" s="37"/>
      <c r="M248" s="37"/>
      <c r="N248" s="37"/>
      <c r="O248" s="37"/>
      <c r="P248" s="37"/>
      <c r="Q248" s="37"/>
      <c r="R248" s="37"/>
      <c r="S248" s="37"/>
      <c r="T248" s="37"/>
      <c r="U248" s="37"/>
      <c r="V248" s="39">
        <v>0</v>
      </c>
    </row>
    <row r="249" spans="1:22" s="40" customFormat="1" ht="12.75">
      <c r="A249" s="31" t="s">
        <v>139</v>
      </c>
      <c r="B249" s="68"/>
      <c r="C249" s="69"/>
      <c r="D249" s="69"/>
      <c r="E249" s="69"/>
      <c r="F249" s="69"/>
      <c r="G249" s="69"/>
      <c r="H249" s="70">
        <v>0</v>
      </c>
      <c r="I249" s="68"/>
      <c r="J249" s="69"/>
      <c r="K249" s="69"/>
      <c r="L249" s="69"/>
      <c r="M249" s="69"/>
      <c r="N249" s="69"/>
      <c r="O249" s="69"/>
      <c r="P249" s="69"/>
      <c r="Q249" s="69"/>
      <c r="R249" s="69"/>
      <c r="S249" s="69"/>
      <c r="T249" s="69"/>
      <c r="U249" s="69"/>
      <c r="V249" s="59">
        <v>0</v>
      </c>
    </row>
    <row r="250" spans="1:22" s="40" customFormat="1" ht="12.75">
      <c r="A250" s="129" t="s">
        <v>140</v>
      </c>
      <c r="B250" s="36"/>
      <c r="C250" s="37"/>
      <c r="D250" s="37"/>
      <c r="E250" s="37"/>
      <c r="F250" s="37"/>
      <c r="G250" s="37"/>
      <c r="H250" s="38">
        <v>0</v>
      </c>
      <c r="I250" s="36" t="s">
        <v>175</v>
      </c>
      <c r="J250" s="37"/>
      <c r="K250" s="37"/>
      <c r="L250" s="37"/>
      <c r="M250" s="37"/>
      <c r="N250" s="37"/>
      <c r="O250" s="37"/>
      <c r="P250" s="37"/>
      <c r="Q250" s="37"/>
      <c r="R250" s="37"/>
      <c r="S250" s="37"/>
      <c r="T250" s="37"/>
      <c r="U250" s="37"/>
      <c r="V250" s="39">
        <v>130</v>
      </c>
    </row>
    <row r="251" spans="1:22" s="40" customFormat="1" ht="25.5" customHeight="1">
      <c r="A251" s="55" t="s">
        <v>141</v>
      </c>
      <c r="B251" s="509" t="s">
        <v>215</v>
      </c>
      <c r="C251" s="510"/>
      <c r="D251" s="510"/>
      <c r="E251" s="510"/>
      <c r="F251" s="510"/>
      <c r="G251" s="511"/>
      <c r="H251" s="71">
        <v>302</v>
      </c>
      <c r="I251" s="48" t="s">
        <v>195</v>
      </c>
      <c r="J251" s="131"/>
      <c r="K251" s="131"/>
      <c r="L251" s="131"/>
      <c r="M251" s="131"/>
      <c r="N251" s="131"/>
      <c r="O251" s="131"/>
      <c r="P251" s="131"/>
      <c r="Q251" s="131"/>
      <c r="R251" s="131"/>
      <c r="S251" s="131"/>
      <c r="T251" s="131"/>
      <c r="U251" s="131"/>
      <c r="V251" s="58">
        <v>160</v>
      </c>
    </row>
    <row r="252" spans="1:22" ht="23.25" customHeight="1">
      <c r="A252" s="130" t="s">
        <v>142</v>
      </c>
      <c r="B252" s="406"/>
      <c r="C252" s="438"/>
      <c r="D252" s="438"/>
      <c r="E252" s="438"/>
      <c r="F252" s="438"/>
      <c r="G252" s="439"/>
      <c r="H252" s="34">
        <v>0</v>
      </c>
      <c r="I252" s="51"/>
      <c r="J252" s="33"/>
      <c r="K252" s="33"/>
      <c r="L252" s="33"/>
      <c r="M252" s="33"/>
      <c r="N252" s="33"/>
      <c r="O252" s="33"/>
      <c r="P252" s="33"/>
      <c r="Q252" s="33"/>
      <c r="R252" s="33"/>
      <c r="S252" s="33"/>
      <c r="T252" s="33"/>
      <c r="U252" s="33"/>
      <c r="V252" s="35">
        <v>0</v>
      </c>
    </row>
    <row r="253" spans="1:22" s="40" customFormat="1" ht="22.5" customHeight="1">
      <c r="A253" s="143" t="s">
        <v>143</v>
      </c>
      <c r="B253" s="406" t="s">
        <v>216</v>
      </c>
      <c r="C253" s="438"/>
      <c r="D253" s="438"/>
      <c r="E253" s="438"/>
      <c r="F253" s="438"/>
      <c r="G253" s="439"/>
      <c r="H253" s="38">
        <v>500</v>
      </c>
      <c r="I253" s="36"/>
      <c r="J253" s="37"/>
      <c r="K253" s="37"/>
      <c r="L253" s="37"/>
      <c r="M253" s="37"/>
      <c r="N253" s="37"/>
      <c r="O253" s="37"/>
      <c r="P253" s="37"/>
      <c r="Q253" s="37"/>
      <c r="R253" s="37"/>
      <c r="S253" s="37"/>
      <c r="T253" s="37"/>
      <c r="U253" s="37"/>
      <c r="V253" s="39">
        <v>0</v>
      </c>
    </row>
    <row r="254" spans="1:22" ht="14.25" customHeight="1">
      <c r="A254" s="144" t="s">
        <v>144</v>
      </c>
      <c r="B254" s="131"/>
      <c r="C254" s="46"/>
      <c r="D254" s="46"/>
      <c r="E254" s="46"/>
      <c r="F254" s="46"/>
      <c r="G254" s="46"/>
      <c r="H254" s="47">
        <v>0</v>
      </c>
      <c r="I254" s="48"/>
      <c r="J254" s="46"/>
      <c r="K254" s="46"/>
      <c r="L254" s="46"/>
      <c r="M254" s="46"/>
      <c r="N254" s="46"/>
      <c r="O254" s="46"/>
      <c r="P254" s="46"/>
      <c r="Q254" s="46"/>
      <c r="R254" s="46"/>
      <c r="S254" s="46"/>
      <c r="T254" s="46"/>
      <c r="U254" s="46"/>
      <c r="V254" s="49">
        <v>0</v>
      </c>
    </row>
    <row r="255" spans="1:22" s="40" customFormat="1" ht="16.5" customHeight="1" thickBot="1">
      <c r="A255" s="137" t="s">
        <v>145</v>
      </c>
      <c r="B255" s="61" t="s">
        <v>217</v>
      </c>
      <c r="C255" s="62"/>
      <c r="D255" s="62"/>
      <c r="E255" s="62"/>
      <c r="F255" s="62"/>
      <c r="G255" s="62"/>
      <c r="H255" s="63">
        <v>75</v>
      </c>
      <c r="I255" s="62"/>
      <c r="J255" s="62"/>
      <c r="K255" s="62"/>
      <c r="L255" s="62"/>
      <c r="M255" s="62"/>
      <c r="N255" s="62"/>
      <c r="O255" s="62"/>
      <c r="P255" s="62"/>
      <c r="Q255" s="62"/>
      <c r="R255" s="62"/>
      <c r="S255" s="62"/>
      <c r="T255" s="62"/>
      <c r="U255" s="62"/>
      <c r="V255" s="64">
        <v>0</v>
      </c>
    </row>
    <row r="256" spans="1:22" ht="12" customHeight="1">
      <c r="A256" s="138"/>
      <c r="B256" s="104"/>
      <c r="C256" s="104"/>
      <c r="E256" s="104"/>
      <c r="F256" s="104"/>
      <c r="G256" s="85"/>
      <c r="H256" s="128"/>
      <c r="I256" s="104"/>
      <c r="J256" s="104"/>
      <c r="K256" s="104"/>
      <c r="L256" s="104"/>
      <c r="M256" s="104"/>
      <c r="N256" s="104"/>
      <c r="O256" s="104"/>
      <c r="P256" s="104"/>
      <c r="Q256" s="104"/>
      <c r="R256" s="104"/>
      <c r="S256" s="104"/>
      <c r="T256" s="104"/>
      <c r="U256" s="104"/>
      <c r="V256" s="128"/>
    </row>
  </sheetData>
  <sheetProtection/>
  <mergeCells count="235">
    <mergeCell ref="B177:G177"/>
    <mergeCell ref="B188:G188"/>
    <mergeCell ref="C50:C52"/>
    <mergeCell ref="B50:B52"/>
    <mergeCell ref="B183:G184"/>
    <mergeCell ref="C93:C95"/>
    <mergeCell ref="D93:D95"/>
    <mergeCell ref="E51:E52"/>
    <mergeCell ref="F51:F52"/>
    <mergeCell ref="G51:G52"/>
    <mergeCell ref="H51:H52"/>
    <mergeCell ref="B253:G253"/>
    <mergeCell ref="V153:V154"/>
    <mergeCell ref="I156:U157"/>
    <mergeCell ref="V156:V157"/>
    <mergeCell ref="I230:U231"/>
    <mergeCell ref="V230:V231"/>
    <mergeCell ref="I189:U190"/>
    <mergeCell ref="V189:V190"/>
    <mergeCell ref="I178:U179"/>
    <mergeCell ref="B208:G208"/>
    <mergeCell ref="O119:P119"/>
    <mergeCell ref="A125:V125"/>
    <mergeCell ref="O123:P123"/>
    <mergeCell ref="I123:J123"/>
    <mergeCell ref="I120:J120"/>
    <mergeCell ref="O120:P120"/>
    <mergeCell ref="C119:D119"/>
    <mergeCell ref="I182:U182"/>
    <mergeCell ref="I183:U184"/>
    <mergeCell ref="M50:M52"/>
    <mergeCell ref="K6:K8"/>
    <mergeCell ref="N50:N52"/>
    <mergeCell ref="J50:J52"/>
    <mergeCell ref="K50:K52"/>
    <mergeCell ref="L50:L52"/>
    <mergeCell ref="A48:V48"/>
    <mergeCell ref="Q50:Q52"/>
    <mergeCell ref="P50:P52"/>
    <mergeCell ref="V50:V52"/>
    <mergeCell ref="R1:V1"/>
    <mergeCell ref="R2:V2"/>
    <mergeCell ref="A3:V3"/>
    <mergeCell ref="E7:E8"/>
    <mergeCell ref="O5:R5"/>
    <mergeCell ref="S5:V5"/>
    <mergeCell ref="B6:B8"/>
    <mergeCell ref="Q6:Q8"/>
    <mergeCell ref="H7:H8"/>
    <mergeCell ref="F7:F8"/>
    <mergeCell ref="Y128:Z128"/>
    <mergeCell ref="Y129:Z129"/>
    <mergeCell ref="Y130:Z130"/>
    <mergeCell ref="Y131:Z131"/>
    <mergeCell ref="Y125:Z125"/>
    <mergeCell ref="I126:U127"/>
    <mergeCell ref="Y126:Z126"/>
    <mergeCell ref="Y127:Z127"/>
    <mergeCell ref="V180:V181"/>
    <mergeCell ref="I180:U181"/>
    <mergeCell ref="Y165:Z165"/>
    <mergeCell ref="Y132:Z132"/>
    <mergeCell ref="Y133:Z133"/>
    <mergeCell ref="I146:U146"/>
    <mergeCell ref="I147:M147"/>
    <mergeCell ref="I174:U175"/>
    <mergeCell ref="V174:V175"/>
    <mergeCell ref="I172:U173"/>
    <mergeCell ref="H183:H184"/>
    <mergeCell ref="B182:G182"/>
    <mergeCell ref="H189:H190"/>
    <mergeCell ref="B187:G187"/>
    <mergeCell ref="H185:H186"/>
    <mergeCell ref="V183:V184"/>
    <mergeCell ref="I208:U208"/>
    <mergeCell ref="B209:G209"/>
    <mergeCell ref="V193:V194"/>
    <mergeCell ref="I185:U186"/>
    <mergeCell ref="I195:U195"/>
    <mergeCell ref="V185:V186"/>
    <mergeCell ref="H193:H194"/>
    <mergeCell ref="I193:U194"/>
    <mergeCell ref="I196:U198"/>
    <mergeCell ref="I188:U188"/>
    <mergeCell ref="I203:U203"/>
    <mergeCell ref="B204:G204"/>
    <mergeCell ref="B205:G205"/>
    <mergeCell ref="B206:G206"/>
    <mergeCell ref="I206:U206"/>
    <mergeCell ref="B203:G203"/>
    <mergeCell ref="I204:U204"/>
    <mergeCell ref="I211:U211"/>
    <mergeCell ref="H220:H222"/>
    <mergeCell ref="A230:A231"/>
    <mergeCell ref="I213:U214"/>
    <mergeCell ref="B216:G216"/>
    <mergeCell ref="I216:U216"/>
    <mergeCell ref="I212:U212"/>
    <mergeCell ref="Y237:Z237"/>
    <mergeCell ref="I238:U239"/>
    <mergeCell ref="Y238:Z238"/>
    <mergeCell ref="Y239:Z239"/>
    <mergeCell ref="V213:V214"/>
    <mergeCell ref="B215:G215"/>
    <mergeCell ref="B213:G214"/>
    <mergeCell ref="H213:H214"/>
    <mergeCell ref="B252:G252"/>
    <mergeCell ref="B247:G247"/>
    <mergeCell ref="B189:G190"/>
    <mergeCell ref="B245:G245"/>
    <mergeCell ref="B230:G231"/>
    <mergeCell ref="A237:V237"/>
    <mergeCell ref="B234:G235"/>
    <mergeCell ref="H234:H235"/>
    <mergeCell ref="I234:U235"/>
    <mergeCell ref="A234:A235"/>
    <mergeCell ref="S49:V49"/>
    <mergeCell ref="B251:G251"/>
    <mergeCell ref="V234:V235"/>
    <mergeCell ref="H230:H231"/>
    <mergeCell ref="A220:A222"/>
    <mergeCell ref="I220:U222"/>
    <mergeCell ref="V220:V222"/>
    <mergeCell ref="B220:G222"/>
    <mergeCell ref="I245:U245"/>
    <mergeCell ref="B210:G210"/>
    <mergeCell ref="J6:J8"/>
    <mergeCell ref="I93:I95"/>
    <mergeCell ref="B93:B95"/>
    <mergeCell ref="P6:P8"/>
    <mergeCell ref="S92:V92"/>
    <mergeCell ref="R6:R8"/>
    <mergeCell ref="R50:R52"/>
    <mergeCell ref="O92:R92"/>
    <mergeCell ref="O50:O52"/>
    <mergeCell ref="S50:S52"/>
    <mergeCell ref="T50:T52"/>
    <mergeCell ref="V6:V8"/>
    <mergeCell ref="C6:C8"/>
    <mergeCell ref="D6:D8"/>
    <mergeCell ref="G7:G8"/>
    <mergeCell ref="I6:I8"/>
    <mergeCell ref="L6:L8"/>
    <mergeCell ref="M6:M8"/>
    <mergeCell ref="N6:N8"/>
    <mergeCell ref="O6:O8"/>
    <mergeCell ref="G94:G95"/>
    <mergeCell ref="I50:I52"/>
    <mergeCell ref="T93:T95"/>
    <mergeCell ref="U93:U95"/>
    <mergeCell ref="Q93:Q95"/>
    <mergeCell ref="T6:T8"/>
    <mergeCell ref="U6:U8"/>
    <mergeCell ref="S6:S8"/>
    <mergeCell ref="O49:R49"/>
    <mergeCell ref="U50:U52"/>
    <mergeCell ref="H172:H173"/>
    <mergeCell ref="M93:M95"/>
    <mergeCell ref="V93:V95"/>
    <mergeCell ref="A91:V91"/>
    <mergeCell ref="D50:D52"/>
    <mergeCell ref="H94:H95"/>
    <mergeCell ref="J93:J95"/>
    <mergeCell ref="K93:K95"/>
    <mergeCell ref="E94:E95"/>
    <mergeCell ref="F94:F95"/>
    <mergeCell ref="L93:L95"/>
    <mergeCell ref="S93:S95"/>
    <mergeCell ref="R93:R95"/>
    <mergeCell ref="P93:P95"/>
    <mergeCell ref="N93:N95"/>
    <mergeCell ref="O93:O95"/>
    <mergeCell ref="V172:V173"/>
    <mergeCell ref="H178:H179"/>
    <mergeCell ref="V167:V168"/>
    <mergeCell ref="A167:A168"/>
    <mergeCell ref="I167:U168"/>
    <mergeCell ref="H167:H168"/>
    <mergeCell ref="B167:G168"/>
    <mergeCell ref="A174:A175"/>
    <mergeCell ref="A172:A173"/>
    <mergeCell ref="B172:G173"/>
    <mergeCell ref="Y202:Z202"/>
    <mergeCell ref="B196:G198"/>
    <mergeCell ref="H196:H198"/>
    <mergeCell ref="Y201:Z201"/>
    <mergeCell ref="A200:V200"/>
    <mergeCell ref="I201:U202"/>
    <mergeCell ref="A196:A198"/>
    <mergeCell ref="V196:V198"/>
    <mergeCell ref="V149:V150"/>
    <mergeCell ref="B149:G150"/>
    <mergeCell ref="H149:H150"/>
    <mergeCell ref="Y164:Z164"/>
    <mergeCell ref="B158:G159"/>
    <mergeCell ref="H158:H159"/>
    <mergeCell ref="I158:U159"/>
    <mergeCell ref="V158:V159"/>
    <mergeCell ref="B153:G154"/>
    <mergeCell ref="I149:U150"/>
    <mergeCell ref="A149:A150"/>
    <mergeCell ref="B156:G157"/>
    <mergeCell ref="H156:H157"/>
    <mergeCell ref="A153:A154"/>
    <mergeCell ref="H153:H154"/>
    <mergeCell ref="A156:A157"/>
    <mergeCell ref="B155:G155"/>
    <mergeCell ref="A183:A184"/>
    <mergeCell ref="B185:G186"/>
    <mergeCell ref="B180:G181"/>
    <mergeCell ref="I215:U215"/>
    <mergeCell ref="A213:A214"/>
    <mergeCell ref="B195:G195"/>
    <mergeCell ref="A185:A186"/>
    <mergeCell ref="A193:A194"/>
    <mergeCell ref="B193:G194"/>
    <mergeCell ref="A189:A190"/>
    <mergeCell ref="A158:A159"/>
    <mergeCell ref="H180:H181"/>
    <mergeCell ref="A178:A179"/>
    <mergeCell ref="A180:A181"/>
    <mergeCell ref="B178:G179"/>
    <mergeCell ref="B174:G175"/>
    <mergeCell ref="H174:H175"/>
    <mergeCell ref="A163:V163"/>
    <mergeCell ref="I164:U165"/>
    <mergeCell ref="V178:V179"/>
    <mergeCell ref="B160:G160"/>
    <mergeCell ref="I161:U161"/>
    <mergeCell ref="B144:G144"/>
    <mergeCell ref="I144:U144"/>
    <mergeCell ref="B147:G147"/>
    <mergeCell ref="I148:U148"/>
    <mergeCell ref="I153:U154"/>
    <mergeCell ref="I151:U151"/>
  </mergeCells>
  <printOptions horizontalCentered="1" verticalCentered="1"/>
  <pageMargins left="0.2755905511811024" right="0.2755905511811024" top="0.3937007874015748" bottom="0.35433070866141736" header="0.11811023622047245" footer="0.11811023622047245"/>
  <pageSetup firstPageNumber="1" useFirstPageNumber="1" horizontalDpi="600" verticalDpi="600" orientation="landscape" paperSize="9" scale="66" r:id="rId1"/>
  <headerFooter alignWithMargins="0">
    <oddFooter>&amp;C&amp;P</oddFooter>
  </headerFooter>
  <rowBreaks count="6" manualBreakCount="6">
    <brk id="47" max="21" man="1"/>
    <brk id="90" max="255" man="1"/>
    <brk id="124" max="21" man="1"/>
    <brk id="162" max="21" man="1"/>
    <brk id="199" max="21" man="1"/>
    <brk id="235" max="21" man="1"/>
  </rowBreaks>
</worksheet>
</file>

<file path=xl/worksheets/sheet2.xml><?xml version="1.0" encoding="utf-8"?>
<worksheet xmlns="http://schemas.openxmlformats.org/spreadsheetml/2006/main" xmlns:r="http://schemas.openxmlformats.org/officeDocument/2006/relationships">
  <dimension ref="A1:IV257"/>
  <sheetViews>
    <sheetView showGridLines="0" zoomScalePageLayoutView="0" workbookViewId="0" topLeftCell="A1">
      <pane xSplit="1" ySplit="8" topLeftCell="B63" activePane="bottomRight" state="frozen"/>
      <selection pane="topLeft" activeCell="A1" sqref="A1"/>
      <selection pane="topRight" activeCell="B1" sqref="B1"/>
      <selection pane="bottomLeft" activeCell="A9" sqref="A9"/>
      <selection pane="bottomRight" activeCell="F73" sqref="F73"/>
    </sheetView>
  </sheetViews>
  <sheetFormatPr defaultColWidth="9.00390625" defaultRowHeight="12.75"/>
  <cols>
    <col min="1" max="1" width="59.75390625" style="8" customWidth="1"/>
    <col min="2" max="22" width="7.25390625" style="8" customWidth="1"/>
    <col min="23" max="16384" width="9.125" style="8" customWidth="1"/>
  </cols>
  <sheetData>
    <row r="1" spans="1:22" s="367" customFormat="1" ht="12.75" customHeight="1">
      <c r="A1" s="369"/>
      <c r="B1" s="371"/>
      <c r="C1" s="371"/>
      <c r="D1" s="371"/>
      <c r="E1" s="370"/>
      <c r="F1" s="371"/>
      <c r="G1" s="370"/>
      <c r="H1" s="370"/>
      <c r="I1" s="370"/>
      <c r="J1" s="371"/>
      <c r="K1" s="370"/>
      <c r="L1" s="370"/>
      <c r="M1" s="370" t="s">
        <v>19</v>
      </c>
      <c r="N1" s="370"/>
      <c r="O1" s="371"/>
      <c r="P1" s="370"/>
      <c r="Q1" s="370"/>
      <c r="R1" s="642" t="s">
        <v>154</v>
      </c>
      <c r="S1" s="642"/>
      <c r="T1" s="642"/>
      <c r="U1" s="642"/>
      <c r="V1" s="642"/>
    </row>
    <row r="2" spans="1:22" ht="12.75" customHeight="1">
      <c r="A2" s="157" t="s">
        <v>19</v>
      </c>
      <c r="B2" s="158" t="s">
        <v>19</v>
      </c>
      <c r="C2" s="158" t="s">
        <v>19</v>
      </c>
      <c r="D2" s="158"/>
      <c r="E2" s="158"/>
      <c r="F2" s="159"/>
      <c r="G2" s="158"/>
      <c r="H2" s="158"/>
      <c r="I2" s="158"/>
      <c r="J2" s="158"/>
      <c r="K2" s="158"/>
      <c r="L2" s="158"/>
      <c r="M2" s="158"/>
      <c r="N2" s="158"/>
      <c r="O2" s="158"/>
      <c r="P2" s="158"/>
      <c r="Q2" s="158"/>
      <c r="R2" s="618" t="s">
        <v>105</v>
      </c>
      <c r="S2" s="618"/>
      <c r="T2" s="618"/>
      <c r="U2" s="618"/>
      <c r="V2" s="618"/>
    </row>
    <row r="3" spans="1:22" ht="16.5" customHeight="1">
      <c r="A3" s="619" t="s">
        <v>147</v>
      </c>
      <c r="B3" s="619"/>
      <c r="C3" s="619"/>
      <c r="D3" s="619"/>
      <c r="E3" s="619"/>
      <c r="F3" s="619"/>
      <c r="G3" s="619"/>
      <c r="H3" s="619"/>
      <c r="I3" s="619"/>
      <c r="J3" s="619"/>
      <c r="K3" s="619"/>
      <c r="L3" s="619"/>
      <c r="M3" s="619"/>
      <c r="N3" s="619"/>
      <c r="O3" s="619"/>
      <c r="P3" s="619"/>
      <c r="Q3" s="619"/>
      <c r="R3" s="619"/>
      <c r="S3" s="619"/>
      <c r="T3" s="619"/>
      <c r="U3" s="619"/>
      <c r="V3" s="619"/>
    </row>
    <row r="4" spans="1:22" ht="15" customHeight="1" thickBot="1">
      <c r="A4" s="160" t="s">
        <v>54</v>
      </c>
      <c r="B4" s="161"/>
      <c r="C4" s="161"/>
      <c r="D4" s="162"/>
      <c r="E4" s="162"/>
      <c r="F4" s="162"/>
      <c r="G4" s="162"/>
      <c r="H4" s="162"/>
      <c r="I4" s="162"/>
      <c r="J4" s="162"/>
      <c r="K4" s="162"/>
      <c r="L4" s="162"/>
      <c r="M4" s="162"/>
      <c r="N4" s="162"/>
      <c r="O4" s="162"/>
      <c r="P4" s="162"/>
      <c r="Q4" s="162"/>
      <c r="R4" s="162"/>
      <c r="S4" s="162"/>
      <c r="T4" s="162"/>
      <c r="U4" s="162"/>
      <c r="V4" s="163" t="s">
        <v>11</v>
      </c>
    </row>
    <row r="5" spans="1:22" ht="12.75">
      <c r="A5" s="3"/>
      <c r="B5" s="4" t="s">
        <v>12</v>
      </c>
      <c r="C5" s="5"/>
      <c r="D5" s="5"/>
      <c r="E5" s="5"/>
      <c r="F5" s="5"/>
      <c r="G5" s="5"/>
      <c r="H5" s="5"/>
      <c r="I5" s="6"/>
      <c r="J5" s="4" t="s">
        <v>13</v>
      </c>
      <c r="K5" s="5"/>
      <c r="L5" s="7"/>
      <c r="M5" s="5"/>
      <c r="N5" s="6"/>
      <c r="O5" s="504" t="s">
        <v>14</v>
      </c>
      <c r="P5" s="505"/>
      <c r="Q5" s="505"/>
      <c r="R5" s="506"/>
      <c r="S5" s="504" t="s">
        <v>15</v>
      </c>
      <c r="T5" s="507"/>
      <c r="U5" s="507"/>
      <c r="V5" s="508"/>
    </row>
    <row r="6" spans="1:23" s="13" customFormat="1" ht="14.25" customHeight="1">
      <c r="A6" s="9" t="s">
        <v>3</v>
      </c>
      <c r="B6" s="487" t="s">
        <v>149</v>
      </c>
      <c r="C6" s="499" t="s">
        <v>150</v>
      </c>
      <c r="D6" s="484" t="s">
        <v>81</v>
      </c>
      <c r="E6" s="10" t="s">
        <v>16</v>
      </c>
      <c r="F6" s="10"/>
      <c r="G6" s="10"/>
      <c r="H6" s="11"/>
      <c r="I6" s="490" t="s">
        <v>196</v>
      </c>
      <c r="J6" s="487" t="s">
        <v>149</v>
      </c>
      <c r="K6" s="499" t="s">
        <v>197</v>
      </c>
      <c r="L6" s="484" t="s">
        <v>83</v>
      </c>
      <c r="M6" s="496" t="s">
        <v>84</v>
      </c>
      <c r="N6" s="490" t="s">
        <v>151</v>
      </c>
      <c r="O6" s="487" t="s">
        <v>152</v>
      </c>
      <c r="P6" s="493" t="s">
        <v>153</v>
      </c>
      <c r="Q6" s="496" t="s">
        <v>84</v>
      </c>
      <c r="R6" s="490" t="s">
        <v>196</v>
      </c>
      <c r="S6" s="487" t="s">
        <v>152</v>
      </c>
      <c r="T6" s="493" t="s">
        <v>153</v>
      </c>
      <c r="U6" s="496" t="s">
        <v>84</v>
      </c>
      <c r="V6" s="490" t="s">
        <v>196</v>
      </c>
      <c r="W6" s="12" t="s">
        <v>19</v>
      </c>
    </row>
    <row r="7" spans="1:22" ht="12.75" customHeight="1">
      <c r="A7" s="14"/>
      <c r="B7" s="488"/>
      <c r="C7" s="500" t="s">
        <v>33</v>
      </c>
      <c r="D7" s="485"/>
      <c r="E7" s="502" t="s">
        <v>90</v>
      </c>
      <c r="F7" s="502" t="s">
        <v>62</v>
      </c>
      <c r="G7" s="502" t="s">
        <v>63</v>
      </c>
      <c r="H7" s="496" t="s">
        <v>82</v>
      </c>
      <c r="I7" s="491"/>
      <c r="J7" s="488"/>
      <c r="K7" s="500" t="s">
        <v>33</v>
      </c>
      <c r="L7" s="485"/>
      <c r="M7" s="497"/>
      <c r="N7" s="491"/>
      <c r="O7" s="488"/>
      <c r="P7" s="494"/>
      <c r="Q7" s="497"/>
      <c r="R7" s="491"/>
      <c r="S7" s="488"/>
      <c r="T7" s="494"/>
      <c r="U7" s="497"/>
      <c r="V7" s="491"/>
    </row>
    <row r="8" spans="1:22" ht="53.25" customHeight="1" thickBot="1">
      <c r="A8" s="15" t="s">
        <v>19</v>
      </c>
      <c r="B8" s="489"/>
      <c r="C8" s="501" t="s">
        <v>61</v>
      </c>
      <c r="D8" s="486"/>
      <c r="E8" s="503"/>
      <c r="F8" s="503"/>
      <c r="G8" s="503"/>
      <c r="H8" s="498"/>
      <c r="I8" s="492"/>
      <c r="J8" s="489"/>
      <c r="K8" s="501" t="s">
        <v>61</v>
      </c>
      <c r="L8" s="486"/>
      <c r="M8" s="498"/>
      <c r="N8" s="492"/>
      <c r="O8" s="489"/>
      <c r="P8" s="495"/>
      <c r="Q8" s="498"/>
      <c r="R8" s="492"/>
      <c r="S8" s="489"/>
      <c r="T8" s="495"/>
      <c r="U8" s="498"/>
      <c r="V8" s="492"/>
    </row>
    <row r="9" spans="1:22" s="42" customFormat="1" ht="13.5" thickBot="1">
      <c r="A9" s="164" t="s">
        <v>248</v>
      </c>
      <c r="B9" s="165">
        <f aca="true" t="shared" si="0" ref="B9:V9">SUM(B10+B25+B40+B64+B81+B83+B85+B96+B98+B101+B103+B105+B107)</f>
        <v>47128</v>
      </c>
      <c r="C9" s="165">
        <f t="shared" si="0"/>
        <v>38813</v>
      </c>
      <c r="D9" s="165">
        <f t="shared" si="0"/>
        <v>74052</v>
      </c>
      <c r="E9" s="165">
        <f t="shared" si="0"/>
        <v>32324</v>
      </c>
      <c r="F9" s="165">
        <f t="shared" si="0"/>
        <v>8626</v>
      </c>
      <c r="G9" s="165">
        <f t="shared" si="0"/>
        <v>10220</v>
      </c>
      <c r="H9" s="165">
        <f t="shared" si="0"/>
        <v>82242</v>
      </c>
      <c r="I9" s="165">
        <f t="shared" si="0"/>
        <v>38938</v>
      </c>
      <c r="J9" s="165">
        <f t="shared" si="0"/>
        <v>38802</v>
      </c>
      <c r="K9" s="165">
        <f t="shared" si="0"/>
        <v>31250</v>
      </c>
      <c r="L9" s="165">
        <f t="shared" si="0"/>
        <v>10272</v>
      </c>
      <c r="M9" s="165">
        <f t="shared" si="0"/>
        <v>22630</v>
      </c>
      <c r="N9" s="165">
        <f t="shared" si="0"/>
        <v>26444</v>
      </c>
      <c r="O9" s="165">
        <f t="shared" si="0"/>
        <v>26619</v>
      </c>
      <c r="P9" s="165">
        <f t="shared" si="0"/>
        <v>24723</v>
      </c>
      <c r="Q9" s="165">
        <f t="shared" si="0"/>
        <v>17940</v>
      </c>
      <c r="R9" s="165">
        <f t="shared" si="0"/>
        <v>8679</v>
      </c>
      <c r="S9" s="165">
        <f t="shared" si="0"/>
        <v>11914</v>
      </c>
      <c r="T9" s="165">
        <f t="shared" si="0"/>
        <v>11884</v>
      </c>
      <c r="U9" s="165">
        <f t="shared" si="0"/>
        <v>4233</v>
      </c>
      <c r="V9" s="165">
        <f t="shared" si="0"/>
        <v>7681</v>
      </c>
    </row>
    <row r="10" spans="1:22" s="86" customFormat="1" ht="13.5" thickBot="1">
      <c r="A10" s="166" t="s">
        <v>17</v>
      </c>
      <c r="B10" s="167">
        <f aca="true" t="shared" si="1" ref="B10:V10">SUM(B11:B24)</f>
        <v>1988</v>
      </c>
      <c r="C10" s="165">
        <f t="shared" si="1"/>
        <v>1988</v>
      </c>
      <c r="D10" s="165">
        <f t="shared" si="1"/>
        <v>1674</v>
      </c>
      <c r="E10" s="165">
        <f t="shared" si="1"/>
        <v>852</v>
      </c>
      <c r="F10" s="165">
        <f t="shared" si="1"/>
        <v>0</v>
      </c>
      <c r="G10" s="165">
        <f t="shared" si="1"/>
        <v>0</v>
      </c>
      <c r="H10" s="165">
        <f t="shared" si="1"/>
        <v>1350</v>
      </c>
      <c r="I10" s="29">
        <f t="shared" si="1"/>
        <v>2312</v>
      </c>
      <c r="J10" s="167">
        <f t="shared" si="1"/>
        <v>1399</v>
      </c>
      <c r="K10" s="165">
        <f t="shared" si="1"/>
        <v>1399</v>
      </c>
      <c r="L10" s="165">
        <f t="shared" si="1"/>
        <v>361</v>
      </c>
      <c r="M10" s="165">
        <f t="shared" si="1"/>
        <v>892</v>
      </c>
      <c r="N10" s="29">
        <f t="shared" si="1"/>
        <v>868</v>
      </c>
      <c r="O10" s="167">
        <f t="shared" si="1"/>
        <v>1570</v>
      </c>
      <c r="P10" s="165">
        <f t="shared" si="1"/>
        <v>1543</v>
      </c>
      <c r="Q10" s="165">
        <f t="shared" si="1"/>
        <v>1069</v>
      </c>
      <c r="R10" s="29">
        <f t="shared" si="1"/>
        <v>501</v>
      </c>
      <c r="S10" s="167">
        <f t="shared" si="1"/>
        <v>152</v>
      </c>
      <c r="T10" s="165">
        <f t="shared" si="1"/>
        <v>127</v>
      </c>
      <c r="U10" s="165">
        <f t="shared" si="1"/>
        <v>30</v>
      </c>
      <c r="V10" s="29">
        <f t="shared" si="1"/>
        <v>122</v>
      </c>
    </row>
    <row r="11" spans="1:22" s="40" customFormat="1" ht="12.75">
      <c r="A11" s="141" t="s">
        <v>107</v>
      </c>
      <c r="B11" s="168">
        <v>58</v>
      </c>
      <c r="C11" s="169">
        <v>58</v>
      </c>
      <c r="D11" s="169">
        <v>6</v>
      </c>
      <c r="E11" s="170">
        <v>0</v>
      </c>
      <c r="F11" s="170">
        <v>0</v>
      </c>
      <c r="G11" s="170">
        <v>0</v>
      </c>
      <c r="H11" s="171">
        <v>0</v>
      </c>
      <c r="I11" s="38">
        <f>B11+D11-H11</f>
        <v>64</v>
      </c>
      <c r="J11" s="168">
        <v>44</v>
      </c>
      <c r="K11" s="169">
        <v>44</v>
      </c>
      <c r="L11" s="169">
        <v>39</v>
      </c>
      <c r="M11" s="170">
        <v>0</v>
      </c>
      <c r="N11" s="171">
        <f>J11+L11-M11</f>
        <v>83</v>
      </c>
      <c r="O11" s="168">
        <f>46+29</f>
        <v>75</v>
      </c>
      <c r="P11" s="169">
        <f>42+29</f>
        <v>71</v>
      </c>
      <c r="Q11" s="170">
        <v>75</v>
      </c>
      <c r="R11" s="38">
        <f>O11-Q11</f>
        <v>0</v>
      </c>
      <c r="S11" s="168">
        <f>14+9</f>
        <v>23</v>
      </c>
      <c r="T11" s="169">
        <f>14+9</f>
        <v>23</v>
      </c>
      <c r="U11" s="170">
        <v>0</v>
      </c>
      <c r="V11" s="38">
        <f>S11-U11</f>
        <v>23</v>
      </c>
    </row>
    <row r="12" spans="1:23" s="40" customFormat="1" ht="12.75">
      <c r="A12" s="141" t="s">
        <v>117</v>
      </c>
      <c r="B12" s="168">
        <v>257</v>
      </c>
      <c r="C12" s="169">
        <v>257</v>
      </c>
      <c r="D12" s="169">
        <v>155</v>
      </c>
      <c r="E12" s="170">
        <v>350</v>
      </c>
      <c r="F12" s="170">
        <v>0</v>
      </c>
      <c r="G12" s="170">
        <v>0</v>
      </c>
      <c r="H12" s="171">
        <v>396</v>
      </c>
      <c r="I12" s="38">
        <f aca="true" t="shared" si="2" ref="I12:I24">B12+D12-H12</f>
        <v>16</v>
      </c>
      <c r="J12" s="168">
        <v>137</v>
      </c>
      <c r="K12" s="169">
        <v>137</v>
      </c>
      <c r="L12" s="169">
        <v>1</v>
      </c>
      <c r="M12" s="170">
        <v>0</v>
      </c>
      <c r="N12" s="171">
        <f aca="true" t="shared" si="3" ref="N12:N24">J12+L12-M12</f>
        <v>138</v>
      </c>
      <c r="O12" s="168">
        <f>14+80</f>
        <v>94</v>
      </c>
      <c r="P12" s="169">
        <v>94</v>
      </c>
      <c r="Q12" s="170">
        <v>94</v>
      </c>
      <c r="R12" s="38">
        <f aca="true" t="shared" si="4" ref="R12:R24">O12-Q12</f>
        <v>0</v>
      </c>
      <c r="S12" s="168">
        <v>0</v>
      </c>
      <c r="T12" s="169">
        <v>0</v>
      </c>
      <c r="U12" s="170">
        <v>0</v>
      </c>
      <c r="V12" s="38">
        <f aca="true" t="shared" si="5" ref="V12:V24">S12-U12</f>
        <v>0</v>
      </c>
      <c r="W12" s="172"/>
    </row>
    <row r="13" spans="1:23" ht="12.75">
      <c r="A13" s="173" t="s">
        <v>45</v>
      </c>
      <c r="B13" s="168">
        <v>337</v>
      </c>
      <c r="C13" s="169">
        <v>337</v>
      </c>
      <c r="D13" s="169">
        <v>34</v>
      </c>
      <c r="E13" s="170">
        <v>0</v>
      </c>
      <c r="F13" s="170">
        <v>0</v>
      </c>
      <c r="G13" s="170">
        <v>0</v>
      </c>
      <c r="H13" s="171">
        <v>0</v>
      </c>
      <c r="I13" s="38">
        <f t="shared" si="2"/>
        <v>371</v>
      </c>
      <c r="J13" s="168">
        <v>3</v>
      </c>
      <c r="K13" s="169">
        <v>3</v>
      </c>
      <c r="L13" s="169">
        <v>2</v>
      </c>
      <c r="M13" s="170">
        <v>0</v>
      </c>
      <c r="N13" s="171">
        <f t="shared" si="3"/>
        <v>5</v>
      </c>
      <c r="O13" s="168">
        <f>82+55</f>
        <v>137</v>
      </c>
      <c r="P13" s="169">
        <v>137</v>
      </c>
      <c r="Q13" s="170">
        <v>90</v>
      </c>
      <c r="R13" s="38">
        <f t="shared" si="4"/>
        <v>47</v>
      </c>
      <c r="S13" s="168">
        <v>0</v>
      </c>
      <c r="T13" s="169">
        <v>0</v>
      </c>
      <c r="U13" s="170">
        <v>0</v>
      </c>
      <c r="V13" s="38">
        <f t="shared" si="5"/>
        <v>0</v>
      </c>
      <c r="W13" s="40"/>
    </row>
    <row r="14" spans="1:23" s="40" customFormat="1" ht="12.75">
      <c r="A14" s="141" t="s">
        <v>108</v>
      </c>
      <c r="B14" s="168">
        <v>18</v>
      </c>
      <c r="C14" s="169">
        <v>18</v>
      </c>
      <c r="D14" s="169">
        <v>80</v>
      </c>
      <c r="E14" s="170">
        <v>0</v>
      </c>
      <c r="F14" s="170">
        <v>0</v>
      </c>
      <c r="G14" s="170">
        <v>0</v>
      </c>
      <c r="H14" s="171">
        <v>70</v>
      </c>
      <c r="I14" s="38">
        <f t="shared" si="2"/>
        <v>28</v>
      </c>
      <c r="J14" s="168">
        <v>2</v>
      </c>
      <c r="K14" s="169">
        <v>2</v>
      </c>
      <c r="L14" s="169">
        <v>173</v>
      </c>
      <c r="M14" s="170">
        <v>80</v>
      </c>
      <c r="N14" s="171">
        <f t="shared" si="3"/>
        <v>95</v>
      </c>
      <c r="O14" s="168">
        <f>218+111</f>
        <v>329</v>
      </c>
      <c r="P14" s="169">
        <v>329</v>
      </c>
      <c r="Q14" s="170">
        <v>100</v>
      </c>
      <c r="R14" s="38">
        <f t="shared" si="4"/>
        <v>229</v>
      </c>
      <c r="S14" s="168">
        <v>0</v>
      </c>
      <c r="T14" s="169">
        <v>0</v>
      </c>
      <c r="U14" s="170">
        <v>0</v>
      </c>
      <c r="V14" s="38">
        <f t="shared" si="5"/>
        <v>0</v>
      </c>
      <c r="W14" s="172"/>
    </row>
    <row r="15" spans="1:22" s="40" customFormat="1" ht="12.75">
      <c r="A15" s="141" t="s">
        <v>60</v>
      </c>
      <c r="B15" s="168">
        <v>0</v>
      </c>
      <c r="C15" s="169">
        <v>0</v>
      </c>
      <c r="D15" s="169">
        <v>0</v>
      </c>
      <c r="E15" s="170">
        <v>0</v>
      </c>
      <c r="F15" s="170">
        <v>0</v>
      </c>
      <c r="G15" s="170">
        <v>0</v>
      </c>
      <c r="H15" s="171">
        <v>0</v>
      </c>
      <c r="I15" s="38">
        <f t="shared" si="2"/>
        <v>0</v>
      </c>
      <c r="J15" s="168">
        <v>281</v>
      </c>
      <c r="K15" s="169">
        <v>281</v>
      </c>
      <c r="L15" s="169">
        <v>0</v>
      </c>
      <c r="M15" s="170">
        <v>281</v>
      </c>
      <c r="N15" s="171">
        <f t="shared" si="3"/>
        <v>0</v>
      </c>
      <c r="O15" s="168">
        <f>57+52</f>
        <v>109</v>
      </c>
      <c r="P15" s="169">
        <v>109</v>
      </c>
      <c r="Q15" s="170">
        <v>65</v>
      </c>
      <c r="R15" s="38">
        <f t="shared" si="4"/>
        <v>44</v>
      </c>
      <c r="S15" s="168">
        <v>0</v>
      </c>
      <c r="T15" s="169">
        <v>0</v>
      </c>
      <c r="U15" s="170">
        <v>0</v>
      </c>
      <c r="V15" s="38">
        <f t="shared" si="5"/>
        <v>0</v>
      </c>
    </row>
    <row r="16" spans="1:22" s="40" customFormat="1" ht="12.75">
      <c r="A16" s="141" t="s">
        <v>109</v>
      </c>
      <c r="B16" s="168">
        <v>64</v>
      </c>
      <c r="C16" s="169">
        <v>64</v>
      </c>
      <c r="D16" s="169">
        <v>20</v>
      </c>
      <c r="E16" s="170">
        <v>0</v>
      </c>
      <c r="F16" s="170">
        <v>0</v>
      </c>
      <c r="G16" s="170">
        <v>0</v>
      </c>
      <c r="H16" s="171">
        <v>0</v>
      </c>
      <c r="I16" s="38">
        <f t="shared" si="2"/>
        <v>84</v>
      </c>
      <c r="J16" s="168">
        <v>2</v>
      </c>
      <c r="K16" s="169">
        <v>2</v>
      </c>
      <c r="L16" s="169">
        <v>1</v>
      </c>
      <c r="M16" s="170">
        <v>0</v>
      </c>
      <c r="N16" s="171">
        <f t="shared" si="3"/>
        <v>3</v>
      </c>
      <c r="O16" s="168">
        <f>63+56</f>
        <v>119</v>
      </c>
      <c r="P16" s="169">
        <v>119</v>
      </c>
      <c r="Q16" s="170">
        <v>72</v>
      </c>
      <c r="R16" s="38">
        <f t="shared" si="4"/>
        <v>47</v>
      </c>
      <c r="S16" s="168">
        <v>0</v>
      </c>
      <c r="T16" s="169">
        <v>0</v>
      </c>
      <c r="U16" s="170">
        <v>0</v>
      </c>
      <c r="V16" s="38">
        <f t="shared" si="5"/>
        <v>0</v>
      </c>
    </row>
    <row r="17" spans="1:23" s="40" customFormat="1" ht="12.75">
      <c r="A17" s="141" t="s">
        <v>106</v>
      </c>
      <c r="B17" s="168">
        <v>91</v>
      </c>
      <c r="C17" s="169">
        <v>91</v>
      </c>
      <c r="D17" s="169">
        <v>16</v>
      </c>
      <c r="E17" s="170">
        <v>0</v>
      </c>
      <c r="F17" s="170">
        <v>0</v>
      </c>
      <c r="G17" s="170">
        <v>0</v>
      </c>
      <c r="H17" s="171">
        <v>0</v>
      </c>
      <c r="I17" s="38">
        <f t="shared" si="2"/>
        <v>107</v>
      </c>
      <c r="J17" s="168">
        <v>41</v>
      </c>
      <c r="K17" s="169">
        <v>41</v>
      </c>
      <c r="L17" s="169">
        <v>1</v>
      </c>
      <c r="M17" s="170">
        <v>20</v>
      </c>
      <c r="N17" s="171">
        <f t="shared" si="3"/>
        <v>22</v>
      </c>
      <c r="O17" s="168">
        <f>44+70</f>
        <v>114</v>
      </c>
      <c r="P17" s="169">
        <v>114</v>
      </c>
      <c r="Q17" s="170">
        <v>80</v>
      </c>
      <c r="R17" s="38">
        <f t="shared" si="4"/>
        <v>34</v>
      </c>
      <c r="S17" s="168">
        <v>0</v>
      </c>
      <c r="T17" s="169">
        <v>0</v>
      </c>
      <c r="U17" s="170">
        <v>0</v>
      </c>
      <c r="V17" s="38">
        <f t="shared" si="5"/>
        <v>0</v>
      </c>
      <c r="W17" s="174"/>
    </row>
    <row r="18" spans="1:23" s="40" customFormat="1" ht="12.75">
      <c r="A18" s="141" t="s">
        <v>114</v>
      </c>
      <c r="B18" s="168">
        <v>183</v>
      </c>
      <c r="C18" s="169">
        <v>183</v>
      </c>
      <c r="D18" s="169">
        <v>121</v>
      </c>
      <c r="E18" s="170">
        <v>67</v>
      </c>
      <c r="F18" s="170">
        <v>0</v>
      </c>
      <c r="G18" s="170">
        <v>0</v>
      </c>
      <c r="H18" s="171">
        <v>84</v>
      </c>
      <c r="I18" s="38">
        <f t="shared" si="2"/>
        <v>220</v>
      </c>
      <c r="J18" s="168">
        <v>8</v>
      </c>
      <c r="K18" s="169">
        <v>8</v>
      </c>
      <c r="L18" s="169">
        <v>35</v>
      </c>
      <c r="M18" s="170">
        <v>0</v>
      </c>
      <c r="N18" s="171">
        <f t="shared" si="3"/>
        <v>43</v>
      </c>
      <c r="O18" s="168">
        <f>60+114</f>
        <v>174</v>
      </c>
      <c r="P18" s="169">
        <v>174</v>
      </c>
      <c r="Q18" s="170">
        <v>174</v>
      </c>
      <c r="R18" s="38">
        <f t="shared" si="4"/>
        <v>0</v>
      </c>
      <c r="S18" s="168">
        <v>25</v>
      </c>
      <c r="T18" s="169">
        <v>0</v>
      </c>
      <c r="U18" s="170">
        <v>0</v>
      </c>
      <c r="V18" s="38">
        <f t="shared" si="5"/>
        <v>25</v>
      </c>
      <c r="W18" s="172"/>
    </row>
    <row r="19" spans="1:22" s="40" customFormat="1" ht="12.75">
      <c r="A19" s="141" t="s">
        <v>115</v>
      </c>
      <c r="B19" s="168">
        <v>105</v>
      </c>
      <c r="C19" s="169">
        <v>105</v>
      </c>
      <c r="D19" s="169">
        <v>278</v>
      </c>
      <c r="E19" s="170">
        <v>235</v>
      </c>
      <c r="F19" s="170">
        <v>0</v>
      </c>
      <c r="G19" s="170">
        <v>0</v>
      </c>
      <c r="H19" s="171">
        <v>235</v>
      </c>
      <c r="I19" s="38">
        <f t="shared" si="2"/>
        <v>148</v>
      </c>
      <c r="J19" s="168">
        <f>21+435</f>
        <v>456</v>
      </c>
      <c r="K19" s="169">
        <v>456</v>
      </c>
      <c r="L19" s="169">
        <f>26+10</f>
        <v>36</v>
      </c>
      <c r="M19" s="170">
        <f>20+445</f>
        <v>465</v>
      </c>
      <c r="N19" s="171">
        <f t="shared" si="3"/>
        <v>27</v>
      </c>
      <c r="O19" s="168">
        <f>47+55</f>
        <v>102</v>
      </c>
      <c r="P19" s="169">
        <v>102</v>
      </c>
      <c r="Q19" s="170">
        <v>60</v>
      </c>
      <c r="R19" s="38">
        <f t="shared" si="4"/>
        <v>42</v>
      </c>
      <c r="S19" s="168">
        <v>10</v>
      </c>
      <c r="T19" s="169">
        <v>10</v>
      </c>
      <c r="U19" s="170">
        <v>0</v>
      </c>
      <c r="V19" s="38">
        <f t="shared" si="5"/>
        <v>10</v>
      </c>
    </row>
    <row r="20" spans="1:22" s="40" customFormat="1" ht="12.75">
      <c r="A20" s="141" t="s">
        <v>171</v>
      </c>
      <c r="B20" s="168">
        <v>99</v>
      </c>
      <c r="C20" s="170">
        <v>99</v>
      </c>
      <c r="D20" s="170">
        <v>19</v>
      </c>
      <c r="E20" s="170">
        <v>0</v>
      </c>
      <c r="F20" s="170">
        <v>0</v>
      </c>
      <c r="G20" s="170">
        <v>0</v>
      </c>
      <c r="H20" s="170">
        <v>0</v>
      </c>
      <c r="I20" s="38">
        <f t="shared" si="2"/>
        <v>118</v>
      </c>
      <c r="J20" s="169">
        <v>317</v>
      </c>
      <c r="K20" s="169">
        <v>317</v>
      </c>
      <c r="L20" s="169">
        <v>38</v>
      </c>
      <c r="M20" s="170">
        <v>38</v>
      </c>
      <c r="N20" s="171">
        <f t="shared" si="3"/>
        <v>317</v>
      </c>
      <c r="O20" s="168">
        <f>33+33</f>
        <v>66</v>
      </c>
      <c r="P20" s="169">
        <v>66</v>
      </c>
      <c r="Q20" s="170">
        <v>50</v>
      </c>
      <c r="R20" s="38">
        <f t="shared" si="4"/>
        <v>16</v>
      </c>
      <c r="S20" s="168">
        <f>57+9</f>
        <v>66</v>
      </c>
      <c r="T20" s="170">
        <v>66</v>
      </c>
      <c r="U20" s="170">
        <v>30</v>
      </c>
      <c r="V20" s="38">
        <f t="shared" si="5"/>
        <v>36</v>
      </c>
    </row>
    <row r="21" spans="1:22" s="40" customFormat="1" ht="12.75">
      <c r="A21" s="141" t="s">
        <v>110</v>
      </c>
      <c r="B21" s="168">
        <v>716</v>
      </c>
      <c r="C21" s="170">
        <v>716</v>
      </c>
      <c r="D21" s="170">
        <v>348</v>
      </c>
      <c r="E21" s="170">
        <v>0</v>
      </c>
      <c r="F21" s="170">
        <v>0</v>
      </c>
      <c r="G21" s="170">
        <v>0</v>
      </c>
      <c r="H21" s="170">
        <v>1</v>
      </c>
      <c r="I21" s="171">
        <f t="shared" si="2"/>
        <v>1063</v>
      </c>
      <c r="J21" s="168">
        <v>21</v>
      </c>
      <c r="K21" s="170">
        <v>21</v>
      </c>
      <c r="L21" s="170">
        <v>0</v>
      </c>
      <c r="M21" s="170">
        <v>0</v>
      </c>
      <c r="N21" s="171">
        <f t="shared" si="3"/>
        <v>21</v>
      </c>
      <c r="O21" s="168">
        <f>10+22</f>
        <v>32</v>
      </c>
      <c r="P21" s="170">
        <v>32</v>
      </c>
      <c r="Q21" s="170">
        <v>30</v>
      </c>
      <c r="R21" s="38">
        <f t="shared" si="4"/>
        <v>2</v>
      </c>
      <c r="S21" s="168">
        <v>8</v>
      </c>
      <c r="T21" s="170">
        <v>8</v>
      </c>
      <c r="U21" s="170">
        <v>0</v>
      </c>
      <c r="V21" s="38">
        <f t="shared" si="5"/>
        <v>8</v>
      </c>
    </row>
    <row r="22" spans="1:22" s="40" customFormat="1" ht="12.75">
      <c r="A22" s="141" t="s">
        <v>111</v>
      </c>
      <c r="B22" s="175">
        <v>0</v>
      </c>
      <c r="C22" s="176">
        <v>0</v>
      </c>
      <c r="D22" s="176">
        <v>0</v>
      </c>
      <c r="E22" s="177">
        <v>0</v>
      </c>
      <c r="F22" s="177">
        <v>0</v>
      </c>
      <c r="G22" s="177">
        <v>0</v>
      </c>
      <c r="H22" s="178">
        <v>0</v>
      </c>
      <c r="I22" s="70">
        <f t="shared" si="2"/>
        <v>0</v>
      </c>
      <c r="J22" s="175">
        <v>0</v>
      </c>
      <c r="K22" s="176">
        <v>0</v>
      </c>
      <c r="L22" s="176">
        <v>0</v>
      </c>
      <c r="M22" s="177">
        <v>0</v>
      </c>
      <c r="N22" s="178">
        <f t="shared" si="3"/>
        <v>0</v>
      </c>
      <c r="O22" s="175">
        <v>30</v>
      </c>
      <c r="P22" s="176">
        <v>30</v>
      </c>
      <c r="Q22" s="177">
        <v>30</v>
      </c>
      <c r="R22" s="38">
        <f t="shared" si="4"/>
        <v>0</v>
      </c>
      <c r="S22" s="175">
        <v>0</v>
      </c>
      <c r="T22" s="176">
        <v>0</v>
      </c>
      <c r="U22" s="177">
        <v>0</v>
      </c>
      <c r="V22" s="70">
        <f t="shared" si="5"/>
        <v>0</v>
      </c>
    </row>
    <row r="23" spans="1:54" s="179" customFormat="1" ht="12.75">
      <c r="A23" s="141" t="s">
        <v>112</v>
      </c>
      <c r="B23" s="168">
        <v>8</v>
      </c>
      <c r="C23" s="169">
        <v>8</v>
      </c>
      <c r="D23" s="169">
        <v>3</v>
      </c>
      <c r="E23" s="170">
        <v>0</v>
      </c>
      <c r="F23" s="170">
        <v>0</v>
      </c>
      <c r="G23" s="170">
        <v>0</v>
      </c>
      <c r="H23" s="171">
        <v>0</v>
      </c>
      <c r="I23" s="38">
        <f t="shared" si="2"/>
        <v>11</v>
      </c>
      <c r="J23" s="168">
        <v>5</v>
      </c>
      <c r="K23" s="169">
        <v>5</v>
      </c>
      <c r="L23" s="169">
        <v>5</v>
      </c>
      <c r="M23" s="170">
        <v>8</v>
      </c>
      <c r="N23" s="171">
        <f t="shared" si="3"/>
        <v>2</v>
      </c>
      <c r="O23" s="168">
        <f>8+25</f>
        <v>33</v>
      </c>
      <c r="P23" s="169">
        <v>27</v>
      </c>
      <c r="Q23" s="170">
        <v>27</v>
      </c>
      <c r="R23" s="38">
        <f t="shared" si="4"/>
        <v>6</v>
      </c>
      <c r="S23" s="168">
        <v>5</v>
      </c>
      <c r="T23" s="169">
        <v>5</v>
      </c>
      <c r="U23" s="170">
        <v>0</v>
      </c>
      <c r="V23" s="38">
        <f t="shared" si="5"/>
        <v>5</v>
      </c>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row>
    <row r="24" spans="1:22" s="179" customFormat="1" ht="13.5" thickBot="1">
      <c r="A24" s="180" t="s">
        <v>113</v>
      </c>
      <c r="B24" s="175">
        <v>52</v>
      </c>
      <c r="C24" s="176">
        <v>52</v>
      </c>
      <c r="D24" s="177">
        <v>594</v>
      </c>
      <c r="E24" s="177">
        <v>200</v>
      </c>
      <c r="F24" s="177">
        <v>0</v>
      </c>
      <c r="G24" s="177">
        <v>0</v>
      </c>
      <c r="H24" s="177">
        <v>564</v>
      </c>
      <c r="I24" s="70">
        <f t="shared" si="2"/>
        <v>82</v>
      </c>
      <c r="J24" s="175">
        <v>82</v>
      </c>
      <c r="K24" s="176">
        <v>82</v>
      </c>
      <c r="L24" s="177">
        <v>30</v>
      </c>
      <c r="M24" s="177">
        <v>0</v>
      </c>
      <c r="N24" s="70">
        <f t="shared" si="3"/>
        <v>112</v>
      </c>
      <c r="O24" s="175">
        <v>156</v>
      </c>
      <c r="P24" s="176">
        <v>139</v>
      </c>
      <c r="Q24" s="177">
        <v>122</v>
      </c>
      <c r="R24" s="38">
        <f t="shared" si="4"/>
        <v>34</v>
      </c>
      <c r="S24" s="175">
        <v>15</v>
      </c>
      <c r="T24" s="176">
        <v>15</v>
      </c>
      <c r="U24" s="177">
        <v>0</v>
      </c>
      <c r="V24" s="70">
        <f t="shared" si="5"/>
        <v>15</v>
      </c>
    </row>
    <row r="25" spans="1:54" ht="13.5" thickBot="1">
      <c r="A25" s="164" t="s">
        <v>18</v>
      </c>
      <c r="B25" s="167">
        <f>SUM(B26:B39)</f>
        <v>9883</v>
      </c>
      <c r="C25" s="165">
        <f aca="true" t="shared" si="6" ref="C25:V25">SUM(C26:C39)</f>
        <v>9883</v>
      </c>
      <c r="D25" s="165">
        <f t="shared" si="6"/>
        <v>12214</v>
      </c>
      <c r="E25" s="165">
        <f t="shared" si="6"/>
        <v>2110</v>
      </c>
      <c r="F25" s="165">
        <f t="shared" si="6"/>
        <v>325</v>
      </c>
      <c r="G25" s="165">
        <f t="shared" si="6"/>
        <v>1075</v>
      </c>
      <c r="H25" s="165">
        <f t="shared" si="6"/>
        <v>11085</v>
      </c>
      <c r="I25" s="29">
        <f t="shared" si="6"/>
        <v>11012</v>
      </c>
      <c r="J25" s="167">
        <f t="shared" si="6"/>
        <v>3283</v>
      </c>
      <c r="K25" s="165">
        <f t="shared" si="6"/>
        <v>3283</v>
      </c>
      <c r="L25" s="165">
        <f t="shared" si="6"/>
        <v>767</v>
      </c>
      <c r="M25" s="165">
        <f t="shared" si="6"/>
        <v>885</v>
      </c>
      <c r="N25" s="29">
        <f t="shared" si="6"/>
        <v>3165</v>
      </c>
      <c r="O25" s="167">
        <f t="shared" si="6"/>
        <v>4863</v>
      </c>
      <c r="P25" s="165">
        <f t="shared" si="6"/>
        <v>4455</v>
      </c>
      <c r="Q25" s="165">
        <f t="shared" si="6"/>
        <v>3331</v>
      </c>
      <c r="R25" s="29">
        <f t="shared" si="6"/>
        <v>1532</v>
      </c>
      <c r="S25" s="167">
        <f t="shared" si="6"/>
        <v>823</v>
      </c>
      <c r="T25" s="165">
        <f t="shared" si="6"/>
        <v>823</v>
      </c>
      <c r="U25" s="165">
        <f t="shared" si="6"/>
        <v>224</v>
      </c>
      <c r="V25" s="29">
        <f t="shared" si="6"/>
        <v>599</v>
      </c>
      <c r="W25" s="181"/>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row>
    <row r="26" spans="1:54" s="324" customFormat="1" ht="12.75">
      <c r="A26" s="316" t="s">
        <v>68</v>
      </c>
      <c r="B26" s="317">
        <v>101</v>
      </c>
      <c r="C26" s="318">
        <v>101</v>
      </c>
      <c r="D26" s="318">
        <v>516</v>
      </c>
      <c r="E26" s="319">
        <v>150</v>
      </c>
      <c r="F26" s="319">
        <v>0</v>
      </c>
      <c r="G26" s="319">
        <v>80</v>
      </c>
      <c r="H26" s="320">
        <v>560</v>
      </c>
      <c r="I26" s="321">
        <f aca="true" t="shared" si="7" ref="I26:I39">B26+D26-H26</f>
        <v>57</v>
      </c>
      <c r="J26" s="317">
        <v>126</v>
      </c>
      <c r="K26" s="318">
        <v>126</v>
      </c>
      <c r="L26" s="318">
        <v>33</v>
      </c>
      <c r="M26" s="319">
        <v>159</v>
      </c>
      <c r="N26" s="320">
        <f aca="true" t="shared" si="8" ref="N26:N39">J26+L26-M26</f>
        <v>0</v>
      </c>
      <c r="O26" s="317">
        <f>130+150</f>
        <v>280</v>
      </c>
      <c r="P26" s="318">
        <v>130</v>
      </c>
      <c r="Q26" s="319">
        <v>240</v>
      </c>
      <c r="R26" s="321">
        <f aca="true" t="shared" si="9" ref="R26:R39">O26-Q26</f>
        <v>40</v>
      </c>
      <c r="S26" s="317">
        <v>0</v>
      </c>
      <c r="T26" s="318">
        <v>0</v>
      </c>
      <c r="U26" s="319">
        <v>0</v>
      </c>
      <c r="V26" s="321">
        <f aca="true" t="shared" si="10" ref="V26:V39">S26-U26</f>
        <v>0</v>
      </c>
      <c r="W26" s="322"/>
      <c r="X26" s="323"/>
      <c r="Y26" s="323"/>
      <c r="Z26" s="323"/>
      <c r="AA26" s="323"/>
      <c r="AB26" s="323"/>
      <c r="AC26" s="323"/>
      <c r="AD26" s="323"/>
      <c r="AE26" s="323"/>
      <c r="AF26" s="323"/>
      <c r="AG26" s="323"/>
      <c r="AH26" s="323"/>
      <c r="AI26" s="323"/>
      <c r="AJ26" s="323"/>
      <c r="AK26" s="323"/>
      <c r="AL26" s="323"/>
      <c r="AM26" s="323"/>
      <c r="AN26" s="323"/>
      <c r="AO26" s="323"/>
      <c r="AP26" s="323"/>
      <c r="AQ26" s="323"/>
      <c r="AR26" s="323"/>
      <c r="AS26" s="323"/>
      <c r="AT26" s="323"/>
      <c r="AU26" s="323"/>
      <c r="AV26" s="323"/>
      <c r="AW26" s="323"/>
      <c r="AX26" s="323"/>
      <c r="AY26" s="323"/>
      <c r="AZ26" s="323"/>
      <c r="BA26" s="323"/>
      <c r="BB26" s="323"/>
    </row>
    <row r="27" spans="1:54" s="324" customFormat="1" ht="12.75">
      <c r="A27" s="325" t="s">
        <v>4</v>
      </c>
      <c r="B27" s="326">
        <v>111</v>
      </c>
      <c r="C27" s="327">
        <v>111</v>
      </c>
      <c r="D27" s="327">
        <v>1372</v>
      </c>
      <c r="E27" s="328">
        <v>0</v>
      </c>
      <c r="F27" s="328">
        <v>0</v>
      </c>
      <c r="G27" s="328">
        <v>0</v>
      </c>
      <c r="H27" s="329">
        <v>1119</v>
      </c>
      <c r="I27" s="330">
        <f t="shared" si="7"/>
        <v>364</v>
      </c>
      <c r="J27" s="326">
        <v>49</v>
      </c>
      <c r="K27" s="327">
        <v>49</v>
      </c>
      <c r="L27" s="327">
        <v>35</v>
      </c>
      <c r="M27" s="328">
        <v>0</v>
      </c>
      <c r="N27" s="329">
        <f t="shared" si="8"/>
        <v>84</v>
      </c>
      <c r="O27" s="326">
        <f>105+57</f>
        <v>162</v>
      </c>
      <c r="P27" s="327">
        <f>105+62</f>
        <v>167</v>
      </c>
      <c r="Q27" s="328">
        <v>134</v>
      </c>
      <c r="R27" s="330">
        <f t="shared" si="9"/>
        <v>28</v>
      </c>
      <c r="S27" s="326">
        <v>7</v>
      </c>
      <c r="T27" s="327">
        <v>7</v>
      </c>
      <c r="U27" s="328">
        <v>0</v>
      </c>
      <c r="V27" s="330">
        <f t="shared" si="10"/>
        <v>7</v>
      </c>
      <c r="W27" s="323"/>
      <c r="X27" s="323"/>
      <c r="Y27" s="323"/>
      <c r="Z27" s="323"/>
      <c r="AA27" s="323"/>
      <c r="AB27" s="323"/>
      <c r="AC27" s="323"/>
      <c r="AD27" s="323"/>
      <c r="AE27" s="323"/>
      <c r="AF27" s="323"/>
      <c r="AG27" s="323"/>
      <c r="AH27" s="323"/>
      <c r="AI27" s="323"/>
      <c r="AJ27" s="323"/>
      <c r="AK27" s="323"/>
      <c r="AL27" s="323"/>
      <c r="AM27" s="323"/>
      <c r="AN27" s="323"/>
      <c r="AO27" s="323"/>
      <c r="AP27" s="323"/>
      <c r="AQ27" s="323"/>
      <c r="AR27" s="323"/>
      <c r="AS27" s="323"/>
      <c r="AT27" s="323"/>
      <c r="AU27" s="323"/>
      <c r="AV27" s="323"/>
      <c r="AW27" s="323"/>
      <c r="AX27" s="323"/>
      <c r="AY27" s="323"/>
      <c r="AZ27" s="323"/>
      <c r="BA27" s="323"/>
      <c r="BB27" s="323"/>
    </row>
    <row r="28" spans="1:54" s="324" customFormat="1" ht="12.75">
      <c r="A28" s="325" t="s">
        <v>146</v>
      </c>
      <c r="B28" s="326">
        <v>1101</v>
      </c>
      <c r="C28" s="327">
        <v>1101</v>
      </c>
      <c r="D28" s="327">
        <v>1904</v>
      </c>
      <c r="E28" s="328">
        <v>1030</v>
      </c>
      <c r="F28" s="328">
        <v>0</v>
      </c>
      <c r="G28" s="328">
        <v>0</v>
      </c>
      <c r="H28" s="329">
        <v>1917</v>
      </c>
      <c r="I28" s="330">
        <f t="shared" si="7"/>
        <v>1088</v>
      </c>
      <c r="J28" s="326">
        <v>166</v>
      </c>
      <c r="K28" s="327">
        <v>166</v>
      </c>
      <c r="L28" s="327">
        <v>9</v>
      </c>
      <c r="M28" s="328">
        <v>0</v>
      </c>
      <c r="N28" s="329">
        <f t="shared" si="8"/>
        <v>175</v>
      </c>
      <c r="O28" s="326">
        <f>220+387</f>
        <v>607</v>
      </c>
      <c r="P28" s="327">
        <f>220+355</f>
        <v>575</v>
      </c>
      <c r="Q28" s="328">
        <v>447</v>
      </c>
      <c r="R28" s="330">
        <f t="shared" si="9"/>
        <v>160</v>
      </c>
      <c r="S28" s="326">
        <v>52</v>
      </c>
      <c r="T28" s="327">
        <v>52</v>
      </c>
      <c r="U28" s="328">
        <v>0</v>
      </c>
      <c r="V28" s="330">
        <f t="shared" si="10"/>
        <v>52</v>
      </c>
      <c r="W28" s="323"/>
      <c r="X28" s="323"/>
      <c r="Y28" s="323"/>
      <c r="Z28" s="323"/>
      <c r="AA28" s="323"/>
      <c r="AB28" s="323"/>
      <c r="AC28" s="323"/>
      <c r="AD28" s="323"/>
      <c r="AE28" s="323"/>
      <c r="AF28" s="323"/>
      <c r="AG28" s="323"/>
      <c r="AH28" s="323"/>
      <c r="AI28" s="323"/>
      <c r="AJ28" s="323"/>
      <c r="AK28" s="323"/>
      <c r="AL28" s="323"/>
      <c r="AM28" s="323"/>
      <c r="AN28" s="323"/>
      <c r="AO28" s="323"/>
      <c r="AP28" s="323"/>
      <c r="AQ28" s="323"/>
      <c r="AR28" s="323"/>
      <c r="AS28" s="323"/>
      <c r="AT28" s="323"/>
      <c r="AU28" s="323"/>
      <c r="AV28" s="323"/>
      <c r="AW28" s="323"/>
      <c r="AX28" s="323"/>
      <c r="AY28" s="323"/>
      <c r="AZ28" s="323"/>
      <c r="BA28" s="323"/>
      <c r="BB28" s="323"/>
    </row>
    <row r="29" spans="1:54" s="324" customFormat="1" ht="12.75">
      <c r="A29" s="325" t="s">
        <v>5</v>
      </c>
      <c r="B29" s="331">
        <v>745</v>
      </c>
      <c r="C29" s="332">
        <v>745</v>
      </c>
      <c r="D29" s="332">
        <v>735</v>
      </c>
      <c r="E29" s="333">
        <v>110</v>
      </c>
      <c r="F29" s="333">
        <v>0</v>
      </c>
      <c r="G29" s="333">
        <v>100</v>
      </c>
      <c r="H29" s="334">
        <v>670</v>
      </c>
      <c r="I29" s="335">
        <f t="shared" si="7"/>
        <v>810</v>
      </c>
      <c r="J29" s="326">
        <v>69</v>
      </c>
      <c r="K29" s="327">
        <v>69</v>
      </c>
      <c r="L29" s="327">
        <v>43</v>
      </c>
      <c r="M29" s="328">
        <v>2</v>
      </c>
      <c r="N29" s="329">
        <f t="shared" si="8"/>
        <v>110</v>
      </c>
      <c r="O29" s="326">
        <v>250</v>
      </c>
      <c r="P29" s="327">
        <v>250</v>
      </c>
      <c r="Q29" s="328">
        <v>247</v>
      </c>
      <c r="R29" s="330">
        <f t="shared" si="9"/>
        <v>3</v>
      </c>
      <c r="S29" s="326">
        <v>6</v>
      </c>
      <c r="T29" s="327">
        <v>6</v>
      </c>
      <c r="U29" s="328">
        <v>0</v>
      </c>
      <c r="V29" s="330">
        <f t="shared" si="10"/>
        <v>6</v>
      </c>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3"/>
      <c r="AY29" s="323"/>
      <c r="AZ29" s="323"/>
      <c r="BA29" s="323"/>
      <c r="BB29" s="323"/>
    </row>
    <row r="30" spans="1:54" s="324" customFormat="1" ht="12.75">
      <c r="A30" s="325" t="s">
        <v>99</v>
      </c>
      <c r="B30" s="326">
        <v>6296</v>
      </c>
      <c r="C30" s="327">
        <v>6296</v>
      </c>
      <c r="D30" s="327">
        <v>2157</v>
      </c>
      <c r="E30" s="328">
        <v>170</v>
      </c>
      <c r="F30" s="328">
        <v>0</v>
      </c>
      <c r="G30" s="328">
        <v>0</v>
      </c>
      <c r="H30" s="329">
        <v>1023</v>
      </c>
      <c r="I30" s="330">
        <f t="shared" si="7"/>
        <v>7430</v>
      </c>
      <c r="J30" s="326">
        <v>1279</v>
      </c>
      <c r="K30" s="327">
        <v>1279</v>
      </c>
      <c r="L30" s="327">
        <v>254</v>
      </c>
      <c r="M30" s="328">
        <v>0</v>
      </c>
      <c r="N30" s="329">
        <f t="shared" si="8"/>
        <v>1533</v>
      </c>
      <c r="O30" s="326">
        <f>148+433</f>
        <v>581</v>
      </c>
      <c r="P30" s="327">
        <f>148+433</f>
        <v>581</v>
      </c>
      <c r="Q30" s="328">
        <v>250</v>
      </c>
      <c r="R30" s="330">
        <f t="shared" si="9"/>
        <v>331</v>
      </c>
      <c r="S30" s="326">
        <f>85+313</f>
        <v>398</v>
      </c>
      <c r="T30" s="327">
        <f>85+313</f>
        <v>398</v>
      </c>
      <c r="U30" s="328">
        <v>0</v>
      </c>
      <c r="V30" s="330">
        <f t="shared" si="10"/>
        <v>398</v>
      </c>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323"/>
      <c r="AY30" s="323"/>
      <c r="AZ30" s="323"/>
      <c r="BA30" s="323"/>
      <c r="BB30" s="323"/>
    </row>
    <row r="31" spans="1:54" s="324" customFormat="1" ht="12.75" customHeight="1">
      <c r="A31" s="325" t="s">
        <v>101</v>
      </c>
      <c r="B31" s="326">
        <v>172</v>
      </c>
      <c r="C31" s="327">
        <v>172</v>
      </c>
      <c r="D31" s="327">
        <v>724</v>
      </c>
      <c r="E31" s="328">
        <v>430</v>
      </c>
      <c r="F31" s="328">
        <v>0</v>
      </c>
      <c r="G31" s="328">
        <v>63</v>
      </c>
      <c r="H31" s="329">
        <v>838</v>
      </c>
      <c r="I31" s="330">
        <f t="shared" si="7"/>
        <v>58</v>
      </c>
      <c r="J31" s="326">
        <f>98+270</f>
        <v>368</v>
      </c>
      <c r="K31" s="327">
        <v>368</v>
      </c>
      <c r="L31" s="327">
        <v>71</v>
      </c>
      <c r="M31" s="328">
        <v>80</v>
      </c>
      <c r="N31" s="329">
        <f t="shared" si="8"/>
        <v>359</v>
      </c>
      <c r="O31" s="326">
        <f>95+180</f>
        <v>275</v>
      </c>
      <c r="P31" s="327">
        <v>275</v>
      </c>
      <c r="Q31" s="328">
        <v>250</v>
      </c>
      <c r="R31" s="330">
        <f t="shared" si="9"/>
        <v>25</v>
      </c>
      <c r="S31" s="326">
        <f>9+46</f>
        <v>55</v>
      </c>
      <c r="T31" s="327">
        <v>55</v>
      </c>
      <c r="U31" s="328">
        <v>0</v>
      </c>
      <c r="V31" s="330">
        <f t="shared" si="10"/>
        <v>55</v>
      </c>
      <c r="W31" s="323"/>
      <c r="X31" s="323"/>
      <c r="Y31" s="323"/>
      <c r="Z31" s="323"/>
      <c r="AA31" s="323"/>
      <c r="AB31" s="323"/>
      <c r="AC31" s="323"/>
      <c r="AD31" s="323"/>
      <c r="AE31" s="323"/>
      <c r="AF31" s="323"/>
      <c r="AG31" s="323"/>
      <c r="AH31" s="323"/>
      <c r="AI31" s="323"/>
      <c r="AJ31" s="323"/>
      <c r="AK31" s="323"/>
      <c r="AL31" s="323"/>
      <c r="AM31" s="323"/>
      <c r="AN31" s="323"/>
      <c r="AO31" s="323"/>
      <c r="AP31" s="323"/>
      <c r="AQ31" s="323"/>
      <c r="AR31" s="323"/>
      <c r="AS31" s="323"/>
      <c r="AT31" s="323"/>
      <c r="AU31" s="323"/>
      <c r="AV31" s="323"/>
      <c r="AW31" s="323"/>
      <c r="AX31" s="323"/>
      <c r="AY31" s="323"/>
      <c r="AZ31" s="323"/>
      <c r="BA31" s="323"/>
      <c r="BB31" s="323"/>
    </row>
    <row r="32" spans="1:54" s="324" customFormat="1" ht="12" customHeight="1">
      <c r="A32" s="339" t="s">
        <v>6</v>
      </c>
      <c r="B32" s="336">
        <v>121</v>
      </c>
      <c r="C32" s="337">
        <v>121</v>
      </c>
      <c r="D32" s="327">
        <v>608</v>
      </c>
      <c r="E32" s="328">
        <v>70</v>
      </c>
      <c r="F32" s="328">
        <v>0</v>
      </c>
      <c r="G32" s="328">
        <v>0</v>
      </c>
      <c r="H32" s="329">
        <v>545</v>
      </c>
      <c r="I32" s="330">
        <f t="shared" si="7"/>
        <v>184</v>
      </c>
      <c r="J32" s="326">
        <v>156</v>
      </c>
      <c r="K32" s="327">
        <v>156</v>
      </c>
      <c r="L32" s="327">
        <v>2</v>
      </c>
      <c r="M32" s="328">
        <v>158</v>
      </c>
      <c r="N32" s="329">
        <f t="shared" si="8"/>
        <v>0</v>
      </c>
      <c r="O32" s="326">
        <f>41+165</f>
        <v>206</v>
      </c>
      <c r="P32" s="327">
        <f>41+168</f>
        <v>209</v>
      </c>
      <c r="Q32" s="328">
        <v>41</v>
      </c>
      <c r="R32" s="330">
        <f t="shared" si="9"/>
        <v>165</v>
      </c>
      <c r="S32" s="326">
        <v>14</v>
      </c>
      <c r="T32" s="327">
        <v>14</v>
      </c>
      <c r="U32" s="328">
        <v>14</v>
      </c>
      <c r="V32" s="330">
        <f t="shared" si="10"/>
        <v>0</v>
      </c>
      <c r="W32" s="338"/>
      <c r="X32" s="323"/>
      <c r="Y32" s="323"/>
      <c r="Z32" s="323"/>
      <c r="AA32" s="323"/>
      <c r="AB32" s="323"/>
      <c r="AC32" s="323"/>
      <c r="AD32" s="323"/>
      <c r="AE32" s="323"/>
      <c r="AF32" s="323"/>
      <c r="AG32" s="323"/>
      <c r="AH32" s="323"/>
      <c r="AI32" s="323"/>
      <c r="AJ32" s="323"/>
      <c r="AK32" s="323"/>
      <c r="AL32" s="323"/>
      <c r="AM32" s="323"/>
      <c r="AN32" s="323"/>
      <c r="AO32" s="323"/>
      <c r="AP32" s="323"/>
      <c r="AQ32" s="323"/>
      <c r="AR32" s="323"/>
      <c r="AS32" s="323"/>
      <c r="AT32" s="323"/>
      <c r="AU32" s="323"/>
      <c r="AV32" s="323"/>
      <c r="AW32" s="323"/>
      <c r="AX32" s="323"/>
      <c r="AY32" s="323"/>
      <c r="AZ32" s="323"/>
      <c r="BA32" s="323"/>
      <c r="BB32" s="323"/>
    </row>
    <row r="33" spans="1:54" s="324" customFormat="1" ht="12.75">
      <c r="A33" s="339" t="s">
        <v>7</v>
      </c>
      <c r="B33" s="326">
        <v>101</v>
      </c>
      <c r="C33" s="327">
        <v>101</v>
      </c>
      <c r="D33" s="328">
        <v>309</v>
      </c>
      <c r="E33" s="328">
        <v>0</v>
      </c>
      <c r="F33" s="328">
        <v>0</v>
      </c>
      <c r="G33" s="328">
        <v>0</v>
      </c>
      <c r="H33" s="328">
        <v>176</v>
      </c>
      <c r="I33" s="330">
        <f t="shared" si="7"/>
        <v>234</v>
      </c>
      <c r="J33" s="326">
        <v>80</v>
      </c>
      <c r="K33" s="327">
        <v>80</v>
      </c>
      <c r="L33" s="328">
        <v>63</v>
      </c>
      <c r="M33" s="328">
        <v>0</v>
      </c>
      <c r="N33" s="330">
        <f t="shared" si="8"/>
        <v>143</v>
      </c>
      <c r="O33" s="326">
        <f>136+105</f>
        <v>241</v>
      </c>
      <c r="P33" s="327">
        <v>241</v>
      </c>
      <c r="Q33" s="328">
        <v>150</v>
      </c>
      <c r="R33" s="330">
        <f t="shared" si="9"/>
        <v>91</v>
      </c>
      <c r="S33" s="326">
        <v>4</v>
      </c>
      <c r="T33" s="327">
        <v>4</v>
      </c>
      <c r="U33" s="328">
        <v>0</v>
      </c>
      <c r="V33" s="330">
        <f t="shared" si="10"/>
        <v>4</v>
      </c>
      <c r="W33" s="338"/>
      <c r="X33" s="323"/>
      <c r="Y33" s="323"/>
      <c r="Z33" s="323"/>
      <c r="AA33" s="323"/>
      <c r="AB33" s="323"/>
      <c r="AC33" s="323"/>
      <c r="AD33" s="323"/>
      <c r="AE33" s="323"/>
      <c r="AF33" s="323"/>
      <c r="AG33" s="323"/>
      <c r="AH33" s="323"/>
      <c r="AI33" s="323"/>
      <c r="AJ33" s="323"/>
      <c r="AK33" s="323"/>
      <c r="AL33" s="323"/>
      <c r="AM33" s="323"/>
      <c r="AN33" s="323"/>
      <c r="AO33" s="323"/>
      <c r="AP33" s="323"/>
      <c r="AQ33" s="323"/>
      <c r="AR33" s="323"/>
      <c r="AS33" s="323"/>
      <c r="AT33" s="323"/>
      <c r="AU33" s="323"/>
      <c r="AV33" s="323"/>
      <c r="AW33" s="323"/>
      <c r="AX33" s="323"/>
      <c r="AY33" s="323"/>
      <c r="AZ33" s="323"/>
      <c r="BA33" s="323"/>
      <c r="BB33" s="323"/>
    </row>
    <row r="34" spans="1:54" s="324" customFormat="1" ht="12.75">
      <c r="A34" s="340" t="s">
        <v>102</v>
      </c>
      <c r="B34" s="341">
        <v>208</v>
      </c>
      <c r="C34" s="328">
        <v>208</v>
      </c>
      <c r="D34" s="342">
        <v>1023</v>
      </c>
      <c r="E34" s="343">
        <v>0</v>
      </c>
      <c r="F34" s="343">
        <v>120</v>
      </c>
      <c r="G34" s="343">
        <v>412</v>
      </c>
      <c r="H34" s="343">
        <v>1231</v>
      </c>
      <c r="I34" s="344">
        <f t="shared" si="7"/>
        <v>0</v>
      </c>
      <c r="J34" s="342">
        <v>159</v>
      </c>
      <c r="K34" s="342">
        <v>159</v>
      </c>
      <c r="L34" s="342">
        <v>15</v>
      </c>
      <c r="M34" s="343">
        <f>55+119</f>
        <v>174</v>
      </c>
      <c r="N34" s="345">
        <f t="shared" si="8"/>
        <v>0</v>
      </c>
      <c r="O34" s="317">
        <f>133+45</f>
        <v>178</v>
      </c>
      <c r="P34" s="342">
        <v>178</v>
      </c>
      <c r="Q34" s="343">
        <v>178</v>
      </c>
      <c r="R34" s="344">
        <f t="shared" si="9"/>
        <v>0</v>
      </c>
      <c r="S34" s="317">
        <v>50</v>
      </c>
      <c r="T34" s="342">
        <v>50</v>
      </c>
      <c r="U34" s="343">
        <v>50</v>
      </c>
      <c r="V34" s="344">
        <f t="shared" si="10"/>
        <v>0</v>
      </c>
      <c r="W34" s="323"/>
      <c r="X34" s="323"/>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3"/>
      <c r="AY34" s="323"/>
      <c r="AZ34" s="323"/>
      <c r="BA34" s="323"/>
      <c r="BB34" s="323"/>
    </row>
    <row r="35" spans="1:54" s="324" customFormat="1" ht="12.75">
      <c r="A35" s="346" t="s">
        <v>8</v>
      </c>
      <c r="B35" s="347">
        <v>322</v>
      </c>
      <c r="C35" s="342">
        <v>322</v>
      </c>
      <c r="D35" s="348">
        <v>567</v>
      </c>
      <c r="E35" s="349">
        <v>0</v>
      </c>
      <c r="F35" s="349">
        <v>0</v>
      </c>
      <c r="G35" s="349">
        <v>200</v>
      </c>
      <c r="H35" s="350">
        <v>560</v>
      </c>
      <c r="I35" s="351">
        <f t="shared" si="7"/>
        <v>329</v>
      </c>
      <c r="J35" s="347">
        <v>3</v>
      </c>
      <c r="K35" s="348">
        <v>3</v>
      </c>
      <c r="L35" s="348">
        <v>22</v>
      </c>
      <c r="M35" s="349">
        <v>25</v>
      </c>
      <c r="N35" s="350">
        <f t="shared" si="8"/>
        <v>0</v>
      </c>
      <c r="O35" s="347">
        <f>167+530</f>
        <v>697</v>
      </c>
      <c r="P35" s="348">
        <v>697</v>
      </c>
      <c r="Q35" s="349">
        <v>300</v>
      </c>
      <c r="R35" s="351">
        <f t="shared" si="9"/>
        <v>397</v>
      </c>
      <c r="S35" s="347">
        <v>2</v>
      </c>
      <c r="T35" s="348">
        <v>2</v>
      </c>
      <c r="U35" s="349">
        <v>0</v>
      </c>
      <c r="V35" s="351">
        <f t="shared" si="10"/>
        <v>2</v>
      </c>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23"/>
      <c r="AW35" s="323"/>
      <c r="AX35" s="323"/>
      <c r="AY35" s="323"/>
      <c r="AZ35" s="323"/>
      <c r="BA35" s="323"/>
      <c r="BB35" s="323"/>
    </row>
    <row r="36" spans="1:22" s="324" customFormat="1" ht="12.75">
      <c r="A36" s="352" t="s">
        <v>85</v>
      </c>
      <c r="B36" s="347">
        <v>113</v>
      </c>
      <c r="C36" s="348">
        <v>113</v>
      </c>
      <c r="D36" s="349">
        <v>928</v>
      </c>
      <c r="E36" s="349">
        <v>0</v>
      </c>
      <c r="F36" s="349">
        <v>105</v>
      </c>
      <c r="G36" s="349">
        <v>120</v>
      </c>
      <c r="H36" s="349">
        <v>1041</v>
      </c>
      <c r="I36" s="351">
        <f t="shared" si="7"/>
        <v>0</v>
      </c>
      <c r="J36" s="347">
        <v>42</v>
      </c>
      <c r="K36" s="348">
        <v>42</v>
      </c>
      <c r="L36" s="349">
        <v>19</v>
      </c>
      <c r="M36" s="349">
        <f>27+34</f>
        <v>61</v>
      </c>
      <c r="N36" s="351">
        <f t="shared" si="8"/>
        <v>0</v>
      </c>
      <c r="O36" s="347">
        <f>100+324</f>
        <v>424</v>
      </c>
      <c r="P36" s="348">
        <f>100+90</f>
        <v>190</v>
      </c>
      <c r="Q36" s="349">
        <v>300</v>
      </c>
      <c r="R36" s="351">
        <f t="shared" si="9"/>
        <v>124</v>
      </c>
      <c r="S36" s="347">
        <v>10</v>
      </c>
      <c r="T36" s="348">
        <v>10</v>
      </c>
      <c r="U36" s="349">
        <v>10</v>
      </c>
      <c r="V36" s="351">
        <f t="shared" si="10"/>
        <v>0</v>
      </c>
    </row>
    <row r="37" spans="1:22" s="324" customFormat="1" ht="22.5" customHeight="1">
      <c r="A37" s="353" t="s">
        <v>103</v>
      </c>
      <c r="B37" s="326">
        <v>154</v>
      </c>
      <c r="C37" s="327">
        <v>154</v>
      </c>
      <c r="D37" s="327">
        <v>542</v>
      </c>
      <c r="E37" s="328">
        <v>0</v>
      </c>
      <c r="F37" s="328">
        <v>100</v>
      </c>
      <c r="G37" s="328">
        <v>50</v>
      </c>
      <c r="H37" s="329">
        <v>540</v>
      </c>
      <c r="I37" s="330">
        <f t="shared" si="7"/>
        <v>156</v>
      </c>
      <c r="J37" s="326">
        <f>117+222</f>
        <v>339</v>
      </c>
      <c r="K37" s="327">
        <v>339</v>
      </c>
      <c r="L37" s="327">
        <v>78</v>
      </c>
      <c r="M37" s="328">
        <v>153</v>
      </c>
      <c r="N37" s="329">
        <f t="shared" si="8"/>
        <v>264</v>
      </c>
      <c r="O37" s="326">
        <f>113+275</f>
        <v>388</v>
      </c>
      <c r="P37" s="327">
        <v>388</v>
      </c>
      <c r="Q37" s="328">
        <v>354</v>
      </c>
      <c r="R37" s="330">
        <f t="shared" si="9"/>
        <v>34</v>
      </c>
      <c r="S37" s="326">
        <f>28+184</f>
        <v>212</v>
      </c>
      <c r="T37" s="327">
        <v>212</v>
      </c>
      <c r="U37" s="328">
        <v>150</v>
      </c>
      <c r="V37" s="330">
        <f t="shared" si="10"/>
        <v>62</v>
      </c>
    </row>
    <row r="38" spans="1:22" s="324" customFormat="1" ht="12.75">
      <c r="A38" s="325" t="s">
        <v>34</v>
      </c>
      <c r="B38" s="347">
        <v>206</v>
      </c>
      <c r="C38" s="348">
        <v>206</v>
      </c>
      <c r="D38" s="348">
        <v>149</v>
      </c>
      <c r="E38" s="349">
        <v>0</v>
      </c>
      <c r="F38" s="349">
        <v>0</v>
      </c>
      <c r="G38" s="349">
        <v>50</v>
      </c>
      <c r="H38" s="350">
        <v>107</v>
      </c>
      <c r="I38" s="351">
        <f t="shared" si="7"/>
        <v>248</v>
      </c>
      <c r="J38" s="347">
        <v>52</v>
      </c>
      <c r="K38" s="348">
        <v>52</v>
      </c>
      <c r="L38" s="348">
        <v>103</v>
      </c>
      <c r="M38" s="349">
        <v>23</v>
      </c>
      <c r="N38" s="350">
        <f t="shared" si="8"/>
        <v>132</v>
      </c>
      <c r="O38" s="347">
        <f>95+208</f>
        <v>303</v>
      </c>
      <c r="P38" s="348">
        <v>303</v>
      </c>
      <c r="Q38" s="349">
        <v>170</v>
      </c>
      <c r="R38" s="351">
        <f t="shared" si="9"/>
        <v>133</v>
      </c>
      <c r="S38" s="347">
        <v>3</v>
      </c>
      <c r="T38" s="348">
        <v>3</v>
      </c>
      <c r="U38" s="349">
        <v>0</v>
      </c>
      <c r="V38" s="351">
        <f t="shared" si="10"/>
        <v>3</v>
      </c>
    </row>
    <row r="39" spans="1:22" s="324" customFormat="1" ht="13.5" thickBot="1">
      <c r="A39" s="346" t="s">
        <v>35</v>
      </c>
      <c r="B39" s="347">
        <v>132</v>
      </c>
      <c r="C39" s="348">
        <v>132</v>
      </c>
      <c r="D39" s="348">
        <v>680</v>
      </c>
      <c r="E39" s="349">
        <v>150</v>
      </c>
      <c r="F39" s="349">
        <v>0</v>
      </c>
      <c r="G39" s="349">
        <v>0</v>
      </c>
      <c r="H39" s="350">
        <v>758</v>
      </c>
      <c r="I39" s="351">
        <f t="shared" si="7"/>
        <v>54</v>
      </c>
      <c r="J39" s="347">
        <v>395</v>
      </c>
      <c r="K39" s="348">
        <v>395</v>
      </c>
      <c r="L39" s="348">
        <v>20</v>
      </c>
      <c r="M39" s="349">
        <v>50</v>
      </c>
      <c r="N39" s="350">
        <f t="shared" si="8"/>
        <v>365</v>
      </c>
      <c r="O39" s="347">
        <v>271</v>
      </c>
      <c r="P39" s="348">
        <v>271</v>
      </c>
      <c r="Q39" s="349">
        <v>270</v>
      </c>
      <c r="R39" s="351">
        <f t="shared" si="9"/>
        <v>1</v>
      </c>
      <c r="S39" s="347">
        <v>10</v>
      </c>
      <c r="T39" s="348">
        <v>10</v>
      </c>
      <c r="U39" s="349">
        <v>0</v>
      </c>
      <c r="V39" s="351">
        <f t="shared" si="10"/>
        <v>10</v>
      </c>
    </row>
    <row r="40" spans="1:23" s="86" customFormat="1" ht="13.5" thickBot="1">
      <c r="A40" s="166" t="s">
        <v>20</v>
      </c>
      <c r="B40" s="167">
        <f aca="true" t="shared" si="11" ref="B40:V40">SUM(B41+B42+B43+B44+B45+B46+B53+B54+B55+B56+B57+B58+B59+B60+B61+B62+B63)</f>
        <v>8223</v>
      </c>
      <c r="C40" s="165">
        <f t="shared" si="11"/>
        <v>8149</v>
      </c>
      <c r="D40" s="165">
        <f t="shared" si="11"/>
        <v>23799</v>
      </c>
      <c r="E40" s="165">
        <f t="shared" si="11"/>
        <v>8146</v>
      </c>
      <c r="F40" s="165">
        <f t="shared" si="11"/>
        <v>3535</v>
      </c>
      <c r="G40" s="165">
        <f t="shared" si="11"/>
        <v>3939</v>
      </c>
      <c r="H40" s="192">
        <f t="shared" si="11"/>
        <v>25783</v>
      </c>
      <c r="I40" s="29">
        <f t="shared" si="11"/>
        <v>6239</v>
      </c>
      <c r="J40" s="167">
        <f t="shared" si="11"/>
        <v>8489</v>
      </c>
      <c r="K40" s="165">
        <f t="shared" si="11"/>
        <v>7099</v>
      </c>
      <c r="L40" s="165">
        <f t="shared" si="11"/>
        <v>2701</v>
      </c>
      <c r="M40" s="165">
        <f t="shared" si="11"/>
        <v>8432</v>
      </c>
      <c r="N40" s="29">
        <f t="shared" si="11"/>
        <v>2758</v>
      </c>
      <c r="O40" s="167">
        <f t="shared" si="11"/>
        <v>7414</v>
      </c>
      <c r="P40" s="167">
        <f t="shared" si="11"/>
        <v>6888</v>
      </c>
      <c r="Q40" s="165">
        <f t="shared" si="11"/>
        <v>4908</v>
      </c>
      <c r="R40" s="29">
        <f t="shared" si="11"/>
        <v>2506</v>
      </c>
      <c r="S40" s="167">
        <f t="shared" si="11"/>
        <v>4146</v>
      </c>
      <c r="T40" s="165">
        <f t="shared" si="11"/>
        <v>4146</v>
      </c>
      <c r="U40" s="165">
        <f t="shared" si="11"/>
        <v>1885</v>
      </c>
      <c r="V40" s="29">
        <f t="shared" si="11"/>
        <v>2261</v>
      </c>
      <c r="W40" s="193"/>
    </row>
    <row r="41" spans="1:22" s="40" customFormat="1" ht="24" customHeight="1">
      <c r="A41" s="146" t="s">
        <v>118</v>
      </c>
      <c r="B41" s="188">
        <v>41</v>
      </c>
      <c r="C41" s="189">
        <v>41</v>
      </c>
      <c r="D41" s="189">
        <v>741</v>
      </c>
      <c r="E41" s="190">
        <v>0</v>
      </c>
      <c r="F41" s="190">
        <v>370</v>
      </c>
      <c r="G41" s="190">
        <v>45</v>
      </c>
      <c r="H41" s="191">
        <v>655</v>
      </c>
      <c r="I41" s="71">
        <f aca="true" t="shared" si="12" ref="I41:I46">B41+D41-H41</f>
        <v>127</v>
      </c>
      <c r="J41" s="168">
        <v>33</v>
      </c>
      <c r="K41" s="170">
        <v>33</v>
      </c>
      <c r="L41" s="170">
        <f>395+2</f>
        <v>397</v>
      </c>
      <c r="M41" s="170">
        <v>395</v>
      </c>
      <c r="N41" s="38">
        <f aca="true" t="shared" si="13" ref="N41:N46">J41+L41-M41</f>
        <v>35</v>
      </c>
      <c r="O41" s="188">
        <v>116</v>
      </c>
      <c r="P41" s="194">
        <v>116</v>
      </c>
      <c r="Q41" s="195">
        <v>116</v>
      </c>
      <c r="R41" s="71">
        <f aca="true" t="shared" si="14" ref="R41:R46">O41-Q41</f>
        <v>0</v>
      </c>
      <c r="S41" s="188">
        <f>1+5</f>
        <v>6</v>
      </c>
      <c r="T41" s="189">
        <f>1+5</f>
        <v>6</v>
      </c>
      <c r="U41" s="190">
        <v>0</v>
      </c>
      <c r="V41" s="71">
        <f aca="true" t="shared" si="15" ref="V41:V46">S41-U41</f>
        <v>6</v>
      </c>
    </row>
    <row r="42" spans="1:22" s="40" customFormat="1" ht="22.5">
      <c r="A42" s="57" t="s">
        <v>119</v>
      </c>
      <c r="B42" s="196">
        <v>41</v>
      </c>
      <c r="C42" s="197">
        <v>41</v>
      </c>
      <c r="D42" s="197">
        <v>1493</v>
      </c>
      <c r="E42" s="198">
        <v>800</v>
      </c>
      <c r="F42" s="198">
        <v>0</v>
      </c>
      <c r="G42" s="198">
        <v>200</v>
      </c>
      <c r="H42" s="199">
        <v>1527</v>
      </c>
      <c r="I42" s="47">
        <f>B42+D42-H42</f>
        <v>7</v>
      </c>
      <c r="J42" s="188">
        <f>31+356</f>
        <v>387</v>
      </c>
      <c r="K42" s="189">
        <v>31</v>
      </c>
      <c r="L42" s="189">
        <v>167</v>
      </c>
      <c r="M42" s="190">
        <f>100+356</f>
        <v>456</v>
      </c>
      <c r="N42" s="191">
        <f t="shared" si="13"/>
        <v>98</v>
      </c>
      <c r="O42" s="188">
        <f>95+86</f>
        <v>181</v>
      </c>
      <c r="P42" s="189">
        <v>181</v>
      </c>
      <c r="Q42" s="190">
        <v>140</v>
      </c>
      <c r="R42" s="71">
        <f t="shared" si="14"/>
        <v>41</v>
      </c>
      <c r="S42" s="188">
        <v>79</v>
      </c>
      <c r="T42" s="189">
        <v>79</v>
      </c>
      <c r="U42" s="190">
        <v>0</v>
      </c>
      <c r="V42" s="71">
        <f t="shared" si="15"/>
        <v>79</v>
      </c>
    </row>
    <row r="43" spans="1:22" s="40" customFormat="1" ht="23.25" customHeight="1">
      <c r="A43" s="31" t="s">
        <v>120</v>
      </c>
      <c r="B43" s="196">
        <v>74</v>
      </c>
      <c r="C43" s="197">
        <v>0</v>
      </c>
      <c r="D43" s="197">
        <v>446</v>
      </c>
      <c r="E43" s="198">
        <v>60</v>
      </c>
      <c r="F43" s="198">
        <v>0</v>
      </c>
      <c r="G43" s="198">
        <v>0</v>
      </c>
      <c r="H43" s="199">
        <v>318</v>
      </c>
      <c r="I43" s="47">
        <f t="shared" si="12"/>
        <v>202</v>
      </c>
      <c r="J43" s="188">
        <v>70</v>
      </c>
      <c r="K43" s="189">
        <v>70</v>
      </c>
      <c r="L43" s="189">
        <v>80</v>
      </c>
      <c r="M43" s="190">
        <v>60</v>
      </c>
      <c r="N43" s="191">
        <f t="shared" si="13"/>
        <v>90</v>
      </c>
      <c r="O43" s="188">
        <f>128+155</f>
        <v>283</v>
      </c>
      <c r="P43" s="189">
        <v>283</v>
      </c>
      <c r="Q43" s="190">
        <v>204</v>
      </c>
      <c r="R43" s="71">
        <f t="shared" si="14"/>
        <v>79</v>
      </c>
      <c r="S43" s="188">
        <f>3+126</f>
        <v>129</v>
      </c>
      <c r="T43" s="189">
        <f>3+126</f>
        <v>129</v>
      </c>
      <c r="U43" s="190">
        <v>0</v>
      </c>
      <c r="V43" s="71">
        <f t="shared" si="15"/>
        <v>129</v>
      </c>
    </row>
    <row r="44" spans="1:22" s="40" customFormat="1" ht="27.75" customHeight="1">
      <c r="A44" s="57" t="s">
        <v>121</v>
      </c>
      <c r="B44" s="196">
        <v>483</v>
      </c>
      <c r="C44" s="197">
        <v>483</v>
      </c>
      <c r="D44" s="197">
        <v>360</v>
      </c>
      <c r="E44" s="198">
        <v>200</v>
      </c>
      <c r="F44" s="198">
        <v>0</v>
      </c>
      <c r="G44" s="198">
        <v>0</v>
      </c>
      <c r="H44" s="199">
        <v>436</v>
      </c>
      <c r="I44" s="47">
        <f t="shared" si="12"/>
        <v>407</v>
      </c>
      <c r="J44" s="188">
        <v>289</v>
      </c>
      <c r="K44" s="189">
        <v>289</v>
      </c>
      <c r="L44" s="189">
        <v>184</v>
      </c>
      <c r="M44" s="190">
        <v>300</v>
      </c>
      <c r="N44" s="191">
        <f t="shared" si="13"/>
        <v>173</v>
      </c>
      <c r="O44" s="188">
        <f>105+93</f>
        <v>198</v>
      </c>
      <c r="P44" s="189">
        <v>198</v>
      </c>
      <c r="Q44" s="190">
        <v>198</v>
      </c>
      <c r="R44" s="71">
        <f t="shared" si="14"/>
        <v>0</v>
      </c>
      <c r="S44" s="188">
        <f>50+54</f>
        <v>104</v>
      </c>
      <c r="T44" s="189">
        <f>50+54</f>
        <v>104</v>
      </c>
      <c r="U44" s="190">
        <v>0</v>
      </c>
      <c r="V44" s="71">
        <f t="shared" si="15"/>
        <v>104</v>
      </c>
    </row>
    <row r="45" spans="1:22" s="40" customFormat="1" ht="15" customHeight="1">
      <c r="A45" s="145" t="s">
        <v>122</v>
      </c>
      <c r="B45" s="196">
        <v>32</v>
      </c>
      <c r="C45" s="197">
        <v>32</v>
      </c>
      <c r="D45" s="197">
        <v>1941</v>
      </c>
      <c r="E45" s="198">
        <v>1304</v>
      </c>
      <c r="F45" s="198">
        <v>0</v>
      </c>
      <c r="G45" s="198">
        <v>484</v>
      </c>
      <c r="H45" s="199">
        <v>1973</v>
      </c>
      <c r="I45" s="47">
        <f t="shared" si="12"/>
        <v>0</v>
      </c>
      <c r="J45" s="188">
        <v>241</v>
      </c>
      <c r="K45" s="189">
        <v>241</v>
      </c>
      <c r="L45" s="189">
        <v>0</v>
      </c>
      <c r="M45" s="190">
        <v>0</v>
      </c>
      <c r="N45" s="191">
        <f t="shared" si="13"/>
        <v>241</v>
      </c>
      <c r="O45" s="188">
        <f>177+106</f>
        <v>283</v>
      </c>
      <c r="P45" s="189">
        <v>283</v>
      </c>
      <c r="Q45" s="190">
        <v>273</v>
      </c>
      <c r="R45" s="71">
        <f t="shared" si="14"/>
        <v>10</v>
      </c>
      <c r="S45" s="188">
        <f>223+205</f>
        <v>428</v>
      </c>
      <c r="T45" s="189">
        <f>223+205</f>
        <v>428</v>
      </c>
      <c r="U45" s="190">
        <v>428</v>
      </c>
      <c r="V45" s="71">
        <f t="shared" si="15"/>
        <v>0</v>
      </c>
    </row>
    <row r="46" spans="1:22" s="40" customFormat="1" ht="24.75" customHeight="1" thickBot="1">
      <c r="A46" s="142" t="s">
        <v>123</v>
      </c>
      <c r="B46" s="200">
        <v>486</v>
      </c>
      <c r="C46" s="201">
        <v>486</v>
      </c>
      <c r="D46" s="201">
        <v>1782</v>
      </c>
      <c r="E46" s="202">
        <v>284</v>
      </c>
      <c r="F46" s="202">
        <v>750</v>
      </c>
      <c r="G46" s="202">
        <v>0</v>
      </c>
      <c r="H46" s="203">
        <v>1791</v>
      </c>
      <c r="I46" s="204">
        <f t="shared" si="12"/>
        <v>477</v>
      </c>
      <c r="J46" s="205">
        <f>190+356</f>
        <v>546</v>
      </c>
      <c r="K46" s="206">
        <f>190+356</f>
        <v>546</v>
      </c>
      <c r="L46" s="206">
        <v>21</v>
      </c>
      <c r="M46" s="207">
        <f>50+356</f>
        <v>406</v>
      </c>
      <c r="N46" s="208">
        <f t="shared" si="13"/>
        <v>161</v>
      </c>
      <c r="O46" s="205">
        <f>160+592</f>
        <v>752</v>
      </c>
      <c r="P46" s="206">
        <v>752</v>
      </c>
      <c r="Q46" s="207">
        <v>447</v>
      </c>
      <c r="R46" s="63">
        <f t="shared" si="14"/>
        <v>305</v>
      </c>
      <c r="S46" s="205">
        <f>0+1</f>
        <v>1</v>
      </c>
      <c r="T46" s="206">
        <f>1</f>
        <v>1</v>
      </c>
      <c r="U46" s="207">
        <v>0</v>
      </c>
      <c r="V46" s="63">
        <f t="shared" si="15"/>
        <v>1</v>
      </c>
    </row>
    <row r="47" spans="1:22" s="40" customFormat="1" ht="12.75">
      <c r="A47" s="209"/>
      <c r="B47" s="128"/>
      <c r="C47" s="128"/>
      <c r="D47" s="128"/>
      <c r="E47" s="128"/>
      <c r="F47" s="128"/>
      <c r="G47" s="128"/>
      <c r="H47" s="128"/>
      <c r="I47" s="128"/>
      <c r="J47" s="210"/>
      <c r="K47" s="210"/>
      <c r="L47" s="210"/>
      <c r="M47" s="210"/>
      <c r="N47" s="210"/>
      <c r="O47" s="210"/>
      <c r="P47" s="210"/>
      <c r="Q47" s="210"/>
      <c r="R47" s="210"/>
      <c r="S47" s="210"/>
      <c r="T47" s="210"/>
      <c r="U47" s="210"/>
      <c r="V47" s="210"/>
    </row>
    <row r="48" spans="1:23" ht="18" customHeight="1" thickBot="1">
      <c r="A48" s="423" t="s">
        <v>147</v>
      </c>
      <c r="B48" s="423"/>
      <c r="C48" s="423"/>
      <c r="D48" s="423"/>
      <c r="E48" s="423"/>
      <c r="F48" s="423"/>
      <c r="G48" s="423"/>
      <c r="H48" s="423"/>
      <c r="I48" s="423"/>
      <c r="J48" s="423"/>
      <c r="K48" s="423"/>
      <c r="L48" s="423"/>
      <c r="M48" s="423"/>
      <c r="N48" s="423"/>
      <c r="O48" s="423"/>
      <c r="P48" s="423"/>
      <c r="Q48" s="423"/>
      <c r="R48" s="423"/>
      <c r="S48" s="423"/>
      <c r="T48" s="423"/>
      <c r="U48" s="423"/>
      <c r="V48" s="423"/>
      <c r="W48" s="16"/>
    </row>
    <row r="49" spans="1:22" ht="12.75">
      <c r="A49" s="3"/>
      <c r="B49" s="4" t="s">
        <v>12</v>
      </c>
      <c r="C49" s="5"/>
      <c r="D49" s="5"/>
      <c r="E49" s="5"/>
      <c r="F49" s="5"/>
      <c r="G49" s="5"/>
      <c r="H49" s="5"/>
      <c r="I49" s="6"/>
      <c r="J49" s="4" t="s">
        <v>13</v>
      </c>
      <c r="K49" s="5"/>
      <c r="L49" s="7"/>
      <c r="M49" s="5"/>
      <c r="N49" s="6"/>
      <c r="O49" s="504" t="s">
        <v>14</v>
      </c>
      <c r="P49" s="505"/>
      <c r="Q49" s="505"/>
      <c r="R49" s="506"/>
      <c r="S49" s="504" t="s">
        <v>15</v>
      </c>
      <c r="T49" s="507"/>
      <c r="U49" s="507"/>
      <c r="V49" s="508"/>
    </row>
    <row r="50" spans="1:23" s="13" customFormat="1" ht="14.25" customHeight="1">
      <c r="A50" s="9" t="s">
        <v>3</v>
      </c>
      <c r="B50" s="487" t="s">
        <v>149</v>
      </c>
      <c r="C50" s="499" t="s">
        <v>150</v>
      </c>
      <c r="D50" s="484" t="s">
        <v>81</v>
      </c>
      <c r="E50" s="10" t="s">
        <v>16</v>
      </c>
      <c r="F50" s="10"/>
      <c r="G50" s="10"/>
      <c r="H50" s="11"/>
      <c r="I50" s="490" t="s">
        <v>151</v>
      </c>
      <c r="J50" s="487" t="s">
        <v>149</v>
      </c>
      <c r="K50" s="499" t="s">
        <v>150</v>
      </c>
      <c r="L50" s="484" t="s">
        <v>83</v>
      </c>
      <c r="M50" s="496" t="s">
        <v>84</v>
      </c>
      <c r="N50" s="490" t="s">
        <v>151</v>
      </c>
      <c r="O50" s="487" t="s">
        <v>152</v>
      </c>
      <c r="P50" s="493" t="s">
        <v>153</v>
      </c>
      <c r="Q50" s="496" t="s">
        <v>84</v>
      </c>
      <c r="R50" s="490" t="s">
        <v>151</v>
      </c>
      <c r="S50" s="487" t="s">
        <v>152</v>
      </c>
      <c r="T50" s="493" t="s">
        <v>153</v>
      </c>
      <c r="U50" s="496" t="s">
        <v>84</v>
      </c>
      <c r="V50" s="490" t="s">
        <v>151</v>
      </c>
      <c r="W50" s="12" t="s">
        <v>19</v>
      </c>
    </row>
    <row r="51" spans="1:22" ht="12.75" customHeight="1">
      <c r="A51" s="14"/>
      <c r="B51" s="488"/>
      <c r="C51" s="500" t="s">
        <v>33</v>
      </c>
      <c r="D51" s="485"/>
      <c r="E51" s="502" t="s">
        <v>90</v>
      </c>
      <c r="F51" s="502" t="s">
        <v>62</v>
      </c>
      <c r="G51" s="502" t="s">
        <v>63</v>
      </c>
      <c r="H51" s="496" t="s">
        <v>82</v>
      </c>
      <c r="I51" s="491"/>
      <c r="J51" s="488"/>
      <c r="K51" s="500" t="s">
        <v>33</v>
      </c>
      <c r="L51" s="485"/>
      <c r="M51" s="497"/>
      <c r="N51" s="491"/>
      <c r="O51" s="488"/>
      <c r="P51" s="494"/>
      <c r="Q51" s="497"/>
      <c r="R51" s="491"/>
      <c r="S51" s="488"/>
      <c r="T51" s="494"/>
      <c r="U51" s="497"/>
      <c r="V51" s="491"/>
    </row>
    <row r="52" spans="1:22" ht="53.25" customHeight="1" thickBot="1">
      <c r="A52" s="15" t="s">
        <v>19</v>
      </c>
      <c r="B52" s="489"/>
      <c r="C52" s="501" t="s">
        <v>61</v>
      </c>
      <c r="D52" s="486"/>
      <c r="E52" s="503"/>
      <c r="F52" s="503"/>
      <c r="G52" s="503"/>
      <c r="H52" s="498"/>
      <c r="I52" s="492"/>
      <c r="J52" s="489"/>
      <c r="K52" s="501" t="s">
        <v>61</v>
      </c>
      <c r="L52" s="486"/>
      <c r="M52" s="498"/>
      <c r="N52" s="492"/>
      <c r="O52" s="489"/>
      <c r="P52" s="495"/>
      <c r="Q52" s="498"/>
      <c r="R52" s="492"/>
      <c r="S52" s="489"/>
      <c r="T52" s="495"/>
      <c r="U52" s="498"/>
      <c r="V52" s="492"/>
    </row>
    <row r="53" spans="1:22" s="40" customFormat="1" ht="24" customHeight="1">
      <c r="A53" s="31" t="s">
        <v>124</v>
      </c>
      <c r="B53" s="175">
        <v>362</v>
      </c>
      <c r="C53" s="176">
        <v>362</v>
      </c>
      <c r="D53" s="176">
        <v>414</v>
      </c>
      <c r="E53" s="177">
        <v>0</v>
      </c>
      <c r="F53" s="177">
        <v>0</v>
      </c>
      <c r="G53" s="177">
        <v>0</v>
      </c>
      <c r="H53" s="178">
        <v>212</v>
      </c>
      <c r="I53" s="70">
        <f aca="true" t="shared" si="16" ref="I53:I63">B53+D53-H53</f>
        <v>564</v>
      </c>
      <c r="J53" s="175">
        <v>110</v>
      </c>
      <c r="K53" s="176">
        <v>110</v>
      </c>
      <c r="L53" s="176">
        <v>31</v>
      </c>
      <c r="M53" s="177">
        <v>0</v>
      </c>
      <c r="N53" s="178">
        <f aca="true" t="shared" si="17" ref="N53:N63">J53+L53-M53</f>
        <v>141</v>
      </c>
      <c r="O53" s="175">
        <f>92+57</f>
        <v>149</v>
      </c>
      <c r="P53" s="176">
        <f>92+57</f>
        <v>149</v>
      </c>
      <c r="Q53" s="177">
        <v>149</v>
      </c>
      <c r="R53" s="70">
        <f aca="true" t="shared" si="18" ref="R53:R63">O53-Q53</f>
        <v>0</v>
      </c>
      <c r="S53" s="175">
        <v>64</v>
      </c>
      <c r="T53" s="176">
        <v>64</v>
      </c>
      <c r="U53" s="177">
        <v>0</v>
      </c>
      <c r="V53" s="70">
        <f aca="true" t="shared" si="19" ref="V53:V63">S53-U53</f>
        <v>64</v>
      </c>
    </row>
    <row r="54" spans="1:22" s="40" customFormat="1" ht="13.5" customHeight="1">
      <c r="A54" s="31" t="s">
        <v>56</v>
      </c>
      <c r="B54" s="168">
        <v>90</v>
      </c>
      <c r="C54" s="169">
        <v>90</v>
      </c>
      <c r="D54" s="169">
        <v>682</v>
      </c>
      <c r="E54" s="170">
        <v>0</v>
      </c>
      <c r="F54" s="170">
        <v>0</v>
      </c>
      <c r="G54" s="170">
        <v>310</v>
      </c>
      <c r="H54" s="171">
        <f>772-33</f>
        <v>739</v>
      </c>
      <c r="I54" s="38">
        <f t="shared" si="16"/>
        <v>33</v>
      </c>
      <c r="J54" s="168">
        <v>93</v>
      </c>
      <c r="K54" s="169">
        <v>93</v>
      </c>
      <c r="L54" s="169">
        <v>27</v>
      </c>
      <c r="M54" s="170">
        <v>120</v>
      </c>
      <c r="N54" s="171">
        <f t="shared" si="17"/>
        <v>0</v>
      </c>
      <c r="O54" s="168">
        <f>96+143</f>
        <v>239</v>
      </c>
      <c r="P54" s="169">
        <f>96+145</f>
        <v>241</v>
      </c>
      <c r="Q54" s="170">
        <v>209</v>
      </c>
      <c r="R54" s="38">
        <f t="shared" si="18"/>
        <v>30</v>
      </c>
      <c r="S54" s="168">
        <f>7+7</f>
        <v>14</v>
      </c>
      <c r="T54" s="169">
        <f>7+7</f>
        <v>14</v>
      </c>
      <c r="U54" s="170">
        <v>14</v>
      </c>
      <c r="V54" s="38">
        <f t="shared" si="19"/>
        <v>0</v>
      </c>
    </row>
    <row r="55" spans="1:23" s="40" customFormat="1" ht="30.75" customHeight="1">
      <c r="A55" s="211" t="s">
        <v>86</v>
      </c>
      <c r="B55" s="168">
        <v>1489</v>
      </c>
      <c r="C55" s="212">
        <v>1489</v>
      </c>
      <c r="D55" s="212">
        <v>3167</v>
      </c>
      <c r="E55" s="213">
        <v>1830</v>
      </c>
      <c r="F55" s="213">
        <v>700</v>
      </c>
      <c r="G55" s="213">
        <v>0</v>
      </c>
      <c r="H55" s="214">
        <v>4082</v>
      </c>
      <c r="I55" s="34">
        <f t="shared" si="16"/>
        <v>574</v>
      </c>
      <c r="J55" s="168">
        <f>501+421</f>
        <v>922</v>
      </c>
      <c r="K55" s="169">
        <f>501+421</f>
        <v>922</v>
      </c>
      <c r="L55" s="169">
        <f>562+18</f>
        <v>580</v>
      </c>
      <c r="M55" s="170">
        <f>400+438</f>
        <v>838</v>
      </c>
      <c r="N55" s="171">
        <f t="shared" si="17"/>
        <v>664</v>
      </c>
      <c r="O55" s="168">
        <f>426+700</f>
        <v>1126</v>
      </c>
      <c r="P55" s="169">
        <f>426+452</f>
        <v>878</v>
      </c>
      <c r="Q55" s="170">
        <v>537</v>
      </c>
      <c r="R55" s="38">
        <f t="shared" si="18"/>
        <v>589</v>
      </c>
      <c r="S55" s="168">
        <f>140+507</f>
        <v>647</v>
      </c>
      <c r="T55" s="169">
        <f>140+507</f>
        <v>647</v>
      </c>
      <c r="U55" s="170">
        <v>300</v>
      </c>
      <c r="V55" s="38">
        <f t="shared" si="19"/>
        <v>347</v>
      </c>
      <c r="W55" s="172"/>
    </row>
    <row r="56" spans="1:22" s="40" customFormat="1" ht="31.5" customHeight="1">
      <c r="A56" s="143" t="s">
        <v>130</v>
      </c>
      <c r="B56" s="168">
        <v>478</v>
      </c>
      <c r="C56" s="212">
        <v>478</v>
      </c>
      <c r="D56" s="212">
        <v>447</v>
      </c>
      <c r="E56" s="213">
        <v>130</v>
      </c>
      <c r="F56" s="213">
        <v>0</v>
      </c>
      <c r="G56" s="213">
        <v>0</v>
      </c>
      <c r="H56" s="214">
        <v>446</v>
      </c>
      <c r="I56" s="34">
        <f t="shared" si="16"/>
        <v>479</v>
      </c>
      <c r="J56" s="168">
        <v>331</v>
      </c>
      <c r="K56" s="169">
        <v>0</v>
      </c>
      <c r="L56" s="169">
        <f>130+29</f>
        <v>159</v>
      </c>
      <c r="M56" s="170">
        <f>400+29</f>
        <v>429</v>
      </c>
      <c r="N56" s="171">
        <f t="shared" si="17"/>
        <v>61</v>
      </c>
      <c r="O56" s="168">
        <f>115+49</f>
        <v>164</v>
      </c>
      <c r="P56" s="169">
        <f>115+22</f>
        <v>137</v>
      </c>
      <c r="Q56" s="170">
        <v>130</v>
      </c>
      <c r="R56" s="38">
        <f t="shared" si="18"/>
        <v>34</v>
      </c>
      <c r="S56" s="168">
        <f>34+68</f>
        <v>102</v>
      </c>
      <c r="T56" s="169">
        <f>34+68</f>
        <v>102</v>
      </c>
      <c r="U56" s="170">
        <v>32</v>
      </c>
      <c r="V56" s="38">
        <f t="shared" si="19"/>
        <v>70</v>
      </c>
    </row>
    <row r="57" spans="1:22" s="40" customFormat="1" ht="22.5" customHeight="1">
      <c r="A57" s="57" t="s">
        <v>70</v>
      </c>
      <c r="B57" s="168">
        <v>360</v>
      </c>
      <c r="C57" s="212">
        <v>360</v>
      </c>
      <c r="D57" s="212">
        <v>2536</v>
      </c>
      <c r="E57" s="213">
        <v>350</v>
      </c>
      <c r="F57" s="213">
        <f>1505-50</f>
        <v>1455</v>
      </c>
      <c r="G57" s="213">
        <v>0</v>
      </c>
      <c r="H57" s="214">
        <v>2659</v>
      </c>
      <c r="I57" s="34">
        <f t="shared" si="16"/>
        <v>237</v>
      </c>
      <c r="J57" s="168">
        <f>234+653</f>
        <v>887</v>
      </c>
      <c r="K57" s="169">
        <f>234+653</f>
        <v>887</v>
      </c>
      <c r="L57" s="169">
        <v>129</v>
      </c>
      <c r="M57" s="170">
        <f>250+653</f>
        <v>903</v>
      </c>
      <c r="N57" s="171">
        <f t="shared" si="17"/>
        <v>113</v>
      </c>
      <c r="O57" s="168">
        <f>220+346</f>
        <v>566</v>
      </c>
      <c r="P57" s="169">
        <f>220+341</f>
        <v>561</v>
      </c>
      <c r="Q57" s="170">
        <v>300</v>
      </c>
      <c r="R57" s="38">
        <f t="shared" si="18"/>
        <v>266</v>
      </c>
      <c r="S57" s="168">
        <v>94</v>
      </c>
      <c r="T57" s="169">
        <f>94</f>
        <v>94</v>
      </c>
      <c r="U57" s="170">
        <v>44</v>
      </c>
      <c r="V57" s="38">
        <f t="shared" si="19"/>
        <v>50</v>
      </c>
    </row>
    <row r="58" spans="1:22" s="40" customFormat="1" ht="28.5" customHeight="1">
      <c r="A58" s="143" t="s">
        <v>125</v>
      </c>
      <c r="B58" s="168">
        <v>952</v>
      </c>
      <c r="C58" s="212">
        <v>952</v>
      </c>
      <c r="D58" s="212">
        <v>4417</v>
      </c>
      <c r="E58" s="213">
        <v>363</v>
      </c>
      <c r="F58" s="213">
        <v>260</v>
      </c>
      <c r="G58" s="213">
        <v>2000</v>
      </c>
      <c r="H58" s="214">
        <v>5047</v>
      </c>
      <c r="I58" s="34">
        <f t="shared" si="16"/>
        <v>322</v>
      </c>
      <c r="J58" s="168">
        <f>595+1350</f>
        <v>1945</v>
      </c>
      <c r="K58" s="169">
        <f>595+1350</f>
        <v>1945</v>
      </c>
      <c r="L58" s="169">
        <v>169</v>
      </c>
      <c r="M58" s="170">
        <f>500+1350</f>
        <v>1850</v>
      </c>
      <c r="N58" s="171">
        <f t="shared" si="17"/>
        <v>264</v>
      </c>
      <c r="O58" s="168">
        <f>370+159</f>
        <v>529</v>
      </c>
      <c r="P58" s="169">
        <f>370+159</f>
        <v>529</v>
      </c>
      <c r="Q58" s="170">
        <v>529</v>
      </c>
      <c r="R58" s="38">
        <f t="shared" si="18"/>
        <v>0</v>
      </c>
      <c r="S58" s="168">
        <f>100+1153</f>
        <v>1253</v>
      </c>
      <c r="T58" s="169">
        <f>100+1153</f>
        <v>1253</v>
      </c>
      <c r="U58" s="170">
        <v>500</v>
      </c>
      <c r="V58" s="38">
        <f t="shared" si="19"/>
        <v>753</v>
      </c>
    </row>
    <row r="59" spans="1:23" s="40" customFormat="1" ht="25.5" customHeight="1">
      <c r="A59" s="143" t="s">
        <v>126</v>
      </c>
      <c r="B59" s="168">
        <v>321</v>
      </c>
      <c r="C59" s="212">
        <v>321</v>
      </c>
      <c r="D59" s="212">
        <v>1157</v>
      </c>
      <c r="E59" s="213">
        <v>620</v>
      </c>
      <c r="F59" s="213">
        <v>0</v>
      </c>
      <c r="G59" s="213">
        <v>0</v>
      </c>
      <c r="H59" s="214">
        <v>1228</v>
      </c>
      <c r="I59" s="34">
        <f t="shared" si="16"/>
        <v>250</v>
      </c>
      <c r="J59" s="168">
        <v>703</v>
      </c>
      <c r="K59" s="169">
        <v>0</v>
      </c>
      <c r="L59" s="169">
        <v>371</v>
      </c>
      <c r="M59" s="170">
        <v>850</v>
      </c>
      <c r="N59" s="171">
        <f t="shared" si="17"/>
        <v>224</v>
      </c>
      <c r="O59" s="168">
        <f>216+980</f>
        <v>1196</v>
      </c>
      <c r="P59" s="169">
        <f>216+919</f>
        <v>1135</v>
      </c>
      <c r="Q59" s="170">
        <f>320</f>
        <v>320</v>
      </c>
      <c r="R59" s="38">
        <f t="shared" si="18"/>
        <v>876</v>
      </c>
      <c r="S59" s="168">
        <f>512</f>
        <v>512</v>
      </c>
      <c r="T59" s="169">
        <f>512</f>
        <v>512</v>
      </c>
      <c r="U59" s="170">
        <v>0</v>
      </c>
      <c r="V59" s="38">
        <f t="shared" si="19"/>
        <v>512</v>
      </c>
      <c r="W59" s="174"/>
    </row>
    <row r="60" spans="1:23" s="40" customFormat="1" ht="27" customHeight="1">
      <c r="A60" s="57" t="s">
        <v>127</v>
      </c>
      <c r="B60" s="168">
        <v>1110</v>
      </c>
      <c r="C60" s="212">
        <v>1110</v>
      </c>
      <c r="D60" s="212">
        <v>877</v>
      </c>
      <c r="E60" s="213">
        <v>835</v>
      </c>
      <c r="F60" s="213">
        <v>0</v>
      </c>
      <c r="G60" s="213">
        <v>700</v>
      </c>
      <c r="H60" s="215">
        <v>1987</v>
      </c>
      <c r="I60" s="34">
        <f t="shared" si="16"/>
        <v>0</v>
      </c>
      <c r="J60" s="168">
        <f>499+79</f>
        <v>578</v>
      </c>
      <c r="K60" s="169">
        <f>499+79</f>
        <v>578</v>
      </c>
      <c r="L60" s="169">
        <v>25</v>
      </c>
      <c r="M60" s="170">
        <f>499+104</f>
        <v>603</v>
      </c>
      <c r="N60" s="171">
        <f t="shared" si="17"/>
        <v>0</v>
      </c>
      <c r="O60" s="168">
        <f>205+230</f>
        <v>435</v>
      </c>
      <c r="P60" s="169">
        <f>205+230</f>
        <v>435</v>
      </c>
      <c r="Q60" s="170">
        <f>400</f>
        <v>400</v>
      </c>
      <c r="R60" s="38">
        <f t="shared" si="18"/>
        <v>35</v>
      </c>
      <c r="S60" s="168">
        <f>28+301</f>
        <v>329</v>
      </c>
      <c r="T60" s="169">
        <f>28+301</f>
        <v>329</v>
      </c>
      <c r="U60" s="170">
        <v>329</v>
      </c>
      <c r="V60" s="38">
        <f t="shared" si="19"/>
        <v>0</v>
      </c>
      <c r="W60" s="174"/>
    </row>
    <row r="61" spans="1:22" s="40" customFormat="1" ht="22.5" customHeight="1">
      <c r="A61" s="31" t="s">
        <v>131</v>
      </c>
      <c r="B61" s="168">
        <v>1267</v>
      </c>
      <c r="C61" s="212">
        <v>1267</v>
      </c>
      <c r="D61" s="212">
        <v>1750</v>
      </c>
      <c r="E61" s="213">
        <v>720</v>
      </c>
      <c r="F61" s="213">
        <v>0</v>
      </c>
      <c r="G61" s="213">
        <v>200</v>
      </c>
      <c r="H61" s="214">
        <v>1400</v>
      </c>
      <c r="I61" s="34">
        <f t="shared" si="16"/>
        <v>1617</v>
      </c>
      <c r="J61" s="168">
        <v>981</v>
      </c>
      <c r="K61" s="169">
        <v>981</v>
      </c>
      <c r="L61" s="169">
        <f>161+50</f>
        <v>211</v>
      </c>
      <c r="M61" s="170">
        <f>161+51+980</f>
        <v>1192</v>
      </c>
      <c r="N61" s="171">
        <f t="shared" si="17"/>
        <v>0</v>
      </c>
      <c r="O61" s="168">
        <f>250+299</f>
        <v>549</v>
      </c>
      <c r="P61" s="169">
        <f>250+165</f>
        <v>415</v>
      </c>
      <c r="Q61" s="170">
        <v>549</v>
      </c>
      <c r="R61" s="38">
        <f t="shared" si="18"/>
        <v>0</v>
      </c>
      <c r="S61" s="168">
        <f>178</f>
        <v>178</v>
      </c>
      <c r="T61" s="169">
        <v>178</v>
      </c>
      <c r="U61" s="170">
        <v>178</v>
      </c>
      <c r="V61" s="38">
        <f t="shared" si="19"/>
        <v>0</v>
      </c>
    </row>
    <row r="62" spans="1:22" s="40" customFormat="1" ht="24" customHeight="1">
      <c r="A62" s="31" t="s">
        <v>128</v>
      </c>
      <c r="B62" s="168">
        <v>333</v>
      </c>
      <c r="C62" s="212">
        <v>333</v>
      </c>
      <c r="D62" s="212">
        <v>1454</v>
      </c>
      <c r="E62" s="213">
        <v>650</v>
      </c>
      <c r="F62" s="213">
        <v>0</v>
      </c>
      <c r="G62" s="213">
        <v>0</v>
      </c>
      <c r="H62" s="214">
        <v>1174</v>
      </c>
      <c r="I62" s="34">
        <f t="shared" si="16"/>
        <v>613</v>
      </c>
      <c r="J62" s="168">
        <v>9</v>
      </c>
      <c r="K62" s="169">
        <v>9</v>
      </c>
      <c r="L62" s="169">
        <v>26</v>
      </c>
      <c r="M62" s="170">
        <v>30</v>
      </c>
      <c r="N62" s="171">
        <f t="shared" si="17"/>
        <v>5</v>
      </c>
      <c r="O62" s="168">
        <f>200+291</f>
        <v>491</v>
      </c>
      <c r="P62" s="169">
        <f>200+238</f>
        <v>438</v>
      </c>
      <c r="Q62" s="170">
        <v>250</v>
      </c>
      <c r="R62" s="38">
        <f t="shared" si="18"/>
        <v>241</v>
      </c>
      <c r="S62" s="168">
        <f>8+22</f>
        <v>30</v>
      </c>
      <c r="T62" s="169">
        <f>8+22</f>
        <v>30</v>
      </c>
      <c r="U62" s="170">
        <v>0</v>
      </c>
      <c r="V62" s="38">
        <f t="shared" si="19"/>
        <v>30</v>
      </c>
    </row>
    <row r="63" spans="1:22" s="40" customFormat="1" ht="25.5" customHeight="1" thickBot="1">
      <c r="A63" s="31" t="s">
        <v>129</v>
      </c>
      <c r="B63" s="168">
        <v>304</v>
      </c>
      <c r="C63" s="212">
        <v>304</v>
      </c>
      <c r="D63" s="212">
        <v>135</v>
      </c>
      <c r="E63" s="213">
        <v>0</v>
      </c>
      <c r="F63" s="213">
        <v>0</v>
      </c>
      <c r="G63" s="213">
        <v>0</v>
      </c>
      <c r="H63" s="214">
        <v>109</v>
      </c>
      <c r="I63" s="34">
        <f t="shared" si="16"/>
        <v>330</v>
      </c>
      <c r="J63" s="168">
        <v>364</v>
      </c>
      <c r="K63" s="169">
        <v>364</v>
      </c>
      <c r="L63" s="169">
        <v>124</v>
      </c>
      <c r="M63" s="170">
        <v>0</v>
      </c>
      <c r="N63" s="171">
        <f t="shared" si="17"/>
        <v>488</v>
      </c>
      <c r="O63" s="168">
        <f>100+57</f>
        <v>157</v>
      </c>
      <c r="P63" s="169">
        <f>100+57</f>
        <v>157</v>
      </c>
      <c r="Q63" s="170">
        <v>157</v>
      </c>
      <c r="R63" s="38">
        <f t="shared" si="18"/>
        <v>0</v>
      </c>
      <c r="S63" s="168">
        <f>44+132</f>
        <v>176</v>
      </c>
      <c r="T63" s="169">
        <f>44+132</f>
        <v>176</v>
      </c>
      <c r="U63" s="170">
        <v>60</v>
      </c>
      <c r="V63" s="38">
        <f t="shared" si="19"/>
        <v>116</v>
      </c>
    </row>
    <row r="64" spans="1:28" s="218" customFormat="1" ht="13.5" thickBot="1">
      <c r="A64" s="166" t="s">
        <v>21</v>
      </c>
      <c r="B64" s="167">
        <f>SUM(B65:B80)</f>
        <v>13290</v>
      </c>
      <c r="C64" s="167">
        <f>SUM(C65:C80)</f>
        <v>13343</v>
      </c>
      <c r="D64" s="165">
        <f aca="true" t="shared" si="20" ref="D64:V64">SUM(D65:D80)</f>
        <v>28121</v>
      </c>
      <c r="E64" s="165">
        <f t="shared" si="20"/>
        <v>11086</v>
      </c>
      <c r="F64" s="165">
        <f t="shared" si="20"/>
        <v>3366</v>
      </c>
      <c r="G64" s="165">
        <f t="shared" si="20"/>
        <v>2652</v>
      </c>
      <c r="H64" s="165">
        <f t="shared" si="20"/>
        <v>28569</v>
      </c>
      <c r="I64" s="29">
        <f t="shared" si="20"/>
        <v>12842</v>
      </c>
      <c r="J64" s="167">
        <f t="shared" si="20"/>
        <v>13564</v>
      </c>
      <c r="K64" s="165">
        <f t="shared" si="20"/>
        <v>13586</v>
      </c>
      <c r="L64" s="165">
        <f t="shared" si="20"/>
        <v>2876</v>
      </c>
      <c r="M64" s="165">
        <f t="shared" si="20"/>
        <v>8847</v>
      </c>
      <c r="N64" s="29">
        <f t="shared" si="20"/>
        <v>7593</v>
      </c>
      <c r="O64" s="167">
        <f t="shared" si="20"/>
        <v>9698</v>
      </c>
      <c r="P64" s="165">
        <f t="shared" si="20"/>
        <v>9115</v>
      </c>
      <c r="Q64" s="165">
        <f t="shared" si="20"/>
        <v>6704</v>
      </c>
      <c r="R64" s="29">
        <f t="shared" si="20"/>
        <v>2994</v>
      </c>
      <c r="S64" s="167">
        <f t="shared" si="20"/>
        <v>5727</v>
      </c>
      <c r="T64" s="165">
        <f t="shared" si="20"/>
        <v>5722</v>
      </c>
      <c r="U64" s="165">
        <f t="shared" si="20"/>
        <v>1619</v>
      </c>
      <c r="V64" s="29">
        <f t="shared" si="20"/>
        <v>4108</v>
      </c>
      <c r="W64" s="216"/>
      <c r="X64" s="217"/>
      <c r="Y64" s="217"/>
      <c r="Z64" s="217"/>
      <c r="AA64" s="217"/>
      <c r="AB64" s="217"/>
    </row>
    <row r="65" spans="1:25" s="219" customFormat="1" ht="12.75">
      <c r="A65" s="180" t="s">
        <v>72</v>
      </c>
      <c r="B65" s="175">
        <v>343</v>
      </c>
      <c r="C65" s="176">
        <v>343</v>
      </c>
      <c r="D65" s="176">
        <v>894</v>
      </c>
      <c r="E65" s="177">
        <v>660</v>
      </c>
      <c r="F65" s="177">
        <v>0</v>
      </c>
      <c r="G65" s="177">
        <v>100</v>
      </c>
      <c r="H65" s="178">
        <f>351+E65+F65+G65</f>
        <v>1111</v>
      </c>
      <c r="I65" s="70">
        <f aca="true" t="shared" si="21" ref="I65:I80">B65+D65-H65</f>
        <v>126</v>
      </c>
      <c r="J65" s="175">
        <f>39+85</f>
        <v>124</v>
      </c>
      <c r="K65" s="176">
        <f>39+85</f>
        <v>124</v>
      </c>
      <c r="L65" s="176">
        <v>32</v>
      </c>
      <c r="M65" s="177">
        <v>0</v>
      </c>
      <c r="N65" s="178">
        <f aca="true" t="shared" si="22" ref="N65:N80">J65+L65-M65</f>
        <v>156</v>
      </c>
      <c r="O65" s="175">
        <f>553+125</f>
        <v>678</v>
      </c>
      <c r="P65" s="176">
        <f>462+125</f>
        <v>587</v>
      </c>
      <c r="Q65" s="177">
        <v>520</v>
      </c>
      <c r="R65" s="70">
        <f aca="true" t="shared" si="23" ref="R65:R80">O65-Q65</f>
        <v>158</v>
      </c>
      <c r="S65" s="175">
        <f>8+120</f>
        <v>128</v>
      </c>
      <c r="T65" s="177">
        <f>8+120</f>
        <v>128</v>
      </c>
      <c r="U65" s="177">
        <v>0</v>
      </c>
      <c r="V65" s="70">
        <f aca="true" t="shared" si="24" ref="V65:V80">S65-U65</f>
        <v>128</v>
      </c>
      <c r="Y65" s="219" t="s">
        <v>19</v>
      </c>
    </row>
    <row r="66" spans="1:22" s="40" customFormat="1" ht="12.75">
      <c r="A66" s="141" t="s">
        <v>87</v>
      </c>
      <c r="B66" s="168">
        <v>40</v>
      </c>
      <c r="C66" s="169">
        <v>93</v>
      </c>
      <c r="D66" s="169">
        <v>2075</v>
      </c>
      <c r="E66" s="170">
        <v>590</v>
      </c>
      <c r="F66" s="170">
        <v>0</v>
      </c>
      <c r="G66" s="170">
        <v>550</v>
      </c>
      <c r="H66" s="171">
        <f>969+E66+F66+G66</f>
        <v>2109</v>
      </c>
      <c r="I66" s="38">
        <f t="shared" si="21"/>
        <v>6</v>
      </c>
      <c r="J66" s="168">
        <f>777+19</f>
        <v>796</v>
      </c>
      <c r="K66" s="169">
        <f>777+19</f>
        <v>796</v>
      </c>
      <c r="L66" s="169">
        <v>151</v>
      </c>
      <c r="M66" s="170">
        <f>500+19</f>
        <v>519</v>
      </c>
      <c r="N66" s="171">
        <f t="shared" si="22"/>
        <v>428</v>
      </c>
      <c r="O66" s="168">
        <f>89+225</f>
        <v>314</v>
      </c>
      <c r="P66" s="169">
        <f>225+51</f>
        <v>276</v>
      </c>
      <c r="Q66" s="170">
        <v>256</v>
      </c>
      <c r="R66" s="38">
        <f t="shared" si="23"/>
        <v>58</v>
      </c>
      <c r="S66" s="168">
        <f>594+150</f>
        <v>744</v>
      </c>
      <c r="T66" s="170">
        <f>150+594</f>
        <v>744</v>
      </c>
      <c r="U66" s="170">
        <v>400</v>
      </c>
      <c r="V66" s="38">
        <f t="shared" si="24"/>
        <v>344</v>
      </c>
    </row>
    <row r="67" spans="1:22" s="40" customFormat="1" ht="12.75">
      <c r="A67" s="31" t="s">
        <v>135</v>
      </c>
      <c r="B67" s="168">
        <v>1092</v>
      </c>
      <c r="C67" s="169">
        <v>1092</v>
      </c>
      <c r="D67" s="169">
        <v>2260</v>
      </c>
      <c r="E67" s="170">
        <v>480</v>
      </c>
      <c r="F67" s="170">
        <v>820</v>
      </c>
      <c r="G67" s="170">
        <v>250</v>
      </c>
      <c r="H67" s="171">
        <f>960+E67+F67+G67</f>
        <v>2510</v>
      </c>
      <c r="I67" s="38">
        <f t="shared" si="21"/>
        <v>842</v>
      </c>
      <c r="J67" s="168">
        <f>328+329</f>
        <v>657</v>
      </c>
      <c r="K67" s="169">
        <f>328+329</f>
        <v>657</v>
      </c>
      <c r="L67" s="169">
        <f>24+50</f>
        <v>74</v>
      </c>
      <c r="M67" s="170">
        <v>50</v>
      </c>
      <c r="N67" s="171">
        <f t="shared" si="22"/>
        <v>681</v>
      </c>
      <c r="O67" s="168">
        <f>162+260</f>
        <v>422</v>
      </c>
      <c r="P67" s="169">
        <f>260+50</f>
        <v>310</v>
      </c>
      <c r="Q67" s="170">
        <v>300</v>
      </c>
      <c r="R67" s="38">
        <f t="shared" si="23"/>
        <v>122</v>
      </c>
      <c r="S67" s="168">
        <f>199+10</f>
        <v>209</v>
      </c>
      <c r="T67" s="169">
        <f>10+199</f>
        <v>209</v>
      </c>
      <c r="U67" s="170">
        <v>0</v>
      </c>
      <c r="V67" s="38">
        <f t="shared" si="24"/>
        <v>209</v>
      </c>
    </row>
    <row r="68" spans="1:22" s="40" customFormat="1" ht="12.75">
      <c r="A68" s="141" t="s">
        <v>37</v>
      </c>
      <c r="B68" s="168">
        <v>813</v>
      </c>
      <c r="C68" s="169">
        <v>813</v>
      </c>
      <c r="D68" s="169">
        <v>1453</v>
      </c>
      <c r="E68" s="170">
        <v>300</v>
      </c>
      <c r="F68" s="170">
        <v>0</v>
      </c>
      <c r="G68" s="170">
        <v>210</v>
      </c>
      <c r="H68" s="171">
        <f>753+E68+F68+G68</f>
        <v>1263</v>
      </c>
      <c r="I68" s="38">
        <f t="shared" si="21"/>
        <v>1003</v>
      </c>
      <c r="J68" s="168">
        <v>1047</v>
      </c>
      <c r="K68" s="169">
        <v>1047</v>
      </c>
      <c r="L68" s="169">
        <v>309</v>
      </c>
      <c r="M68" s="170">
        <v>0</v>
      </c>
      <c r="N68" s="171">
        <f t="shared" si="22"/>
        <v>1356</v>
      </c>
      <c r="O68" s="168">
        <f>521+290</f>
        <v>811</v>
      </c>
      <c r="P68" s="169">
        <f>290+471</f>
        <v>761</v>
      </c>
      <c r="Q68" s="170">
        <v>710</v>
      </c>
      <c r="R68" s="38">
        <f t="shared" si="23"/>
        <v>101</v>
      </c>
      <c r="S68" s="168">
        <f>1116+100</f>
        <v>1216</v>
      </c>
      <c r="T68" s="170">
        <f>100+1116</f>
        <v>1216</v>
      </c>
      <c r="U68" s="170">
        <v>0</v>
      </c>
      <c r="V68" s="38">
        <f t="shared" si="24"/>
        <v>1216</v>
      </c>
    </row>
    <row r="69" spans="1:22" s="40" customFormat="1" ht="12.75">
      <c r="A69" s="220" t="s">
        <v>91</v>
      </c>
      <c r="B69" s="221">
        <v>410</v>
      </c>
      <c r="C69" s="222">
        <v>410</v>
      </c>
      <c r="D69" s="222">
        <v>672</v>
      </c>
      <c r="E69" s="223">
        <v>500</v>
      </c>
      <c r="F69" s="223">
        <v>0</v>
      </c>
      <c r="G69" s="223">
        <v>0</v>
      </c>
      <c r="H69" s="224">
        <f>394+E69+F69+G69</f>
        <v>894</v>
      </c>
      <c r="I69" s="90">
        <f t="shared" si="21"/>
        <v>188</v>
      </c>
      <c r="J69" s="168">
        <f>32+115</f>
        <v>147</v>
      </c>
      <c r="K69" s="222">
        <f>54+115</f>
        <v>169</v>
      </c>
      <c r="L69" s="169">
        <v>22</v>
      </c>
      <c r="M69" s="170">
        <v>0</v>
      </c>
      <c r="N69" s="171">
        <f t="shared" si="22"/>
        <v>169</v>
      </c>
      <c r="O69" s="168">
        <f>461+150</f>
        <v>611</v>
      </c>
      <c r="P69" s="222">
        <f>150+461</f>
        <v>611</v>
      </c>
      <c r="Q69" s="170">
        <v>140</v>
      </c>
      <c r="R69" s="38">
        <f t="shared" si="23"/>
        <v>471</v>
      </c>
      <c r="S69" s="168">
        <f>61</f>
        <v>61</v>
      </c>
      <c r="T69" s="223">
        <v>61</v>
      </c>
      <c r="U69" s="170">
        <v>0</v>
      </c>
      <c r="V69" s="38">
        <f t="shared" si="24"/>
        <v>61</v>
      </c>
    </row>
    <row r="70" spans="1:22" s="40" customFormat="1" ht="12.75">
      <c r="A70" s="141" t="s">
        <v>92</v>
      </c>
      <c r="B70" s="168">
        <v>1944</v>
      </c>
      <c r="C70" s="169">
        <v>1944</v>
      </c>
      <c r="D70" s="169">
        <v>2333</v>
      </c>
      <c r="E70" s="170">
        <v>0</v>
      </c>
      <c r="F70" s="170">
        <v>0</v>
      </c>
      <c r="G70" s="170">
        <v>0</v>
      </c>
      <c r="H70" s="171">
        <v>1844</v>
      </c>
      <c r="I70" s="38">
        <f t="shared" si="21"/>
        <v>2433</v>
      </c>
      <c r="J70" s="168">
        <f>508+4860</f>
        <v>5368</v>
      </c>
      <c r="K70" s="169">
        <f>508+4860</f>
        <v>5368</v>
      </c>
      <c r="L70" s="169">
        <v>500</v>
      </c>
      <c r="M70" s="223">
        <f>500+4860</f>
        <v>5360</v>
      </c>
      <c r="N70" s="171">
        <f t="shared" si="22"/>
        <v>508</v>
      </c>
      <c r="O70" s="168">
        <f>1007+390</f>
        <v>1397</v>
      </c>
      <c r="P70" s="169">
        <f>390+968</f>
        <v>1358</v>
      </c>
      <c r="Q70" s="170">
        <v>900</v>
      </c>
      <c r="R70" s="38">
        <f t="shared" si="23"/>
        <v>497</v>
      </c>
      <c r="S70" s="168">
        <f>631+43</f>
        <v>674</v>
      </c>
      <c r="T70" s="170">
        <f>631+43</f>
        <v>674</v>
      </c>
      <c r="U70" s="170">
        <v>0</v>
      </c>
      <c r="V70" s="38">
        <f t="shared" si="24"/>
        <v>674</v>
      </c>
    </row>
    <row r="71" spans="1:22" s="40" customFormat="1" ht="12.75">
      <c r="A71" s="141" t="s">
        <v>38</v>
      </c>
      <c r="B71" s="168">
        <v>267</v>
      </c>
      <c r="C71" s="169">
        <v>267</v>
      </c>
      <c r="D71" s="169">
        <v>1065</v>
      </c>
      <c r="E71" s="170">
        <v>0</v>
      </c>
      <c r="F71" s="170">
        <v>846</v>
      </c>
      <c r="G71" s="170">
        <v>0</v>
      </c>
      <c r="H71" s="171">
        <f>336+F71</f>
        <v>1182</v>
      </c>
      <c r="I71" s="38">
        <f t="shared" si="21"/>
        <v>150</v>
      </c>
      <c r="J71" s="168">
        <f>33+26</f>
        <v>59</v>
      </c>
      <c r="K71" s="169">
        <f>33+26</f>
        <v>59</v>
      </c>
      <c r="L71" s="169">
        <f>46+10</f>
        <v>56</v>
      </c>
      <c r="M71" s="170">
        <v>0</v>
      </c>
      <c r="N71" s="171">
        <f t="shared" si="22"/>
        <v>115</v>
      </c>
      <c r="O71" s="168">
        <f>716+220</f>
        <v>936</v>
      </c>
      <c r="P71" s="169">
        <f>220+716</f>
        <v>936</v>
      </c>
      <c r="Q71" s="170">
        <v>400</v>
      </c>
      <c r="R71" s="38">
        <f t="shared" si="23"/>
        <v>536</v>
      </c>
      <c r="S71" s="168">
        <f>306+33</f>
        <v>339</v>
      </c>
      <c r="T71" s="170">
        <f>33+306</f>
        <v>339</v>
      </c>
      <c r="U71" s="170">
        <v>0</v>
      </c>
      <c r="V71" s="38">
        <f t="shared" si="24"/>
        <v>339</v>
      </c>
    </row>
    <row r="72" spans="1:22" s="40" customFormat="1" ht="12.75">
      <c r="A72" s="141" t="s">
        <v>39</v>
      </c>
      <c r="B72" s="168">
        <v>190</v>
      </c>
      <c r="C72" s="169">
        <v>190</v>
      </c>
      <c r="D72" s="169">
        <v>1486</v>
      </c>
      <c r="E72" s="170">
        <v>800</v>
      </c>
      <c r="F72" s="170">
        <v>0</v>
      </c>
      <c r="G72" s="170">
        <v>0</v>
      </c>
      <c r="H72" s="171">
        <f>773+E72+F72+G72</f>
        <v>1573</v>
      </c>
      <c r="I72" s="38">
        <f t="shared" si="21"/>
        <v>103</v>
      </c>
      <c r="J72" s="168">
        <f>49+254</f>
        <v>303</v>
      </c>
      <c r="K72" s="169">
        <f>49+254</f>
        <v>303</v>
      </c>
      <c r="L72" s="169">
        <f>296+10</f>
        <v>306</v>
      </c>
      <c r="M72" s="170">
        <f>50+260</f>
        <v>310</v>
      </c>
      <c r="N72" s="171">
        <f t="shared" si="22"/>
        <v>299</v>
      </c>
      <c r="O72" s="168">
        <f>46+250</f>
        <v>296</v>
      </c>
      <c r="P72" s="169">
        <f>56+250</f>
        <v>306</v>
      </c>
      <c r="Q72" s="170">
        <v>274</v>
      </c>
      <c r="R72" s="38">
        <f t="shared" si="23"/>
        <v>22</v>
      </c>
      <c r="S72" s="168">
        <f>161</f>
        <v>161</v>
      </c>
      <c r="T72" s="170">
        <v>161</v>
      </c>
      <c r="U72" s="170">
        <v>50</v>
      </c>
      <c r="V72" s="38">
        <f t="shared" si="24"/>
        <v>111</v>
      </c>
    </row>
    <row r="73" spans="1:22" s="40" customFormat="1" ht="12.75">
      <c r="A73" s="141" t="s">
        <v>40</v>
      </c>
      <c r="B73" s="168">
        <v>1273</v>
      </c>
      <c r="C73" s="169">
        <v>1273</v>
      </c>
      <c r="D73" s="169">
        <v>2960</v>
      </c>
      <c r="E73" s="170">
        <v>600</v>
      </c>
      <c r="F73" s="170">
        <v>1700</v>
      </c>
      <c r="G73" s="170">
        <v>0</v>
      </c>
      <c r="H73" s="171">
        <f>984+E73+F73+G73</f>
        <v>3284</v>
      </c>
      <c r="I73" s="38">
        <f t="shared" si="21"/>
        <v>949</v>
      </c>
      <c r="J73" s="168">
        <f>664+29</f>
        <v>693</v>
      </c>
      <c r="K73" s="169">
        <f>664+29</f>
        <v>693</v>
      </c>
      <c r="L73" s="169">
        <f>255+5</f>
        <v>260</v>
      </c>
      <c r="M73" s="170">
        <f>150+5</f>
        <v>155</v>
      </c>
      <c r="N73" s="171">
        <f t="shared" si="22"/>
        <v>798</v>
      </c>
      <c r="O73" s="168">
        <f>562+230</f>
        <v>792</v>
      </c>
      <c r="P73" s="169">
        <f>230+554</f>
        <v>784</v>
      </c>
      <c r="Q73" s="170">
        <v>370</v>
      </c>
      <c r="R73" s="38">
        <f t="shared" si="23"/>
        <v>422</v>
      </c>
      <c r="S73" s="168">
        <f>233+100</f>
        <v>333</v>
      </c>
      <c r="T73" s="170">
        <f>100+233</f>
        <v>333</v>
      </c>
      <c r="U73" s="170">
        <v>100</v>
      </c>
      <c r="V73" s="38">
        <f t="shared" si="24"/>
        <v>233</v>
      </c>
    </row>
    <row r="74" spans="1:22" s="40" customFormat="1" ht="12.75">
      <c r="A74" s="141" t="s">
        <v>93</v>
      </c>
      <c r="B74" s="168">
        <v>1257</v>
      </c>
      <c r="C74" s="169">
        <v>1257</v>
      </c>
      <c r="D74" s="169">
        <v>1296</v>
      </c>
      <c r="E74" s="170">
        <v>0</v>
      </c>
      <c r="F74" s="170">
        <v>0</v>
      </c>
      <c r="G74" s="170">
        <v>600</v>
      </c>
      <c r="H74" s="171">
        <f>522+E74+F74+G74</f>
        <v>1122</v>
      </c>
      <c r="I74" s="38">
        <f t="shared" si="21"/>
        <v>1431</v>
      </c>
      <c r="J74" s="168">
        <f>2468</f>
        <v>2468</v>
      </c>
      <c r="K74" s="169">
        <v>2468</v>
      </c>
      <c r="L74" s="169">
        <v>196</v>
      </c>
      <c r="M74" s="170">
        <v>500</v>
      </c>
      <c r="N74" s="171">
        <f t="shared" si="22"/>
        <v>2164</v>
      </c>
      <c r="O74" s="168">
        <f>254+105</f>
        <v>359</v>
      </c>
      <c r="P74" s="169">
        <f>105+244</f>
        <v>349</v>
      </c>
      <c r="Q74" s="170">
        <v>215</v>
      </c>
      <c r="R74" s="38">
        <f t="shared" si="23"/>
        <v>144</v>
      </c>
      <c r="S74" s="168">
        <f>783+191</f>
        <v>974</v>
      </c>
      <c r="T74" s="170">
        <f>783+191</f>
        <v>974</v>
      </c>
      <c r="U74" s="170">
        <v>700</v>
      </c>
      <c r="V74" s="38">
        <f t="shared" si="24"/>
        <v>274</v>
      </c>
    </row>
    <row r="75" spans="1:22" s="92" customFormat="1" ht="12.75">
      <c r="A75" s="359" t="s">
        <v>41</v>
      </c>
      <c r="B75" s="231">
        <v>700</v>
      </c>
      <c r="C75" s="194">
        <v>700</v>
      </c>
      <c r="D75" s="194">
        <f>956</f>
        <v>956</v>
      </c>
      <c r="E75" s="195">
        <v>0</v>
      </c>
      <c r="F75" s="195">
        <v>0</v>
      </c>
      <c r="G75" s="195">
        <v>202</v>
      </c>
      <c r="H75" s="232">
        <f>526+E75+F75+G75</f>
        <v>728</v>
      </c>
      <c r="I75" s="233">
        <f t="shared" si="21"/>
        <v>928</v>
      </c>
      <c r="J75" s="231">
        <f>41+8</f>
        <v>49</v>
      </c>
      <c r="K75" s="194">
        <f>41+8</f>
        <v>49</v>
      </c>
      <c r="L75" s="194">
        <v>73</v>
      </c>
      <c r="M75" s="195">
        <v>100</v>
      </c>
      <c r="N75" s="232">
        <f t="shared" si="22"/>
        <v>22</v>
      </c>
      <c r="O75" s="231">
        <f>250+343</f>
        <v>593</v>
      </c>
      <c r="P75" s="194">
        <f>250+343</f>
        <v>593</v>
      </c>
      <c r="Q75" s="195">
        <v>400</v>
      </c>
      <c r="R75" s="233">
        <f t="shared" si="23"/>
        <v>193</v>
      </c>
      <c r="S75" s="231">
        <v>3</v>
      </c>
      <c r="T75" s="195">
        <v>3</v>
      </c>
      <c r="U75" s="195">
        <v>0</v>
      </c>
      <c r="V75" s="233">
        <f t="shared" si="24"/>
        <v>3</v>
      </c>
    </row>
    <row r="76" spans="1:23" s="40" customFormat="1" ht="12.75">
      <c r="A76" s="187" t="s">
        <v>94</v>
      </c>
      <c r="B76" s="188">
        <v>852</v>
      </c>
      <c r="C76" s="189">
        <v>852</v>
      </c>
      <c r="D76" s="189">
        <v>5269</v>
      </c>
      <c r="E76" s="190">
        <v>4011</v>
      </c>
      <c r="F76" s="190">
        <v>0</v>
      </c>
      <c r="G76" s="190">
        <v>0</v>
      </c>
      <c r="H76" s="191">
        <f>904+E76+F76+G76</f>
        <v>4915</v>
      </c>
      <c r="I76" s="71">
        <f t="shared" si="21"/>
        <v>1206</v>
      </c>
      <c r="J76" s="188">
        <v>568</v>
      </c>
      <c r="K76" s="189">
        <v>568</v>
      </c>
      <c r="L76" s="189">
        <v>116</v>
      </c>
      <c r="M76" s="190">
        <v>0</v>
      </c>
      <c r="N76" s="191">
        <f t="shared" si="22"/>
        <v>684</v>
      </c>
      <c r="O76" s="188">
        <f>220+174</f>
        <v>394</v>
      </c>
      <c r="P76" s="189">
        <f>220+174</f>
        <v>394</v>
      </c>
      <c r="Q76" s="190">
        <v>394</v>
      </c>
      <c r="R76" s="71">
        <f t="shared" si="23"/>
        <v>0</v>
      </c>
      <c r="S76" s="188">
        <f>29+193</f>
        <v>222</v>
      </c>
      <c r="T76" s="190">
        <f>29+193</f>
        <v>222</v>
      </c>
      <c r="U76" s="190">
        <v>19</v>
      </c>
      <c r="V76" s="71">
        <f t="shared" si="24"/>
        <v>203</v>
      </c>
      <c r="W76" s="174"/>
    </row>
    <row r="77" spans="1:22" s="40" customFormat="1" ht="12.75">
      <c r="A77" s="187" t="s">
        <v>42</v>
      </c>
      <c r="B77" s="188">
        <v>124</v>
      </c>
      <c r="C77" s="189">
        <v>124</v>
      </c>
      <c r="D77" s="194">
        <f>1335+159</f>
        <v>1494</v>
      </c>
      <c r="E77" s="190">
        <v>310</v>
      </c>
      <c r="F77" s="190">
        <v>0</v>
      </c>
      <c r="G77" s="190">
        <v>0</v>
      </c>
      <c r="H77" s="191">
        <f>625+E77+F77+G77</f>
        <v>935</v>
      </c>
      <c r="I77" s="71">
        <f t="shared" si="21"/>
        <v>683</v>
      </c>
      <c r="J77" s="188">
        <f>4+430</f>
        <v>434</v>
      </c>
      <c r="K77" s="189">
        <f>4+430</f>
        <v>434</v>
      </c>
      <c r="L77" s="189">
        <v>183</v>
      </c>
      <c r="M77" s="190">
        <f>150+430</f>
        <v>580</v>
      </c>
      <c r="N77" s="191">
        <f t="shared" si="22"/>
        <v>37</v>
      </c>
      <c r="O77" s="188">
        <f>75+195</f>
        <v>270</v>
      </c>
      <c r="P77" s="189">
        <f>195+75</f>
        <v>270</v>
      </c>
      <c r="Q77" s="190">
        <v>270</v>
      </c>
      <c r="R77" s="71">
        <f t="shared" si="23"/>
        <v>0</v>
      </c>
      <c r="S77" s="188">
        <v>5</v>
      </c>
      <c r="T77" s="190">
        <v>0</v>
      </c>
      <c r="U77" s="190">
        <v>0</v>
      </c>
      <c r="V77" s="71">
        <f t="shared" si="24"/>
        <v>5</v>
      </c>
    </row>
    <row r="78" spans="1:22" s="40" customFormat="1" ht="12.75">
      <c r="A78" s="187" t="s">
        <v>43</v>
      </c>
      <c r="B78" s="188">
        <v>2025</v>
      </c>
      <c r="C78" s="189">
        <v>2025</v>
      </c>
      <c r="D78" s="189">
        <v>1447</v>
      </c>
      <c r="E78" s="190">
        <v>760</v>
      </c>
      <c r="F78" s="190">
        <v>0</v>
      </c>
      <c r="G78" s="190">
        <v>0</v>
      </c>
      <c r="H78" s="191">
        <f>674+E78+F78+G78</f>
        <v>1434</v>
      </c>
      <c r="I78" s="71">
        <f t="shared" si="21"/>
        <v>2038</v>
      </c>
      <c r="J78" s="188">
        <v>0</v>
      </c>
      <c r="K78" s="189">
        <v>0</v>
      </c>
      <c r="L78" s="189">
        <v>71</v>
      </c>
      <c r="M78" s="190">
        <v>40</v>
      </c>
      <c r="N78" s="191">
        <f t="shared" si="22"/>
        <v>31</v>
      </c>
      <c r="O78" s="188">
        <f>180+667</f>
        <v>847</v>
      </c>
      <c r="P78" s="189">
        <f>180+505</f>
        <v>685</v>
      </c>
      <c r="Q78" s="190">
        <v>830</v>
      </c>
      <c r="R78" s="71">
        <f t="shared" si="23"/>
        <v>17</v>
      </c>
      <c r="S78" s="188">
        <v>256</v>
      </c>
      <c r="T78" s="190">
        <v>256</v>
      </c>
      <c r="U78" s="190">
        <v>0</v>
      </c>
      <c r="V78" s="71">
        <f t="shared" si="24"/>
        <v>256</v>
      </c>
    </row>
    <row r="79" spans="1:22" s="40" customFormat="1" ht="12.75">
      <c r="A79" s="187" t="s">
        <v>95</v>
      </c>
      <c r="B79" s="188">
        <v>1636</v>
      </c>
      <c r="C79" s="189">
        <v>1636</v>
      </c>
      <c r="D79" s="189">
        <v>1745</v>
      </c>
      <c r="E79" s="190">
        <v>1615</v>
      </c>
      <c r="F79" s="190">
        <v>0</v>
      </c>
      <c r="G79" s="190">
        <v>740</v>
      </c>
      <c r="H79" s="191">
        <f>434+E79+F79+G79</f>
        <v>2789</v>
      </c>
      <c r="I79" s="71">
        <f t="shared" si="21"/>
        <v>592</v>
      </c>
      <c r="J79" s="188">
        <v>639</v>
      </c>
      <c r="K79" s="189">
        <v>639</v>
      </c>
      <c r="L79" s="189">
        <v>112</v>
      </c>
      <c r="M79" s="190">
        <v>606</v>
      </c>
      <c r="N79" s="191">
        <f t="shared" si="22"/>
        <v>145</v>
      </c>
      <c r="O79" s="188">
        <f>190+444</f>
        <v>634</v>
      </c>
      <c r="P79" s="189">
        <f>190+425</f>
        <v>615</v>
      </c>
      <c r="Q79" s="190">
        <v>455</v>
      </c>
      <c r="R79" s="71">
        <f t="shared" si="23"/>
        <v>179</v>
      </c>
      <c r="S79" s="188">
        <v>399</v>
      </c>
      <c r="T79" s="190">
        <v>399</v>
      </c>
      <c r="U79" s="190">
        <v>350</v>
      </c>
      <c r="V79" s="71">
        <f t="shared" si="24"/>
        <v>49</v>
      </c>
    </row>
    <row r="80" spans="1:22" s="40" customFormat="1" ht="13.5" thickBot="1">
      <c r="A80" s="187" t="s">
        <v>96</v>
      </c>
      <c r="B80" s="188">
        <v>324</v>
      </c>
      <c r="C80" s="189">
        <v>324</v>
      </c>
      <c r="D80" s="189">
        <v>716</v>
      </c>
      <c r="E80" s="190">
        <v>460</v>
      </c>
      <c r="F80" s="190">
        <v>0</v>
      </c>
      <c r="G80" s="190">
        <v>0</v>
      </c>
      <c r="H80" s="191">
        <f>416+E80+F80+G80</f>
        <v>876</v>
      </c>
      <c r="I80" s="71">
        <f t="shared" si="21"/>
        <v>164</v>
      </c>
      <c r="J80" s="188">
        <v>212</v>
      </c>
      <c r="K80" s="189">
        <v>212</v>
      </c>
      <c r="L80" s="189">
        <v>415</v>
      </c>
      <c r="M80" s="190">
        <v>627</v>
      </c>
      <c r="N80" s="191">
        <f t="shared" si="22"/>
        <v>0</v>
      </c>
      <c r="O80" s="188">
        <f>110+234</f>
        <v>344</v>
      </c>
      <c r="P80" s="189">
        <f>110+170</f>
        <v>280</v>
      </c>
      <c r="Q80" s="190">
        <v>270</v>
      </c>
      <c r="R80" s="71">
        <f t="shared" si="23"/>
        <v>74</v>
      </c>
      <c r="S80" s="188">
        <v>3</v>
      </c>
      <c r="T80" s="190">
        <v>3</v>
      </c>
      <c r="U80" s="190">
        <v>0</v>
      </c>
      <c r="V80" s="71">
        <f t="shared" si="24"/>
        <v>3</v>
      </c>
    </row>
    <row r="81" spans="1:256" s="235" customFormat="1" ht="13.5" thickBot="1">
      <c r="A81" s="166" t="s">
        <v>44</v>
      </c>
      <c r="B81" s="167">
        <f>SUM(B82)</f>
        <v>269</v>
      </c>
      <c r="C81" s="165">
        <f aca="true" t="shared" si="25" ref="C81:V81">SUM(C82)</f>
        <v>269</v>
      </c>
      <c r="D81" s="165">
        <f t="shared" si="25"/>
        <v>412</v>
      </c>
      <c r="E81" s="165">
        <f t="shared" si="25"/>
        <v>210</v>
      </c>
      <c r="F81" s="165">
        <f t="shared" si="25"/>
        <v>0</v>
      </c>
      <c r="G81" s="165">
        <f t="shared" si="25"/>
        <v>0</v>
      </c>
      <c r="H81" s="165">
        <f t="shared" si="25"/>
        <v>387</v>
      </c>
      <c r="I81" s="29">
        <f t="shared" si="25"/>
        <v>294</v>
      </c>
      <c r="J81" s="167">
        <f t="shared" si="25"/>
        <v>71</v>
      </c>
      <c r="K81" s="165">
        <f t="shared" si="25"/>
        <v>71</v>
      </c>
      <c r="L81" s="165">
        <f t="shared" si="25"/>
        <v>8</v>
      </c>
      <c r="M81" s="165">
        <f t="shared" si="25"/>
        <v>3</v>
      </c>
      <c r="N81" s="29">
        <f t="shared" si="25"/>
        <v>76</v>
      </c>
      <c r="O81" s="167">
        <f t="shared" si="25"/>
        <v>226</v>
      </c>
      <c r="P81" s="165">
        <f t="shared" si="25"/>
        <v>226</v>
      </c>
      <c r="Q81" s="165">
        <f t="shared" si="25"/>
        <v>196</v>
      </c>
      <c r="R81" s="29">
        <f t="shared" si="25"/>
        <v>30</v>
      </c>
      <c r="S81" s="167">
        <f t="shared" si="25"/>
        <v>20</v>
      </c>
      <c r="T81" s="165">
        <f t="shared" si="25"/>
        <v>20</v>
      </c>
      <c r="U81" s="165">
        <f t="shared" si="25"/>
        <v>0</v>
      </c>
      <c r="V81" s="29">
        <f t="shared" si="25"/>
        <v>20</v>
      </c>
      <c r="W81" s="193"/>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86"/>
      <c r="CE81" s="86"/>
      <c r="CF81" s="86"/>
      <c r="CG81" s="86"/>
      <c r="CH81" s="86"/>
      <c r="CI81" s="86"/>
      <c r="CJ81" s="86"/>
      <c r="CK81" s="86"/>
      <c r="CL81" s="86"/>
      <c r="CM81" s="86"/>
      <c r="CN81" s="86"/>
      <c r="CO81" s="86"/>
      <c r="CP81" s="86"/>
      <c r="CQ81" s="86"/>
      <c r="CR81" s="86"/>
      <c r="CS81" s="86"/>
      <c r="CT81" s="86"/>
      <c r="CU81" s="86"/>
      <c r="CV81" s="86"/>
      <c r="CW81" s="86"/>
      <c r="CX81" s="86"/>
      <c r="CY81" s="86"/>
      <c r="CZ81" s="86"/>
      <c r="DA81" s="86"/>
      <c r="DB81" s="86"/>
      <c r="DC81" s="86"/>
      <c r="DD81" s="86"/>
      <c r="DE81" s="86"/>
      <c r="DF81" s="86"/>
      <c r="DG81" s="86"/>
      <c r="DH81" s="86"/>
      <c r="DI81" s="86"/>
      <c r="DJ81" s="86"/>
      <c r="DK81" s="86"/>
      <c r="DL81" s="86"/>
      <c r="DM81" s="86"/>
      <c r="DN81" s="86"/>
      <c r="DO81" s="86"/>
      <c r="DP81" s="86"/>
      <c r="DQ81" s="86"/>
      <c r="DR81" s="86"/>
      <c r="DS81" s="86"/>
      <c r="DT81" s="86"/>
      <c r="DU81" s="86"/>
      <c r="DV81" s="86"/>
      <c r="DW81" s="86"/>
      <c r="DX81" s="86"/>
      <c r="DY81" s="86"/>
      <c r="DZ81" s="86"/>
      <c r="EA81" s="86"/>
      <c r="EB81" s="86"/>
      <c r="EC81" s="86"/>
      <c r="ED81" s="86"/>
      <c r="EE81" s="86"/>
      <c r="EF81" s="86"/>
      <c r="EG81" s="86"/>
      <c r="EH81" s="86"/>
      <c r="EI81" s="86"/>
      <c r="EJ81" s="86"/>
      <c r="EK81" s="86"/>
      <c r="EL81" s="86"/>
      <c r="EM81" s="86"/>
      <c r="EN81" s="86"/>
      <c r="EO81" s="86"/>
      <c r="EP81" s="86"/>
      <c r="EQ81" s="86"/>
      <c r="ER81" s="86"/>
      <c r="ES81" s="86"/>
      <c r="ET81" s="86"/>
      <c r="EU81" s="86"/>
      <c r="EV81" s="86"/>
      <c r="EW81" s="86"/>
      <c r="EX81" s="86"/>
      <c r="EY81" s="86"/>
      <c r="EZ81" s="86"/>
      <c r="FA81" s="86"/>
      <c r="FB81" s="86"/>
      <c r="FC81" s="86"/>
      <c r="FD81" s="86"/>
      <c r="FE81" s="86"/>
      <c r="FF81" s="86"/>
      <c r="FG81" s="86"/>
      <c r="FH81" s="86"/>
      <c r="FI81" s="86"/>
      <c r="FJ81" s="86"/>
      <c r="FK81" s="86"/>
      <c r="FL81" s="86"/>
      <c r="FM81" s="86"/>
      <c r="FN81" s="86"/>
      <c r="FO81" s="86"/>
      <c r="FP81" s="86"/>
      <c r="FQ81" s="86"/>
      <c r="FR81" s="86"/>
      <c r="FS81" s="86"/>
      <c r="FT81" s="86"/>
      <c r="FU81" s="86"/>
      <c r="FV81" s="86"/>
      <c r="FW81" s="86"/>
      <c r="FX81" s="86"/>
      <c r="FY81" s="86"/>
      <c r="FZ81" s="86"/>
      <c r="GA81" s="86"/>
      <c r="GB81" s="86"/>
      <c r="GC81" s="86"/>
      <c r="GD81" s="86"/>
      <c r="GE81" s="86"/>
      <c r="GF81" s="86"/>
      <c r="GG81" s="86"/>
      <c r="GH81" s="86"/>
      <c r="GI81" s="86"/>
      <c r="GJ81" s="86"/>
      <c r="GK81" s="86"/>
      <c r="GL81" s="86"/>
      <c r="GM81" s="86"/>
      <c r="GN81" s="86"/>
      <c r="GO81" s="86"/>
      <c r="GP81" s="86"/>
      <c r="GQ81" s="86"/>
      <c r="GR81" s="86"/>
      <c r="GS81" s="86"/>
      <c r="GT81" s="86"/>
      <c r="GU81" s="86"/>
      <c r="GV81" s="86"/>
      <c r="GW81" s="86"/>
      <c r="GX81" s="86"/>
      <c r="GY81" s="86"/>
      <c r="GZ81" s="86"/>
      <c r="HA81" s="86"/>
      <c r="HB81" s="86"/>
      <c r="HC81" s="86"/>
      <c r="HD81" s="86"/>
      <c r="HE81" s="86"/>
      <c r="HF81" s="86"/>
      <c r="HG81" s="86"/>
      <c r="HH81" s="86"/>
      <c r="HI81" s="86"/>
      <c r="HJ81" s="86"/>
      <c r="HK81" s="86"/>
      <c r="HL81" s="86"/>
      <c r="HM81" s="86"/>
      <c r="HN81" s="86"/>
      <c r="HO81" s="86"/>
      <c r="HP81" s="86"/>
      <c r="HQ81" s="86"/>
      <c r="HR81" s="86"/>
      <c r="HS81" s="86"/>
      <c r="HT81" s="86"/>
      <c r="HU81" s="86"/>
      <c r="HV81" s="86"/>
      <c r="HW81" s="86"/>
      <c r="HX81" s="86"/>
      <c r="HY81" s="86"/>
      <c r="HZ81" s="86"/>
      <c r="IA81" s="86"/>
      <c r="IB81" s="86"/>
      <c r="IC81" s="86"/>
      <c r="ID81" s="86"/>
      <c r="IE81" s="86"/>
      <c r="IF81" s="86"/>
      <c r="IG81" s="86"/>
      <c r="IH81" s="86"/>
      <c r="II81" s="86"/>
      <c r="IJ81" s="86"/>
      <c r="IK81" s="86"/>
      <c r="IL81" s="86"/>
      <c r="IM81" s="86"/>
      <c r="IN81" s="86"/>
      <c r="IO81" s="86"/>
      <c r="IP81" s="86"/>
      <c r="IQ81" s="86"/>
      <c r="IR81" s="86"/>
      <c r="IS81" s="86"/>
      <c r="IT81" s="86"/>
      <c r="IU81" s="86"/>
      <c r="IV81" s="86"/>
    </row>
    <row r="82" spans="1:256" s="40" customFormat="1" ht="13.5" thickBot="1">
      <c r="A82" s="96" t="s">
        <v>57</v>
      </c>
      <c r="B82" s="236">
        <v>269</v>
      </c>
      <c r="C82" s="237">
        <v>269</v>
      </c>
      <c r="D82" s="237">
        <v>412</v>
      </c>
      <c r="E82" s="238">
        <v>210</v>
      </c>
      <c r="F82" s="238">
        <v>0</v>
      </c>
      <c r="G82" s="238">
        <v>0</v>
      </c>
      <c r="H82" s="239">
        <v>387</v>
      </c>
      <c r="I82" s="151">
        <f>B82+D82-H82</f>
        <v>294</v>
      </c>
      <c r="J82" s="236">
        <v>71</v>
      </c>
      <c r="K82" s="237">
        <v>71</v>
      </c>
      <c r="L82" s="237">
        <v>8</v>
      </c>
      <c r="M82" s="238">
        <v>3</v>
      </c>
      <c r="N82" s="239">
        <f>J82+L82-M82</f>
        <v>76</v>
      </c>
      <c r="O82" s="236">
        <f>100+126</f>
        <v>226</v>
      </c>
      <c r="P82" s="237">
        <v>226</v>
      </c>
      <c r="Q82" s="238">
        <v>196</v>
      </c>
      <c r="R82" s="151">
        <f>O82-Q82</f>
        <v>30</v>
      </c>
      <c r="S82" s="236">
        <v>20</v>
      </c>
      <c r="T82" s="237">
        <v>20</v>
      </c>
      <c r="U82" s="238">
        <v>0</v>
      </c>
      <c r="V82" s="151">
        <f>S82-U82</f>
        <v>20</v>
      </c>
      <c r="W82" s="240"/>
      <c r="X82" s="179"/>
      <c r="Y82" s="179"/>
      <c r="Z82" s="179"/>
      <c r="AA82" s="179"/>
      <c r="AB82" s="179"/>
      <c r="AC82" s="179"/>
      <c r="AD82" s="179"/>
      <c r="AE82" s="179"/>
      <c r="AF82" s="179"/>
      <c r="AG82" s="179"/>
      <c r="AH82" s="179"/>
      <c r="AI82" s="179"/>
      <c r="AJ82" s="179"/>
      <c r="AK82" s="179"/>
      <c r="AL82" s="179"/>
      <c r="AM82" s="179"/>
      <c r="AN82" s="179"/>
      <c r="AO82" s="179"/>
      <c r="AP82" s="179"/>
      <c r="AQ82" s="179"/>
      <c r="AR82" s="179"/>
      <c r="AS82" s="179"/>
      <c r="AT82" s="179"/>
      <c r="AU82" s="179"/>
      <c r="AV82" s="179"/>
      <c r="AW82" s="179"/>
      <c r="AX82" s="179"/>
      <c r="AY82" s="179"/>
      <c r="AZ82" s="179"/>
      <c r="BA82" s="179"/>
      <c r="BB82" s="179"/>
      <c r="BC82" s="179"/>
      <c r="BD82" s="179"/>
      <c r="BE82" s="179"/>
      <c r="BF82" s="179"/>
      <c r="BG82" s="179"/>
      <c r="BH82" s="179"/>
      <c r="BI82" s="179"/>
      <c r="BJ82" s="179"/>
      <c r="BK82" s="179"/>
      <c r="BL82" s="179"/>
      <c r="BM82" s="179"/>
      <c r="BN82" s="179"/>
      <c r="BO82" s="179"/>
      <c r="BP82" s="179"/>
      <c r="BQ82" s="179"/>
      <c r="BR82" s="179"/>
      <c r="BS82" s="179"/>
      <c r="BT82" s="179"/>
      <c r="BU82" s="179"/>
      <c r="BV82" s="179"/>
      <c r="BW82" s="179"/>
      <c r="BX82" s="179"/>
      <c r="BY82" s="179"/>
      <c r="BZ82" s="179"/>
      <c r="CA82" s="179"/>
      <c r="CB82" s="179"/>
      <c r="CC82" s="179"/>
      <c r="CD82" s="179"/>
      <c r="CE82" s="179"/>
      <c r="CF82" s="179"/>
      <c r="CG82" s="179"/>
      <c r="CH82" s="179"/>
      <c r="CI82" s="179"/>
      <c r="CJ82" s="179"/>
      <c r="CK82" s="179"/>
      <c r="CL82" s="179"/>
      <c r="CM82" s="179"/>
      <c r="CN82" s="179"/>
      <c r="CO82" s="179"/>
      <c r="CP82" s="179"/>
      <c r="CQ82" s="179"/>
      <c r="CR82" s="179"/>
      <c r="CS82" s="179"/>
      <c r="CT82" s="179"/>
      <c r="CU82" s="179"/>
      <c r="CV82" s="179"/>
      <c r="CW82" s="179"/>
      <c r="CX82" s="179"/>
      <c r="CY82" s="179"/>
      <c r="CZ82" s="179"/>
      <c r="DA82" s="179"/>
      <c r="DB82" s="179"/>
      <c r="DC82" s="179"/>
      <c r="DD82" s="179"/>
      <c r="DE82" s="179"/>
      <c r="DF82" s="179"/>
      <c r="DG82" s="179"/>
      <c r="DH82" s="179"/>
      <c r="DI82" s="179"/>
      <c r="DJ82" s="179"/>
      <c r="DK82" s="179"/>
      <c r="DL82" s="179"/>
      <c r="DM82" s="179"/>
      <c r="DN82" s="179"/>
      <c r="DO82" s="179"/>
      <c r="DP82" s="179"/>
      <c r="DQ82" s="179"/>
      <c r="DR82" s="179"/>
      <c r="DS82" s="179"/>
      <c r="DT82" s="179"/>
      <c r="DU82" s="179"/>
      <c r="DV82" s="179"/>
      <c r="DW82" s="179"/>
      <c r="DX82" s="179"/>
      <c r="DY82" s="179"/>
      <c r="DZ82" s="179"/>
      <c r="EA82" s="179"/>
      <c r="EB82" s="179"/>
      <c r="EC82" s="179"/>
      <c r="ED82" s="179"/>
      <c r="EE82" s="179"/>
      <c r="EF82" s="179"/>
      <c r="EG82" s="179"/>
      <c r="EH82" s="179"/>
      <c r="EI82" s="179"/>
      <c r="EJ82" s="179"/>
      <c r="EK82" s="179"/>
      <c r="EL82" s="179"/>
      <c r="EM82" s="179"/>
      <c r="EN82" s="179"/>
      <c r="EO82" s="179"/>
      <c r="EP82" s="179"/>
      <c r="EQ82" s="179"/>
      <c r="ER82" s="179"/>
      <c r="ES82" s="179"/>
      <c r="ET82" s="179"/>
      <c r="EU82" s="179"/>
      <c r="EV82" s="179"/>
      <c r="EW82" s="179"/>
      <c r="EX82" s="179"/>
      <c r="EY82" s="179"/>
      <c r="EZ82" s="179"/>
      <c r="FA82" s="179"/>
      <c r="FB82" s="179"/>
      <c r="FC82" s="179"/>
      <c r="FD82" s="179"/>
      <c r="FE82" s="179"/>
      <c r="FF82" s="179"/>
      <c r="FG82" s="179"/>
      <c r="FH82" s="179"/>
      <c r="FI82" s="179"/>
      <c r="FJ82" s="179"/>
      <c r="FK82" s="179"/>
      <c r="FL82" s="179"/>
      <c r="FM82" s="179"/>
      <c r="FN82" s="179"/>
      <c r="FO82" s="179"/>
      <c r="FP82" s="179"/>
      <c r="FQ82" s="179"/>
      <c r="FR82" s="179"/>
      <c r="FS82" s="179"/>
      <c r="FT82" s="179"/>
      <c r="FU82" s="179"/>
      <c r="FV82" s="179"/>
      <c r="FW82" s="179"/>
      <c r="FX82" s="179"/>
      <c r="FY82" s="179"/>
      <c r="FZ82" s="179"/>
      <c r="GA82" s="179"/>
      <c r="GB82" s="179"/>
      <c r="GC82" s="179"/>
      <c r="GD82" s="179"/>
      <c r="GE82" s="179"/>
      <c r="GF82" s="179"/>
      <c r="GG82" s="179"/>
      <c r="GH82" s="179"/>
      <c r="GI82" s="179"/>
      <c r="GJ82" s="179"/>
      <c r="GK82" s="179"/>
      <c r="GL82" s="179"/>
      <c r="GM82" s="179"/>
      <c r="GN82" s="179"/>
      <c r="GO82" s="179"/>
      <c r="GP82" s="179"/>
      <c r="GQ82" s="179"/>
      <c r="GR82" s="179"/>
      <c r="GS82" s="179"/>
      <c r="GT82" s="179"/>
      <c r="GU82" s="179"/>
      <c r="GV82" s="179"/>
      <c r="GW82" s="179"/>
      <c r="GX82" s="179"/>
      <c r="GY82" s="179"/>
      <c r="GZ82" s="179"/>
      <c r="HA82" s="179"/>
      <c r="HB82" s="179"/>
      <c r="HC82" s="179"/>
      <c r="HD82" s="179"/>
      <c r="HE82" s="179"/>
      <c r="HF82" s="179"/>
      <c r="HG82" s="179"/>
      <c r="HH82" s="179"/>
      <c r="HI82" s="179"/>
      <c r="HJ82" s="179"/>
      <c r="HK82" s="179"/>
      <c r="HL82" s="179"/>
      <c r="HM82" s="179"/>
      <c r="HN82" s="179"/>
      <c r="HO82" s="179"/>
      <c r="HP82" s="179"/>
      <c r="HQ82" s="179"/>
      <c r="HR82" s="179"/>
      <c r="HS82" s="179"/>
      <c r="HT82" s="179"/>
      <c r="HU82" s="179"/>
      <c r="HV82" s="179"/>
      <c r="HW82" s="179"/>
      <c r="HX82" s="179"/>
      <c r="HY82" s="179"/>
      <c r="HZ82" s="179"/>
      <c r="IA82" s="179"/>
      <c r="IB82" s="179"/>
      <c r="IC82" s="179"/>
      <c r="ID82" s="179"/>
      <c r="IE82" s="179"/>
      <c r="IF82" s="179"/>
      <c r="IG82" s="179"/>
      <c r="IH82" s="179"/>
      <c r="II82" s="179"/>
      <c r="IJ82" s="179"/>
      <c r="IK82" s="179"/>
      <c r="IL82" s="179"/>
      <c r="IM82" s="179"/>
      <c r="IN82" s="179"/>
      <c r="IO82" s="179"/>
      <c r="IP82" s="179"/>
      <c r="IQ82" s="179"/>
      <c r="IR82" s="179"/>
      <c r="IS82" s="179"/>
      <c r="IT82" s="179"/>
      <c r="IU82" s="179"/>
      <c r="IV82" s="179"/>
    </row>
    <row r="83" spans="1:256" s="40" customFormat="1" ht="13.5" thickBot="1">
      <c r="A83" s="241" t="s">
        <v>22</v>
      </c>
      <c r="B83" s="242">
        <f>SUM(B84)</f>
        <v>9294</v>
      </c>
      <c r="C83" s="243">
        <f aca="true" t="shared" si="26" ref="C83:V83">SUM(C84)</f>
        <v>1000</v>
      </c>
      <c r="D83" s="243">
        <f t="shared" si="26"/>
        <v>4450</v>
      </c>
      <c r="E83" s="243">
        <f t="shared" si="26"/>
        <v>9180</v>
      </c>
      <c r="F83" s="243">
        <f t="shared" si="26"/>
        <v>1400</v>
      </c>
      <c r="G83" s="243">
        <f t="shared" si="26"/>
        <v>1100</v>
      </c>
      <c r="H83" s="243">
        <f t="shared" si="26"/>
        <v>11680</v>
      </c>
      <c r="I83" s="102">
        <f t="shared" si="26"/>
        <v>2064</v>
      </c>
      <c r="J83" s="242">
        <f t="shared" si="26"/>
        <v>7184</v>
      </c>
      <c r="K83" s="243">
        <f t="shared" si="26"/>
        <v>1000</v>
      </c>
      <c r="L83" s="243">
        <f t="shared" si="26"/>
        <v>977</v>
      </c>
      <c r="M83" s="243">
        <f t="shared" si="26"/>
        <v>0</v>
      </c>
      <c r="N83" s="102">
        <f t="shared" si="26"/>
        <v>8161</v>
      </c>
      <c r="O83" s="242">
        <f t="shared" si="26"/>
        <v>473</v>
      </c>
      <c r="P83" s="243">
        <f t="shared" si="26"/>
        <v>210</v>
      </c>
      <c r="Q83" s="243">
        <f t="shared" si="26"/>
        <v>170</v>
      </c>
      <c r="R83" s="102">
        <f t="shared" si="26"/>
        <v>303</v>
      </c>
      <c r="S83" s="242">
        <f t="shared" si="26"/>
        <v>795</v>
      </c>
      <c r="T83" s="243">
        <f t="shared" si="26"/>
        <v>795</v>
      </c>
      <c r="U83" s="243">
        <f t="shared" si="26"/>
        <v>400</v>
      </c>
      <c r="V83" s="102">
        <f t="shared" si="26"/>
        <v>395</v>
      </c>
      <c r="W83" s="240"/>
      <c r="X83" s="179"/>
      <c r="Y83" s="179"/>
      <c r="Z83" s="179"/>
      <c r="AA83" s="179"/>
      <c r="AB83" s="179"/>
      <c r="AC83" s="179"/>
      <c r="AD83" s="179"/>
      <c r="AE83" s="179"/>
      <c r="AF83" s="179"/>
      <c r="AG83" s="179"/>
      <c r="AH83" s="179"/>
      <c r="AI83" s="179"/>
      <c r="AJ83" s="179"/>
      <c r="AK83" s="179"/>
      <c r="AL83" s="179"/>
      <c r="AM83" s="179"/>
      <c r="AN83" s="179"/>
      <c r="AO83" s="179"/>
      <c r="AP83" s="179"/>
      <c r="AQ83" s="179"/>
      <c r="AR83" s="179"/>
      <c r="AS83" s="179"/>
      <c r="AT83" s="179"/>
      <c r="AU83" s="179"/>
      <c r="AV83" s="179"/>
      <c r="AW83" s="179"/>
      <c r="AX83" s="179"/>
      <c r="AY83" s="179"/>
      <c r="AZ83" s="179"/>
      <c r="BA83" s="179"/>
      <c r="BB83" s="179"/>
      <c r="BC83" s="179"/>
      <c r="BD83" s="179"/>
      <c r="BE83" s="179"/>
      <c r="BF83" s="179"/>
      <c r="BG83" s="179"/>
      <c r="BH83" s="179"/>
      <c r="BI83" s="179"/>
      <c r="BJ83" s="179"/>
      <c r="BK83" s="179"/>
      <c r="BL83" s="179"/>
      <c r="BM83" s="179"/>
      <c r="BN83" s="179"/>
      <c r="BO83" s="179"/>
      <c r="BP83" s="179"/>
      <c r="BQ83" s="179"/>
      <c r="BR83" s="179"/>
      <c r="BS83" s="179"/>
      <c r="BT83" s="179"/>
      <c r="BU83" s="179"/>
      <c r="BV83" s="179"/>
      <c r="BW83" s="179"/>
      <c r="BX83" s="179"/>
      <c r="BY83" s="179"/>
      <c r="BZ83" s="179"/>
      <c r="CA83" s="179"/>
      <c r="CB83" s="179"/>
      <c r="CC83" s="179"/>
      <c r="CD83" s="179"/>
      <c r="CE83" s="179"/>
      <c r="CF83" s="179"/>
      <c r="CG83" s="179"/>
      <c r="CH83" s="179"/>
      <c r="CI83" s="179"/>
      <c r="CJ83" s="179"/>
      <c r="CK83" s="179"/>
      <c r="CL83" s="179"/>
      <c r="CM83" s="179"/>
      <c r="CN83" s="179"/>
      <c r="CO83" s="179"/>
      <c r="CP83" s="179"/>
      <c r="CQ83" s="179"/>
      <c r="CR83" s="179"/>
      <c r="CS83" s="179"/>
      <c r="CT83" s="179"/>
      <c r="CU83" s="179"/>
      <c r="CV83" s="179"/>
      <c r="CW83" s="179"/>
      <c r="CX83" s="179"/>
      <c r="CY83" s="179"/>
      <c r="CZ83" s="179"/>
      <c r="DA83" s="179"/>
      <c r="DB83" s="179"/>
      <c r="DC83" s="179"/>
      <c r="DD83" s="179"/>
      <c r="DE83" s="179"/>
      <c r="DF83" s="179"/>
      <c r="DG83" s="179"/>
      <c r="DH83" s="179"/>
      <c r="DI83" s="179"/>
      <c r="DJ83" s="179"/>
      <c r="DK83" s="179"/>
      <c r="DL83" s="179"/>
      <c r="DM83" s="179"/>
      <c r="DN83" s="179"/>
      <c r="DO83" s="179"/>
      <c r="DP83" s="179"/>
      <c r="DQ83" s="179"/>
      <c r="DR83" s="179"/>
      <c r="DS83" s="179"/>
      <c r="DT83" s="179"/>
      <c r="DU83" s="179"/>
      <c r="DV83" s="179"/>
      <c r="DW83" s="179"/>
      <c r="DX83" s="179"/>
      <c r="DY83" s="179"/>
      <c r="DZ83" s="179"/>
      <c r="EA83" s="179"/>
      <c r="EB83" s="179"/>
      <c r="EC83" s="179"/>
      <c r="ED83" s="179"/>
      <c r="EE83" s="179"/>
      <c r="EF83" s="179"/>
      <c r="EG83" s="179"/>
      <c r="EH83" s="179"/>
      <c r="EI83" s="179"/>
      <c r="EJ83" s="179"/>
      <c r="EK83" s="179"/>
      <c r="EL83" s="179"/>
      <c r="EM83" s="179"/>
      <c r="EN83" s="179"/>
      <c r="EO83" s="179"/>
      <c r="EP83" s="179"/>
      <c r="EQ83" s="179"/>
      <c r="ER83" s="179"/>
      <c r="ES83" s="179"/>
      <c r="ET83" s="179"/>
      <c r="EU83" s="179"/>
      <c r="EV83" s="179"/>
      <c r="EW83" s="179"/>
      <c r="EX83" s="179"/>
      <c r="EY83" s="179"/>
      <c r="EZ83" s="179"/>
      <c r="FA83" s="179"/>
      <c r="FB83" s="179"/>
      <c r="FC83" s="179"/>
      <c r="FD83" s="179"/>
      <c r="FE83" s="179"/>
      <c r="FF83" s="179"/>
      <c r="FG83" s="179"/>
      <c r="FH83" s="179"/>
      <c r="FI83" s="179"/>
      <c r="FJ83" s="179"/>
      <c r="FK83" s="179"/>
      <c r="FL83" s="179"/>
      <c r="FM83" s="179"/>
      <c r="FN83" s="179"/>
      <c r="FO83" s="179"/>
      <c r="FP83" s="179"/>
      <c r="FQ83" s="179"/>
      <c r="FR83" s="179"/>
      <c r="FS83" s="179"/>
      <c r="FT83" s="179"/>
      <c r="FU83" s="179"/>
      <c r="FV83" s="179"/>
      <c r="FW83" s="179"/>
      <c r="FX83" s="179"/>
      <c r="FY83" s="179"/>
      <c r="FZ83" s="179"/>
      <c r="GA83" s="179"/>
      <c r="GB83" s="179"/>
      <c r="GC83" s="179"/>
      <c r="GD83" s="179"/>
      <c r="GE83" s="179"/>
      <c r="GF83" s="179"/>
      <c r="GG83" s="179"/>
      <c r="GH83" s="179"/>
      <c r="GI83" s="179"/>
      <c r="GJ83" s="179"/>
      <c r="GK83" s="179"/>
      <c r="GL83" s="179"/>
      <c r="GM83" s="179"/>
      <c r="GN83" s="179"/>
      <c r="GO83" s="179"/>
      <c r="GP83" s="179"/>
      <c r="GQ83" s="179"/>
      <c r="GR83" s="179"/>
      <c r="GS83" s="179"/>
      <c r="GT83" s="179"/>
      <c r="GU83" s="179"/>
      <c r="GV83" s="179"/>
      <c r="GW83" s="179"/>
      <c r="GX83" s="179"/>
      <c r="GY83" s="179"/>
      <c r="GZ83" s="179"/>
      <c r="HA83" s="179"/>
      <c r="HB83" s="179"/>
      <c r="HC83" s="179"/>
      <c r="HD83" s="179"/>
      <c r="HE83" s="179"/>
      <c r="HF83" s="179"/>
      <c r="HG83" s="179"/>
      <c r="HH83" s="179"/>
      <c r="HI83" s="179"/>
      <c r="HJ83" s="179"/>
      <c r="HK83" s="179"/>
      <c r="HL83" s="179"/>
      <c r="HM83" s="179"/>
      <c r="HN83" s="179"/>
      <c r="HO83" s="179"/>
      <c r="HP83" s="179"/>
      <c r="HQ83" s="179"/>
      <c r="HR83" s="179"/>
      <c r="HS83" s="179"/>
      <c r="HT83" s="179"/>
      <c r="HU83" s="179"/>
      <c r="HV83" s="179"/>
      <c r="HW83" s="179"/>
      <c r="HX83" s="179"/>
      <c r="HY83" s="179"/>
      <c r="HZ83" s="179"/>
      <c r="IA83" s="179"/>
      <c r="IB83" s="179"/>
      <c r="IC83" s="179"/>
      <c r="ID83" s="179"/>
      <c r="IE83" s="179"/>
      <c r="IF83" s="179"/>
      <c r="IG83" s="179"/>
      <c r="IH83" s="179"/>
      <c r="II83" s="179"/>
      <c r="IJ83" s="179"/>
      <c r="IK83" s="179"/>
      <c r="IL83" s="179"/>
      <c r="IM83" s="179"/>
      <c r="IN83" s="179"/>
      <c r="IO83" s="179"/>
      <c r="IP83" s="179"/>
      <c r="IQ83" s="179"/>
      <c r="IR83" s="179"/>
      <c r="IS83" s="179"/>
      <c r="IT83" s="179"/>
      <c r="IU83" s="179"/>
      <c r="IV83" s="179"/>
    </row>
    <row r="84" spans="1:256" s="324" customFormat="1" ht="13.5" thickBot="1">
      <c r="A84" s="354" t="s">
        <v>74</v>
      </c>
      <c r="B84" s="355">
        <v>9294</v>
      </c>
      <c r="C84" s="342">
        <v>1000</v>
      </c>
      <c r="D84" s="342">
        <v>4450</v>
      </c>
      <c r="E84" s="343">
        <v>9180</v>
      </c>
      <c r="F84" s="343">
        <v>1400</v>
      </c>
      <c r="G84" s="343">
        <v>1100</v>
      </c>
      <c r="H84" s="345">
        <v>11680</v>
      </c>
      <c r="I84" s="344">
        <f>B84+D84-H84</f>
        <v>2064</v>
      </c>
      <c r="J84" s="355">
        <v>7184</v>
      </c>
      <c r="K84" s="342">
        <v>1000</v>
      </c>
      <c r="L84" s="342">
        <v>977</v>
      </c>
      <c r="M84" s="343">
        <v>0</v>
      </c>
      <c r="N84" s="345">
        <f>J84+L84-M84</f>
        <v>8161</v>
      </c>
      <c r="O84" s="355">
        <f>150+323</f>
        <v>473</v>
      </c>
      <c r="P84" s="342">
        <f>150+60</f>
        <v>210</v>
      </c>
      <c r="Q84" s="343">
        <v>170</v>
      </c>
      <c r="R84" s="344">
        <f>O84-Q84</f>
        <v>303</v>
      </c>
      <c r="S84" s="342">
        <f>300+495</f>
        <v>795</v>
      </c>
      <c r="T84" s="342">
        <v>795</v>
      </c>
      <c r="U84" s="343">
        <v>400</v>
      </c>
      <c r="V84" s="344">
        <f>S84-U84</f>
        <v>395</v>
      </c>
      <c r="W84" s="356"/>
      <c r="X84" s="323"/>
      <c r="Y84" s="323"/>
      <c r="Z84" s="323"/>
      <c r="AA84" s="323"/>
      <c r="AB84" s="323"/>
      <c r="AC84" s="323"/>
      <c r="AD84" s="323"/>
      <c r="AE84" s="323"/>
      <c r="AF84" s="323"/>
      <c r="AG84" s="323"/>
      <c r="AH84" s="323"/>
      <c r="AI84" s="323"/>
      <c r="AJ84" s="323"/>
      <c r="AK84" s="323"/>
      <c r="AL84" s="323"/>
      <c r="AM84" s="323"/>
      <c r="AN84" s="323"/>
      <c r="AO84" s="323"/>
      <c r="AP84" s="323"/>
      <c r="AQ84" s="323"/>
      <c r="AR84" s="323"/>
      <c r="AS84" s="323"/>
      <c r="AT84" s="323"/>
      <c r="AU84" s="323"/>
      <c r="AV84" s="323"/>
      <c r="AW84" s="323"/>
      <c r="AX84" s="323"/>
      <c r="AY84" s="323"/>
      <c r="AZ84" s="323"/>
      <c r="BA84" s="323"/>
      <c r="BB84" s="323"/>
      <c r="BC84" s="323"/>
      <c r="BD84" s="323"/>
      <c r="BE84" s="323"/>
      <c r="BF84" s="323"/>
      <c r="BG84" s="323"/>
      <c r="BH84" s="323"/>
      <c r="BI84" s="323"/>
      <c r="BJ84" s="323"/>
      <c r="BK84" s="323"/>
      <c r="BL84" s="323"/>
      <c r="BM84" s="323"/>
      <c r="BN84" s="323"/>
      <c r="BO84" s="323"/>
      <c r="BP84" s="323"/>
      <c r="BQ84" s="323"/>
      <c r="BR84" s="323"/>
      <c r="BS84" s="323"/>
      <c r="BT84" s="323"/>
      <c r="BU84" s="323"/>
      <c r="BV84" s="323"/>
      <c r="BW84" s="323"/>
      <c r="BX84" s="323"/>
      <c r="BY84" s="323"/>
      <c r="BZ84" s="323"/>
      <c r="CA84" s="323"/>
      <c r="CB84" s="323"/>
      <c r="CC84" s="323"/>
      <c r="CD84" s="323"/>
      <c r="CE84" s="323"/>
      <c r="CF84" s="323"/>
      <c r="CG84" s="323"/>
      <c r="CH84" s="323"/>
      <c r="CI84" s="323"/>
      <c r="CJ84" s="323"/>
      <c r="CK84" s="323"/>
      <c r="CL84" s="323"/>
      <c r="CM84" s="323"/>
      <c r="CN84" s="323"/>
      <c r="CO84" s="323"/>
      <c r="CP84" s="323"/>
      <c r="CQ84" s="323"/>
      <c r="CR84" s="323"/>
      <c r="CS84" s="323"/>
      <c r="CT84" s="323"/>
      <c r="CU84" s="323"/>
      <c r="CV84" s="323"/>
      <c r="CW84" s="323"/>
      <c r="CX84" s="323"/>
      <c r="CY84" s="323"/>
      <c r="CZ84" s="323"/>
      <c r="DA84" s="323"/>
      <c r="DB84" s="323"/>
      <c r="DC84" s="323"/>
      <c r="DD84" s="323"/>
      <c r="DE84" s="323"/>
      <c r="DF84" s="323"/>
      <c r="DG84" s="323"/>
      <c r="DH84" s="323"/>
      <c r="DI84" s="323"/>
      <c r="DJ84" s="323"/>
      <c r="DK84" s="323"/>
      <c r="DL84" s="323"/>
      <c r="DM84" s="323"/>
      <c r="DN84" s="323"/>
      <c r="DO84" s="323"/>
      <c r="DP84" s="323"/>
      <c r="DQ84" s="323"/>
      <c r="DR84" s="323"/>
      <c r="DS84" s="323"/>
      <c r="DT84" s="323"/>
      <c r="DU84" s="323"/>
      <c r="DV84" s="323"/>
      <c r="DW84" s="323"/>
      <c r="DX84" s="323"/>
      <c r="DY84" s="323"/>
      <c r="DZ84" s="323"/>
      <c r="EA84" s="323"/>
      <c r="EB84" s="323"/>
      <c r="EC84" s="323"/>
      <c r="ED84" s="323"/>
      <c r="EE84" s="323"/>
      <c r="EF84" s="323"/>
      <c r="EG84" s="323"/>
      <c r="EH84" s="323"/>
      <c r="EI84" s="323"/>
      <c r="EJ84" s="323"/>
      <c r="EK84" s="323"/>
      <c r="EL84" s="323"/>
      <c r="EM84" s="323"/>
      <c r="EN84" s="323"/>
      <c r="EO84" s="323"/>
      <c r="EP84" s="323"/>
      <c r="EQ84" s="323"/>
      <c r="ER84" s="323"/>
      <c r="ES84" s="323"/>
      <c r="ET84" s="323"/>
      <c r="EU84" s="323"/>
      <c r="EV84" s="323"/>
      <c r="EW84" s="323"/>
      <c r="EX84" s="323"/>
      <c r="EY84" s="323"/>
      <c r="EZ84" s="323"/>
      <c r="FA84" s="323"/>
      <c r="FB84" s="323"/>
      <c r="FC84" s="323"/>
      <c r="FD84" s="323"/>
      <c r="FE84" s="323"/>
      <c r="FF84" s="323"/>
      <c r="FG84" s="323"/>
      <c r="FH84" s="323"/>
      <c r="FI84" s="323"/>
      <c r="FJ84" s="323"/>
      <c r="FK84" s="323"/>
      <c r="FL84" s="323"/>
      <c r="FM84" s="323"/>
      <c r="FN84" s="323"/>
      <c r="FO84" s="323"/>
      <c r="FP84" s="323"/>
      <c r="FQ84" s="323"/>
      <c r="FR84" s="323"/>
      <c r="FS84" s="323"/>
      <c r="FT84" s="323"/>
      <c r="FU84" s="323"/>
      <c r="FV84" s="323"/>
      <c r="FW84" s="323"/>
      <c r="FX84" s="323"/>
      <c r="FY84" s="323"/>
      <c r="FZ84" s="323"/>
      <c r="GA84" s="323"/>
      <c r="GB84" s="323"/>
      <c r="GC84" s="323"/>
      <c r="GD84" s="323"/>
      <c r="GE84" s="323"/>
      <c r="GF84" s="323"/>
      <c r="GG84" s="323"/>
      <c r="GH84" s="323"/>
      <c r="GI84" s="323"/>
      <c r="GJ84" s="323"/>
      <c r="GK84" s="323"/>
      <c r="GL84" s="323"/>
      <c r="GM84" s="323"/>
      <c r="GN84" s="323"/>
      <c r="GO84" s="323"/>
      <c r="GP84" s="323"/>
      <c r="GQ84" s="323"/>
      <c r="GR84" s="323"/>
      <c r="GS84" s="323"/>
      <c r="GT84" s="323"/>
      <c r="GU84" s="323"/>
      <c r="GV84" s="323"/>
      <c r="GW84" s="323"/>
      <c r="GX84" s="323"/>
      <c r="GY84" s="323"/>
      <c r="GZ84" s="323"/>
      <c r="HA84" s="323"/>
      <c r="HB84" s="323"/>
      <c r="HC84" s="323"/>
      <c r="HD84" s="323"/>
      <c r="HE84" s="323"/>
      <c r="HF84" s="323"/>
      <c r="HG84" s="323"/>
      <c r="HH84" s="323"/>
      <c r="HI84" s="323"/>
      <c r="HJ84" s="323"/>
      <c r="HK84" s="323"/>
      <c r="HL84" s="323"/>
      <c r="HM84" s="323"/>
      <c r="HN84" s="323"/>
      <c r="HO84" s="323"/>
      <c r="HP84" s="323"/>
      <c r="HQ84" s="323"/>
      <c r="HR84" s="323"/>
      <c r="HS84" s="323"/>
      <c r="HT84" s="323"/>
      <c r="HU84" s="323"/>
      <c r="HV84" s="323"/>
      <c r="HW84" s="323"/>
      <c r="HX84" s="323"/>
      <c r="HY84" s="323"/>
      <c r="HZ84" s="323"/>
      <c r="IA84" s="323"/>
      <c r="IB84" s="323"/>
      <c r="IC84" s="323"/>
      <c r="ID84" s="323"/>
      <c r="IE84" s="323"/>
      <c r="IF84" s="323"/>
      <c r="IG84" s="323"/>
      <c r="IH84" s="323"/>
      <c r="II84" s="323"/>
      <c r="IJ84" s="323"/>
      <c r="IK84" s="323"/>
      <c r="IL84" s="323"/>
      <c r="IM84" s="323"/>
      <c r="IN84" s="323"/>
      <c r="IO84" s="323"/>
      <c r="IP84" s="323"/>
      <c r="IQ84" s="323"/>
      <c r="IR84" s="323"/>
      <c r="IS84" s="323"/>
      <c r="IT84" s="323"/>
      <c r="IU84" s="323"/>
      <c r="IV84" s="323"/>
    </row>
    <row r="85" spans="1:256" s="235" customFormat="1" ht="13.5" thickBot="1">
      <c r="A85" s="166" t="s">
        <v>23</v>
      </c>
      <c r="B85" s="167">
        <f>SUM(B86:B90)</f>
        <v>361</v>
      </c>
      <c r="C85" s="165">
        <f aca="true" t="shared" si="27" ref="C85:V85">SUM(C86:C90)</f>
        <v>361</v>
      </c>
      <c r="D85" s="165">
        <f t="shared" si="27"/>
        <v>156</v>
      </c>
      <c r="E85" s="165">
        <f t="shared" si="27"/>
        <v>0</v>
      </c>
      <c r="F85" s="165">
        <f t="shared" si="27"/>
        <v>0</v>
      </c>
      <c r="G85" s="165">
        <f t="shared" si="27"/>
        <v>0</v>
      </c>
      <c r="H85" s="165">
        <f t="shared" si="27"/>
        <v>49</v>
      </c>
      <c r="I85" s="29">
        <f t="shared" si="27"/>
        <v>468</v>
      </c>
      <c r="J85" s="167">
        <f t="shared" si="27"/>
        <v>64</v>
      </c>
      <c r="K85" s="165">
        <f t="shared" si="27"/>
        <v>64</v>
      </c>
      <c r="L85" s="165">
        <f t="shared" si="27"/>
        <v>5</v>
      </c>
      <c r="M85" s="165">
        <f t="shared" si="27"/>
        <v>22</v>
      </c>
      <c r="N85" s="29">
        <f t="shared" si="27"/>
        <v>47</v>
      </c>
      <c r="O85" s="167">
        <f t="shared" si="27"/>
        <v>265</v>
      </c>
      <c r="P85" s="165">
        <f t="shared" si="27"/>
        <v>249</v>
      </c>
      <c r="Q85" s="165">
        <f t="shared" si="27"/>
        <v>220</v>
      </c>
      <c r="R85" s="29">
        <f t="shared" si="27"/>
        <v>45</v>
      </c>
      <c r="S85" s="167">
        <f t="shared" si="27"/>
        <v>5</v>
      </c>
      <c r="T85" s="165">
        <f t="shared" si="27"/>
        <v>5</v>
      </c>
      <c r="U85" s="165">
        <f t="shared" si="27"/>
        <v>0</v>
      </c>
      <c r="V85" s="29">
        <f t="shared" si="27"/>
        <v>5</v>
      </c>
      <c r="W85" s="193"/>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c r="CE85" s="86"/>
      <c r="CF85" s="86"/>
      <c r="CG85" s="86"/>
      <c r="CH85" s="86"/>
      <c r="CI85" s="86"/>
      <c r="CJ85" s="86"/>
      <c r="CK85" s="86"/>
      <c r="CL85" s="86"/>
      <c r="CM85" s="86"/>
      <c r="CN85" s="86"/>
      <c r="CO85" s="86"/>
      <c r="CP85" s="86"/>
      <c r="CQ85" s="86"/>
      <c r="CR85" s="86"/>
      <c r="CS85" s="86"/>
      <c r="CT85" s="86"/>
      <c r="CU85" s="86"/>
      <c r="CV85" s="86"/>
      <c r="CW85" s="86"/>
      <c r="CX85" s="86"/>
      <c r="CY85" s="86"/>
      <c r="CZ85" s="86"/>
      <c r="DA85" s="86"/>
      <c r="DB85" s="86"/>
      <c r="DC85" s="86"/>
      <c r="DD85" s="86"/>
      <c r="DE85" s="86"/>
      <c r="DF85" s="86"/>
      <c r="DG85" s="86"/>
      <c r="DH85" s="86"/>
      <c r="DI85" s="86"/>
      <c r="DJ85" s="86"/>
      <c r="DK85" s="86"/>
      <c r="DL85" s="86"/>
      <c r="DM85" s="86"/>
      <c r="DN85" s="86"/>
      <c r="DO85" s="86"/>
      <c r="DP85" s="86"/>
      <c r="DQ85" s="86"/>
      <c r="DR85" s="86"/>
      <c r="DS85" s="86"/>
      <c r="DT85" s="86"/>
      <c r="DU85" s="86"/>
      <c r="DV85" s="86"/>
      <c r="DW85" s="86"/>
      <c r="DX85" s="86"/>
      <c r="DY85" s="86"/>
      <c r="DZ85" s="86"/>
      <c r="EA85" s="86"/>
      <c r="EB85" s="86"/>
      <c r="EC85" s="86"/>
      <c r="ED85" s="86"/>
      <c r="EE85" s="86"/>
      <c r="EF85" s="86"/>
      <c r="EG85" s="86"/>
      <c r="EH85" s="86"/>
      <c r="EI85" s="86"/>
      <c r="EJ85" s="86"/>
      <c r="EK85" s="86"/>
      <c r="EL85" s="86"/>
      <c r="EM85" s="86"/>
      <c r="EN85" s="86"/>
      <c r="EO85" s="86"/>
      <c r="EP85" s="86"/>
      <c r="EQ85" s="86"/>
      <c r="ER85" s="86"/>
      <c r="ES85" s="86"/>
      <c r="ET85" s="86"/>
      <c r="EU85" s="86"/>
      <c r="EV85" s="86"/>
      <c r="EW85" s="86"/>
      <c r="EX85" s="86"/>
      <c r="EY85" s="86"/>
      <c r="EZ85" s="86"/>
      <c r="FA85" s="86"/>
      <c r="FB85" s="86"/>
      <c r="FC85" s="86"/>
      <c r="FD85" s="86"/>
      <c r="FE85" s="86"/>
      <c r="FF85" s="86"/>
      <c r="FG85" s="86"/>
      <c r="FH85" s="86"/>
      <c r="FI85" s="86"/>
      <c r="FJ85" s="86"/>
      <c r="FK85" s="86"/>
      <c r="FL85" s="86"/>
      <c r="FM85" s="86"/>
      <c r="FN85" s="86"/>
      <c r="FO85" s="86"/>
      <c r="FP85" s="86"/>
      <c r="FQ85" s="86"/>
      <c r="FR85" s="86"/>
      <c r="FS85" s="86"/>
      <c r="FT85" s="86"/>
      <c r="FU85" s="86"/>
      <c r="FV85" s="86"/>
      <c r="FW85" s="86"/>
      <c r="FX85" s="86"/>
      <c r="FY85" s="86"/>
      <c r="FZ85" s="86"/>
      <c r="GA85" s="86"/>
      <c r="GB85" s="86"/>
      <c r="GC85" s="86"/>
      <c r="GD85" s="86"/>
      <c r="GE85" s="86"/>
      <c r="GF85" s="86"/>
      <c r="GG85" s="86"/>
      <c r="GH85" s="86"/>
      <c r="GI85" s="86"/>
      <c r="GJ85" s="86"/>
      <c r="GK85" s="86"/>
      <c r="GL85" s="86"/>
      <c r="GM85" s="86"/>
      <c r="GN85" s="86"/>
      <c r="GO85" s="86"/>
      <c r="GP85" s="86"/>
      <c r="GQ85" s="86"/>
      <c r="GR85" s="86"/>
      <c r="GS85" s="86"/>
      <c r="GT85" s="86"/>
      <c r="GU85" s="86"/>
      <c r="GV85" s="86"/>
      <c r="GW85" s="86"/>
      <c r="GX85" s="86"/>
      <c r="GY85" s="86"/>
      <c r="GZ85" s="86"/>
      <c r="HA85" s="86"/>
      <c r="HB85" s="86"/>
      <c r="HC85" s="86"/>
      <c r="HD85" s="86"/>
      <c r="HE85" s="86"/>
      <c r="HF85" s="86"/>
      <c r="HG85" s="86"/>
      <c r="HH85" s="86"/>
      <c r="HI85" s="86"/>
      <c r="HJ85" s="86"/>
      <c r="HK85" s="86"/>
      <c r="HL85" s="86"/>
      <c r="HM85" s="86"/>
      <c r="HN85" s="86"/>
      <c r="HO85" s="86"/>
      <c r="HP85" s="86"/>
      <c r="HQ85" s="86"/>
      <c r="HR85" s="86"/>
      <c r="HS85" s="86"/>
      <c r="HT85" s="86"/>
      <c r="HU85" s="86"/>
      <c r="HV85" s="86"/>
      <c r="HW85" s="86"/>
      <c r="HX85" s="86"/>
      <c r="HY85" s="86"/>
      <c r="HZ85" s="86"/>
      <c r="IA85" s="86"/>
      <c r="IB85" s="86"/>
      <c r="IC85" s="86"/>
      <c r="ID85" s="86"/>
      <c r="IE85" s="86"/>
      <c r="IF85" s="86"/>
      <c r="IG85" s="86"/>
      <c r="IH85" s="86"/>
      <c r="II85" s="86"/>
      <c r="IJ85" s="86"/>
      <c r="IK85" s="86"/>
      <c r="IL85" s="86"/>
      <c r="IM85" s="86"/>
      <c r="IN85" s="86"/>
      <c r="IO85" s="86"/>
      <c r="IP85" s="86"/>
      <c r="IQ85" s="86"/>
      <c r="IR85" s="86"/>
      <c r="IS85" s="86"/>
      <c r="IT85" s="86"/>
      <c r="IU85" s="86"/>
      <c r="IV85" s="86"/>
    </row>
    <row r="86" spans="1:256" s="40" customFormat="1" ht="12.75">
      <c r="A86" s="244" t="s">
        <v>136</v>
      </c>
      <c r="B86" s="175">
        <v>82</v>
      </c>
      <c r="C86" s="176">
        <v>82</v>
      </c>
      <c r="D86" s="176">
        <v>22</v>
      </c>
      <c r="E86" s="177">
        <v>0</v>
      </c>
      <c r="F86" s="177">
        <v>0</v>
      </c>
      <c r="G86" s="177">
        <v>0</v>
      </c>
      <c r="H86" s="178">
        <v>18</v>
      </c>
      <c r="I86" s="70">
        <f>B86+D86-H86</f>
        <v>86</v>
      </c>
      <c r="J86" s="175">
        <v>20</v>
      </c>
      <c r="K86" s="176">
        <v>20</v>
      </c>
      <c r="L86" s="176">
        <v>1</v>
      </c>
      <c r="M86" s="177">
        <v>0</v>
      </c>
      <c r="N86" s="178">
        <f>J86+L86-M86</f>
        <v>21</v>
      </c>
      <c r="O86" s="175">
        <f>10+21</f>
        <v>31</v>
      </c>
      <c r="P86" s="176">
        <v>31</v>
      </c>
      <c r="Q86" s="177">
        <v>31</v>
      </c>
      <c r="R86" s="70">
        <f>O86-Q86</f>
        <v>0</v>
      </c>
      <c r="S86" s="175">
        <v>0</v>
      </c>
      <c r="T86" s="176">
        <v>0</v>
      </c>
      <c r="U86" s="177">
        <v>0</v>
      </c>
      <c r="V86" s="38">
        <f>S86-U86</f>
        <v>0</v>
      </c>
      <c r="W86" s="240"/>
      <c r="X86" s="179"/>
      <c r="Y86" s="179"/>
      <c r="Z86" s="179"/>
      <c r="AA86" s="179"/>
      <c r="AB86" s="179"/>
      <c r="AC86" s="179"/>
      <c r="AD86" s="179"/>
      <c r="AE86" s="179"/>
      <c r="AF86" s="179"/>
      <c r="AG86" s="179"/>
      <c r="AH86" s="179"/>
      <c r="AI86" s="179"/>
      <c r="AJ86" s="179"/>
      <c r="AK86" s="179"/>
      <c r="AL86" s="179"/>
      <c r="AM86" s="179"/>
      <c r="AN86" s="179"/>
      <c r="AO86" s="179"/>
      <c r="AP86" s="179"/>
      <c r="AQ86" s="179"/>
      <c r="AR86" s="179"/>
      <c r="AS86" s="179"/>
      <c r="AT86" s="179"/>
      <c r="AU86" s="179"/>
      <c r="AV86" s="179"/>
      <c r="AW86" s="179"/>
      <c r="AX86" s="179"/>
      <c r="AY86" s="179"/>
      <c r="AZ86" s="179"/>
      <c r="BA86" s="179"/>
      <c r="BB86" s="179"/>
      <c r="BC86" s="179"/>
      <c r="BD86" s="179"/>
      <c r="BE86" s="179"/>
      <c r="BF86" s="179"/>
      <c r="BG86" s="179"/>
      <c r="BH86" s="179"/>
      <c r="BI86" s="179"/>
      <c r="BJ86" s="179"/>
      <c r="BK86" s="179"/>
      <c r="BL86" s="179"/>
      <c r="BM86" s="179"/>
      <c r="BN86" s="179"/>
      <c r="BO86" s="179"/>
      <c r="BP86" s="179"/>
      <c r="BQ86" s="179"/>
      <c r="BR86" s="179"/>
      <c r="BS86" s="179"/>
      <c r="BT86" s="179"/>
      <c r="BU86" s="179"/>
      <c r="BV86" s="179"/>
      <c r="BW86" s="179"/>
      <c r="BX86" s="179"/>
      <c r="BY86" s="179"/>
      <c r="BZ86" s="179"/>
      <c r="CA86" s="179"/>
      <c r="CB86" s="179"/>
      <c r="CC86" s="179"/>
      <c r="CD86" s="179"/>
      <c r="CE86" s="179"/>
      <c r="CF86" s="179"/>
      <c r="CG86" s="179"/>
      <c r="CH86" s="179"/>
      <c r="CI86" s="179"/>
      <c r="CJ86" s="179"/>
      <c r="CK86" s="179"/>
      <c r="CL86" s="179"/>
      <c r="CM86" s="179"/>
      <c r="CN86" s="179"/>
      <c r="CO86" s="179"/>
      <c r="CP86" s="179"/>
      <c r="CQ86" s="179"/>
      <c r="CR86" s="179"/>
      <c r="CS86" s="179"/>
      <c r="CT86" s="179"/>
      <c r="CU86" s="179"/>
      <c r="CV86" s="179"/>
      <c r="CW86" s="179"/>
      <c r="CX86" s="179"/>
      <c r="CY86" s="179"/>
      <c r="CZ86" s="179"/>
      <c r="DA86" s="179"/>
      <c r="DB86" s="179"/>
      <c r="DC86" s="179"/>
      <c r="DD86" s="179"/>
      <c r="DE86" s="179"/>
      <c r="DF86" s="179"/>
      <c r="DG86" s="179"/>
      <c r="DH86" s="179"/>
      <c r="DI86" s="179"/>
      <c r="DJ86" s="179"/>
      <c r="DK86" s="179"/>
      <c r="DL86" s="179"/>
      <c r="DM86" s="179"/>
      <c r="DN86" s="179"/>
      <c r="DO86" s="179"/>
      <c r="DP86" s="179"/>
      <c r="DQ86" s="179"/>
      <c r="DR86" s="179"/>
      <c r="DS86" s="179"/>
      <c r="DT86" s="179"/>
      <c r="DU86" s="179"/>
      <c r="DV86" s="179"/>
      <c r="DW86" s="179"/>
      <c r="DX86" s="179"/>
      <c r="DY86" s="179"/>
      <c r="DZ86" s="179"/>
      <c r="EA86" s="179"/>
      <c r="EB86" s="179"/>
      <c r="EC86" s="179"/>
      <c r="ED86" s="179"/>
      <c r="EE86" s="179"/>
      <c r="EF86" s="179"/>
      <c r="EG86" s="179"/>
      <c r="EH86" s="179"/>
      <c r="EI86" s="179"/>
      <c r="EJ86" s="179"/>
      <c r="EK86" s="179"/>
      <c r="EL86" s="179"/>
      <c r="EM86" s="179"/>
      <c r="EN86" s="179"/>
      <c r="EO86" s="179"/>
      <c r="EP86" s="179"/>
      <c r="EQ86" s="179"/>
      <c r="ER86" s="179"/>
      <c r="ES86" s="179"/>
      <c r="ET86" s="179"/>
      <c r="EU86" s="179"/>
      <c r="EV86" s="179"/>
      <c r="EW86" s="179"/>
      <c r="EX86" s="179"/>
      <c r="EY86" s="179"/>
      <c r="EZ86" s="179"/>
      <c r="FA86" s="179"/>
      <c r="FB86" s="179"/>
      <c r="FC86" s="179"/>
      <c r="FD86" s="179"/>
      <c r="FE86" s="179"/>
      <c r="FF86" s="179"/>
      <c r="FG86" s="179"/>
      <c r="FH86" s="179"/>
      <c r="FI86" s="179"/>
      <c r="FJ86" s="179"/>
      <c r="FK86" s="179"/>
      <c r="FL86" s="179"/>
      <c r="FM86" s="179"/>
      <c r="FN86" s="179"/>
      <c r="FO86" s="179"/>
      <c r="FP86" s="179"/>
      <c r="FQ86" s="179"/>
      <c r="FR86" s="179"/>
      <c r="FS86" s="179"/>
      <c r="FT86" s="179"/>
      <c r="FU86" s="179"/>
      <c r="FV86" s="179"/>
      <c r="FW86" s="179"/>
      <c r="FX86" s="179"/>
      <c r="FY86" s="179"/>
      <c r="FZ86" s="179"/>
      <c r="GA86" s="179"/>
      <c r="GB86" s="179"/>
      <c r="GC86" s="179"/>
      <c r="GD86" s="179"/>
      <c r="GE86" s="179"/>
      <c r="GF86" s="179"/>
      <c r="GG86" s="179"/>
      <c r="GH86" s="179"/>
      <c r="GI86" s="179"/>
      <c r="GJ86" s="179"/>
      <c r="GK86" s="179"/>
      <c r="GL86" s="179"/>
      <c r="GM86" s="179"/>
      <c r="GN86" s="179"/>
      <c r="GO86" s="179"/>
      <c r="GP86" s="179"/>
      <c r="GQ86" s="179"/>
      <c r="GR86" s="179"/>
      <c r="GS86" s="179"/>
      <c r="GT86" s="179"/>
      <c r="GU86" s="179"/>
      <c r="GV86" s="179"/>
      <c r="GW86" s="179"/>
      <c r="GX86" s="179"/>
      <c r="GY86" s="179"/>
      <c r="GZ86" s="179"/>
      <c r="HA86" s="179"/>
      <c r="HB86" s="179"/>
      <c r="HC86" s="179"/>
      <c r="HD86" s="179"/>
      <c r="HE86" s="179"/>
      <c r="HF86" s="179"/>
      <c r="HG86" s="179"/>
      <c r="HH86" s="179"/>
      <c r="HI86" s="179"/>
      <c r="HJ86" s="179"/>
      <c r="HK86" s="179"/>
      <c r="HL86" s="179"/>
      <c r="HM86" s="179"/>
      <c r="HN86" s="179"/>
      <c r="HO86" s="179"/>
      <c r="HP86" s="179"/>
      <c r="HQ86" s="179"/>
      <c r="HR86" s="179"/>
      <c r="HS86" s="179"/>
      <c r="HT86" s="179"/>
      <c r="HU86" s="179"/>
      <c r="HV86" s="179"/>
      <c r="HW86" s="179"/>
      <c r="HX86" s="179"/>
      <c r="HY86" s="179"/>
      <c r="HZ86" s="179"/>
      <c r="IA86" s="179"/>
      <c r="IB86" s="179"/>
      <c r="IC86" s="179"/>
      <c r="ID86" s="179"/>
      <c r="IE86" s="179"/>
      <c r="IF86" s="179"/>
      <c r="IG86" s="179"/>
      <c r="IH86" s="179"/>
      <c r="II86" s="179"/>
      <c r="IJ86" s="179"/>
      <c r="IK86" s="179"/>
      <c r="IL86" s="179"/>
      <c r="IM86" s="179"/>
      <c r="IN86" s="179"/>
      <c r="IO86" s="179"/>
      <c r="IP86" s="179"/>
      <c r="IQ86" s="179"/>
      <c r="IR86" s="179"/>
      <c r="IS86" s="179"/>
      <c r="IT86" s="179"/>
      <c r="IU86" s="179"/>
      <c r="IV86" s="179"/>
    </row>
    <row r="87" spans="1:256" s="40" customFormat="1" ht="12.75">
      <c r="A87" s="245" t="s">
        <v>24</v>
      </c>
      <c r="B87" s="168">
        <v>2</v>
      </c>
      <c r="C87" s="169">
        <v>2</v>
      </c>
      <c r="D87" s="169">
        <v>32</v>
      </c>
      <c r="E87" s="170">
        <v>0</v>
      </c>
      <c r="F87" s="170">
        <v>0</v>
      </c>
      <c r="G87" s="170">
        <v>0</v>
      </c>
      <c r="H87" s="171">
        <v>31</v>
      </c>
      <c r="I87" s="38">
        <f>B87+D87-H87</f>
        <v>3</v>
      </c>
      <c r="J87" s="168">
        <v>1</v>
      </c>
      <c r="K87" s="169">
        <v>1</v>
      </c>
      <c r="L87" s="169">
        <v>0</v>
      </c>
      <c r="M87" s="170">
        <v>0</v>
      </c>
      <c r="N87" s="171">
        <f>J87+L87-M87</f>
        <v>1</v>
      </c>
      <c r="O87" s="168">
        <f>46+30</f>
        <v>76</v>
      </c>
      <c r="P87" s="169">
        <v>76</v>
      </c>
      <c r="Q87" s="170">
        <v>42</v>
      </c>
      <c r="R87" s="38">
        <f>O87-Q87</f>
        <v>34</v>
      </c>
      <c r="S87" s="168">
        <v>0</v>
      </c>
      <c r="T87" s="169">
        <v>0</v>
      </c>
      <c r="U87" s="170">
        <v>0</v>
      </c>
      <c r="V87" s="38">
        <f>S87-U87</f>
        <v>0</v>
      </c>
      <c r="W87" s="240"/>
      <c r="X87" s="179"/>
      <c r="Y87" s="179"/>
      <c r="Z87" s="179"/>
      <c r="AA87" s="179"/>
      <c r="AB87" s="179"/>
      <c r="AC87" s="179"/>
      <c r="AD87" s="179"/>
      <c r="AE87" s="179"/>
      <c r="AF87" s="179"/>
      <c r="AG87" s="179"/>
      <c r="AH87" s="179"/>
      <c r="AI87" s="179"/>
      <c r="AJ87" s="179"/>
      <c r="AK87" s="179"/>
      <c r="AL87" s="179"/>
      <c r="AM87" s="179"/>
      <c r="AN87" s="179"/>
      <c r="AO87" s="179"/>
      <c r="AP87" s="179"/>
      <c r="AQ87" s="179"/>
      <c r="AR87" s="179"/>
      <c r="AS87" s="179"/>
      <c r="AT87" s="179"/>
      <c r="AU87" s="179"/>
      <c r="AV87" s="179"/>
      <c r="AW87" s="179"/>
      <c r="AX87" s="179"/>
      <c r="AY87" s="179"/>
      <c r="AZ87" s="179"/>
      <c r="BA87" s="179"/>
      <c r="BB87" s="179"/>
      <c r="BC87" s="179"/>
      <c r="BD87" s="179"/>
      <c r="BE87" s="179"/>
      <c r="BF87" s="179"/>
      <c r="BG87" s="179"/>
      <c r="BH87" s="179"/>
      <c r="BI87" s="179"/>
      <c r="BJ87" s="179"/>
      <c r="BK87" s="179"/>
      <c r="BL87" s="179"/>
      <c r="BM87" s="179"/>
      <c r="BN87" s="179"/>
      <c r="BO87" s="179"/>
      <c r="BP87" s="179"/>
      <c r="BQ87" s="179"/>
      <c r="BR87" s="179"/>
      <c r="BS87" s="179"/>
      <c r="BT87" s="179"/>
      <c r="BU87" s="179"/>
      <c r="BV87" s="179"/>
      <c r="BW87" s="179"/>
      <c r="BX87" s="179"/>
      <c r="BY87" s="179"/>
      <c r="BZ87" s="179"/>
      <c r="CA87" s="179"/>
      <c r="CB87" s="179"/>
      <c r="CC87" s="179"/>
      <c r="CD87" s="179"/>
      <c r="CE87" s="179"/>
      <c r="CF87" s="179"/>
      <c r="CG87" s="179"/>
      <c r="CH87" s="179"/>
      <c r="CI87" s="179"/>
      <c r="CJ87" s="179"/>
      <c r="CK87" s="179"/>
      <c r="CL87" s="179"/>
      <c r="CM87" s="179"/>
      <c r="CN87" s="179"/>
      <c r="CO87" s="179"/>
      <c r="CP87" s="179"/>
      <c r="CQ87" s="179"/>
      <c r="CR87" s="179"/>
      <c r="CS87" s="179"/>
      <c r="CT87" s="179"/>
      <c r="CU87" s="179"/>
      <c r="CV87" s="179"/>
      <c r="CW87" s="179"/>
      <c r="CX87" s="179"/>
      <c r="CY87" s="179"/>
      <c r="CZ87" s="179"/>
      <c r="DA87" s="179"/>
      <c r="DB87" s="179"/>
      <c r="DC87" s="179"/>
      <c r="DD87" s="179"/>
      <c r="DE87" s="179"/>
      <c r="DF87" s="179"/>
      <c r="DG87" s="179"/>
      <c r="DH87" s="179"/>
      <c r="DI87" s="179"/>
      <c r="DJ87" s="179"/>
      <c r="DK87" s="179"/>
      <c r="DL87" s="179"/>
      <c r="DM87" s="179"/>
      <c r="DN87" s="179"/>
      <c r="DO87" s="179"/>
      <c r="DP87" s="179"/>
      <c r="DQ87" s="179"/>
      <c r="DR87" s="179"/>
      <c r="DS87" s="179"/>
      <c r="DT87" s="179"/>
      <c r="DU87" s="179"/>
      <c r="DV87" s="179"/>
      <c r="DW87" s="179"/>
      <c r="DX87" s="179"/>
      <c r="DY87" s="179"/>
      <c r="DZ87" s="179"/>
      <c r="EA87" s="179"/>
      <c r="EB87" s="179"/>
      <c r="EC87" s="179"/>
      <c r="ED87" s="179"/>
      <c r="EE87" s="179"/>
      <c r="EF87" s="179"/>
      <c r="EG87" s="179"/>
      <c r="EH87" s="179"/>
      <c r="EI87" s="179"/>
      <c r="EJ87" s="179"/>
      <c r="EK87" s="179"/>
      <c r="EL87" s="179"/>
      <c r="EM87" s="179"/>
      <c r="EN87" s="179"/>
      <c r="EO87" s="179"/>
      <c r="EP87" s="179"/>
      <c r="EQ87" s="179"/>
      <c r="ER87" s="179"/>
      <c r="ES87" s="179"/>
      <c r="ET87" s="179"/>
      <c r="EU87" s="179"/>
      <c r="EV87" s="179"/>
      <c r="EW87" s="179"/>
      <c r="EX87" s="179"/>
      <c r="EY87" s="179"/>
      <c r="EZ87" s="179"/>
      <c r="FA87" s="179"/>
      <c r="FB87" s="179"/>
      <c r="FC87" s="179"/>
      <c r="FD87" s="179"/>
      <c r="FE87" s="179"/>
      <c r="FF87" s="179"/>
      <c r="FG87" s="179"/>
      <c r="FH87" s="179"/>
      <c r="FI87" s="179"/>
      <c r="FJ87" s="179"/>
      <c r="FK87" s="179"/>
      <c r="FL87" s="179"/>
      <c r="FM87" s="179"/>
      <c r="FN87" s="179"/>
      <c r="FO87" s="179"/>
      <c r="FP87" s="179"/>
      <c r="FQ87" s="179"/>
      <c r="FR87" s="179"/>
      <c r="FS87" s="179"/>
      <c r="FT87" s="179"/>
      <c r="FU87" s="179"/>
      <c r="FV87" s="179"/>
      <c r="FW87" s="179"/>
      <c r="FX87" s="179"/>
      <c r="FY87" s="179"/>
      <c r="FZ87" s="179"/>
      <c r="GA87" s="179"/>
      <c r="GB87" s="179"/>
      <c r="GC87" s="179"/>
      <c r="GD87" s="179"/>
      <c r="GE87" s="179"/>
      <c r="GF87" s="179"/>
      <c r="GG87" s="179"/>
      <c r="GH87" s="179"/>
      <c r="GI87" s="179"/>
      <c r="GJ87" s="179"/>
      <c r="GK87" s="179"/>
      <c r="GL87" s="179"/>
      <c r="GM87" s="179"/>
      <c r="GN87" s="179"/>
      <c r="GO87" s="179"/>
      <c r="GP87" s="179"/>
      <c r="GQ87" s="179"/>
      <c r="GR87" s="179"/>
      <c r="GS87" s="179"/>
      <c r="GT87" s="179"/>
      <c r="GU87" s="179"/>
      <c r="GV87" s="179"/>
      <c r="GW87" s="179"/>
      <c r="GX87" s="179"/>
      <c r="GY87" s="179"/>
      <c r="GZ87" s="179"/>
      <c r="HA87" s="179"/>
      <c r="HB87" s="179"/>
      <c r="HC87" s="179"/>
      <c r="HD87" s="179"/>
      <c r="HE87" s="179"/>
      <c r="HF87" s="179"/>
      <c r="HG87" s="179"/>
      <c r="HH87" s="179"/>
      <c r="HI87" s="179"/>
      <c r="HJ87" s="179"/>
      <c r="HK87" s="179"/>
      <c r="HL87" s="179"/>
      <c r="HM87" s="179"/>
      <c r="HN87" s="179"/>
      <c r="HO87" s="179"/>
      <c r="HP87" s="179"/>
      <c r="HQ87" s="179"/>
      <c r="HR87" s="179"/>
      <c r="HS87" s="179"/>
      <c r="HT87" s="179"/>
      <c r="HU87" s="179"/>
      <c r="HV87" s="179"/>
      <c r="HW87" s="179"/>
      <c r="HX87" s="179"/>
      <c r="HY87" s="179"/>
      <c r="HZ87" s="179"/>
      <c r="IA87" s="179"/>
      <c r="IB87" s="179"/>
      <c r="IC87" s="179"/>
      <c r="ID87" s="179"/>
      <c r="IE87" s="179"/>
      <c r="IF87" s="179"/>
      <c r="IG87" s="179"/>
      <c r="IH87" s="179"/>
      <c r="II87" s="179"/>
      <c r="IJ87" s="179"/>
      <c r="IK87" s="179"/>
      <c r="IL87" s="179"/>
      <c r="IM87" s="179"/>
      <c r="IN87" s="179"/>
      <c r="IO87" s="179"/>
      <c r="IP87" s="179"/>
      <c r="IQ87" s="179"/>
      <c r="IR87" s="179"/>
      <c r="IS87" s="179"/>
      <c r="IT87" s="179"/>
      <c r="IU87" s="179"/>
      <c r="IV87" s="179"/>
    </row>
    <row r="88" spans="1:256" s="40" customFormat="1" ht="12.75">
      <c r="A88" s="245" t="s">
        <v>25</v>
      </c>
      <c r="B88" s="168">
        <v>0</v>
      </c>
      <c r="C88" s="169">
        <v>0</v>
      </c>
      <c r="D88" s="169">
        <v>0</v>
      </c>
      <c r="E88" s="170">
        <v>0</v>
      </c>
      <c r="F88" s="170">
        <v>0</v>
      </c>
      <c r="G88" s="170">
        <v>0</v>
      </c>
      <c r="H88" s="171">
        <v>0</v>
      </c>
      <c r="I88" s="38">
        <f>B88+D88-H88</f>
        <v>0</v>
      </c>
      <c r="J88" s="168">
        <v>2</v>
      </c>
      <c r="K88" s="169">
        <v>2</v>
      </c>
      <c r="L88" s="169">
        <v>0</v>
      </c>
      <c r="M88" s="170">
        <v>2</v>
      </c>
      <c r="N88" s="171">
        <f>J88+L88-M88</f>
        <v>0</v>
      </c>
      <c r="O88" s="168">
        <f>4+39</f>
        <v>43</v>
      </c>
      <c r="P88" s="169">
        <v>43</v>
      </c>
      <c r="Q88" s="170">
        <v>39</v>
      </c>
      <c r="R88" s="38">
        <f>O88-Q88</f>
        <v>4</v>
      </c>
      <c r="S88" s="168">
        <v>0</v>
      </c>
      <c r="T88" s="169">
        <v>0</v>
      </c>
      <c r="U88" s="170">
        <v>0</v>
      </c>
      <c r="V88" s="38">
        <f>S88-U88</f>
        <v>0</v>
      </c>
      <c r="W88" s="240"/>
      <c r="X88" s="179"/>
      <c r="Y88" s="179"/>
      <c r="Z88" s="179"/>
      <c r="AA88" s="179"/>
      <c r="AB88" s="179"/>
      <c r="AC88" s="179"/>
      <c r="AD88" s="179"/>
      <c r="AE88" s="179"/>
      <c r="AF88" s="179"/>
      <c r="AG88" s="179"/>
      <c r="AH88" s="179"/>
      <c r="AI88" s="179"/>
      <c r="AJ88" s="179"/>
      <c r="AK88" s="179"/>
      <c r="AL88" s="179"/>
      <c r="AM88" s="179"/>
      <c r="AN88" s="179"/>
      <c r="AO88" s="179"/>
      <c r="AP88" s="179"/>
      <c r="AQ88" s="179"/>
      <c r="AR88" s="179"/>
      <c r="AS88" s="179"/>
      <c r="AT88" s="179"/>
      <c r="AU88" s="179"/>
      <c r="AV88" s="179"/>
      <c r="AW88" s="179"/>
      <c r="AX88" s="179"/>
      <c r="AY88" s="179"/>
      <c r="AZ88" s="179"/>
      <c r="BA88" s="179"/>
      <c r="BB88" s="179"/>
      <c r="BC88" s="179"/>
      <c r="BD88" s="179"/>
      <c r="BE88" s="179"/>
      <c r="BF88" s="179"/>
      <c r="BG88" s="179"/>
      <c r="BH88" s="179"/>
      <c r="BI88" s="179"/>
      <c r="BJ88" s="179"/>
      <c r="BK88" s="179"/>
      <c r="BL88" s="179"/>
      <c r="BM88" s="179"/>
      <c r="BN88" s="179"/>
      <c r="BO88" s="179"/>
      <c r="BP88" s="179"/>
      <c r="BQ88" s="179"/>
      <c r="BR88" s="179"/>
      <c r="BS88" s="179"/>
      <c r="BT88" s="179"/>
      <c r="BU88" s="179"/>
      <c r="BV88" s="179"/>
      <c r="BW88" s="179"/>
      <c r="BX88" s="179"/>
      <c r="BY88" s="179"/>
      <c r="BZ88" s="179"/>
      <c r="CA88" s="179"/>
      <c r="CB88" s="179"/>
      <c r="CC88" s="179"/>
      <c r="CD88" s="179"/>
      <c r="CE88" s="179"/>
      <c r="CF88" s="179"/>
      <c r="CG88" s="179"/>
      <c r="CH88" s="179"/>
      <c r="CI88" s="179"/>
      <c r="CJ88" s="179"/>
      <c r="CK88" s="179"/>
      <c r="CL88" s="179"/>
      <c r="CM88" s="179"/>
      <c r="CN88" s="179"/>
      <c r="CO88" s="179"/>
      <c r="CP88" s="179"/>
      <c r="CQ88" s="179"/>
      <c r="CR88" s="179"/>
      <c r="CS88" s="179"/>
      <c r="CT88" s="179"/>
      <c r="CU88" s="179"/>
      <c r="CV88" s="179"/>
      <c r="CW88" s="179"/>
      <c r="CX88" s="179"/>
      <c r="CY88" s="179"/>
      <c r="CZ88" s="179"/>
      <c r="DA88" s="179"/>
      <c r="DB88" s="179"/>
      <c r="DC88" s="179"/>
      <c r="DD88" s="179"/>
      <c r="DE88" s="179"/>
      <c r="DF88" s="179"/>
      <c r="DG88" s="179"/>
      <c r="DH88" s="179"/>
      <c r="DI88" s="179"/>
      <c r="DJ88" s="179"/>
      <c r="DK88" s="179"/>
      <c r="DL88" s="179"/>
      <c r="DM88" s="179"/>
      <c r="DN88" s="179"/>
      <c r="DO88" s="179"/>
      <c r="DP88" s="179"/>
      <c r="DQ88" s="179"/>
      <c r="DR88" s="179"/>
      <c r="DS88" s="179"/>
      <c r="DT88" s="179"/>
      <c r="DU88" s="179"/>
      <c r="DV88" s="179"/>
      <c r="DW88" s="179"/>
      <c r="DX88" s="179"/>
      <c r="DY88" s="179"/>
      <c r="DZ88" s="179"/>
      <c r="EA88" s="179"/>
      <c r="EB88" s="179"/>
      <c r="EC88" s="179"/>
      <c r="ED88" s="179"/>
      <c r="EE88" s="179"/>
      <c r="EF88" s="179"/>
      <c r="EG88" s="179"/>
      <c r="EH88" s="179"/>
      <c r="EI88" s="179"/>
      <c r="EJ88" s="179"/>
      <c r="EK88" s="179"/>
      <c r="EL88" s="179"/>
      <c r="EM88" s="179"/>
      <c r="EN88" s="179"/>
      <c r="EO88" s="179"/>
      <c r="EP88" s="179"/>
      <c r="EQ88" s="179"/>
      <c r="ER88" s="179"/>
      <c r="ES88" s="179"/>
      <c r="ET88" s="179"/>
      <c r="EU88" s="179"/>
      <c r="EV88" s="179"/>
      <c r="EW88" s="179"/>
      <c r="EX88" s="179"/>
      <c r="EY88" s="179"/>
      <c r="EZ88" s="179"/>
      <c r="FA88" s="179"/>
      <c r="FB88" s="179"/>
      <c r="FC88" s="179"/>
      <c r="FD88" s="179"/>
      <c r="FE88" s="179"/>
      <c r="FF88" s="179"/>
      <c r="FG88" s="179"/>
      <c r="FH88" s="179"/>
      <c r="FI88" s="179"/>
      <c r="FJ88" s="179"/>
      <c r="FK88" s="179"/>
      <c r="FL88" s="179"/>
      <c r="FM88" s="179"/>
      <c r="FN88" s="179"/>
      <c r="FO88" s="179"/>
      <c r="FP88" s="179"/>
      <c r="FQ88" s="179"/>
      <c r="FR88" s="179"/>
      <c r="FS88" s="179"/>
      <c r="FT88" s="179"/>
      <c r="FU88" s="179"/>
      <c r="FV88" s="179"/>
      <c r="FW88" s="179"/>
      <c r="FX88" s="179"/>
      <c r="FY88" s="179"/>
      <c r="FZ88" s="179"/>
      <c r="GA88" s="179"/>
      <c r="GB88" s="179"/>
      <c r="GC88" s="179"/>
      <c r="GD88" s="179"/>
      <c r="GE88" s="179"/>
      <c r="GF88" s="179"/>
      <c r="GG88" s="179"/>
      <c r="GH88" s="179"/>
      <c r="GI88" s="179"/>
      <c r="GJ88" s="179"/>
      <c r="GK88" s="179"/>
      <c r="GL88" s="179"/>
      <c r="GM88" s="179"/>
      <c r="GN88" s="179"/>
      <c r="GO88" s="179"/>
      <c r="GP88" s="179"/>
      <c r="GQ88" s="179"/>
      <c r="GR88" s="179"/>
      <c r="GS88" s="179"/>
      <c r="GT88" s="179"/>
      <c r="GU88" s="179"/>
      <c r="GV88" s="179"/>
      <c r="GW88" s="179"/>
      <c r="GX88" s="179"/>
      <c r="GY88" s="179"/>
      <c r="GZ88" s="179"/>
      <c r="HA88" s="179"/>
      <c r="HB88" s="179"/>
      <c r="HC88" s="179"/>
      <c r="HD88" s="179"/>
      <c r="HE88" s="179"/>
      <c r="HF88" s="179"/>
      <c r="HG88" s="179"/>
      <c r="HH88" s="179"/>
      <c r="HI88" s="179"/>
      <c r="HJ88" s="179"/>
      <c r="HK88" s="179"/>
      <c r="HL88" s="179"/>
      <c r="HM88" s="179"/>
      <c r="HN88" s="179"/>
      <c r="HO88" s="179"/>
      <c r="HP88" s="179"/>
      <c r="HQ88" s="179"/>
      <c r="HR88" s="179"/>
      <c r="HS88" s="179"/>
      <c r="HT88" s="179"/>
      <c r="HU88" s="179"/>
      <c r="HV88" s="179"/>
      <c r="HW88" s="179"/>
      <c r="HX88" s="179"/>
      <c r="HY88" s="179"/>
      <c r="HZ88" s="179"/>
      <c r="IA88" s="179"/>
      <c r="IB88" s="179"/>
      <c r="IC88" s="179"/>
      <c r="ID88" s="179"/>
      <c r="IE88" s="179"/>
      <c r="IF88" s="179"/>
      <c r="IG88" s="179"/>
      <c r="IH88" s="179"/>
      <c r="II88" s="179"/>
      <c r="IJ88" s="179"/>
      <c r="IK88" s="179"/>
      <c r="IL88" s="179"/>
      <c r="IM88" s="179"/>
      <c r="IN88" s="179"/>
      <c r="IO88" s="179"/>
      <c r="IP88" s="179"/>
      <c r="IQ88" s="179"/>
      <c r="IR88" s="179"/>
      <c r="IS88" s="179"/>
      <c r="IT88" s="179"/>
      <c r="IU88" s="179"/>
      <c r="IV88" s="179"/>
    </row>
    <row r="89" spans="1:256" ht="12.75">
      <c r="A89" s="246" t="s">
        <v>26</v>
      </c>
      <c r="B89" s="168">
        <v>142</v>
      </c>
      <c r="C89" s="169">
        <v>142</v>
      </c>
      <c r="D89" s="169">
        <v>53</v>
      </c>
      <c r="E89" s="170">
        <v>0</v>
      </c>
      <c r="F89" s="170">
        <v>0</v>
      </c>
      <c r="G89" s="170">
        <v>0</v>
      </c>
      <c r="H89" s="171">
        <v>0</v>
      </c>
      <c r="I89" s="38">
        <f>B89+D89-H89</f>
        <v>195</v>
      </c>
      <c r="J89" s="168">
        <v>40</v>
      </c>
      <c r="K89" s="169">
        <v>40</v>
      </c>
      <c r="L89" s="169">
        <v>4</v>
      </c>
      <c r="M89" s="170">
        <v>20</v>
      </c>
      <c r="N89" s="171">
        <f>J89+L89-M89</f>
        <v>24</v>
      </c>
      <c r="O89" s="168">
        <f>3+59</f>
        <v>62</v>
      </c>
      <c r="P89" s="169">
        <v>62</v>
      </c>
      <c r="Q89" s="170">
        <v>60</v>
      </c>
      <c r="R89" s="38">
        <f>O89-Q89</f>
        <v>2</v>
      </c>
      <c r="S89" s="168">
        <v>5</v>
      </c>
      <c r="T89" s="169">
        <v>5</v>
      </c>
      <c r="U89" s="170">
        <v>0</v>
      </c>
      <c r="V89" s="38">
        <f>S89-U89</f>
        <v>5</v>
      </c>
      <c r="W89" s="193"/>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6"/>
      <c r="BR89" s="86"/>
      <c r="BS89" s="86"/>
      <c r="BT89" s="86"/>
      <c r="BU89" s="86"/>
      <c r="BV89" s="86"/>
      <c r="BW89" s="86"/>
      <c r="BX89" s="86"/>
      <c r="BY89" s="86"/>
      <c r="BZ89" s="86"/>
      <c r="CA89" s="86"/>
      <c r="CB89" s="86"/>
      <c r="CC89" s="86"/>
      <c r="CD89" s="86"/>
      <c r="CE89" s="86"/>
      <c r="CF89" s="86"/>
      <c r="CG89" s="86"/>
      <c r="CH89" s="86"/>
      <c r="CI89" s="86"/>
      <c r="CJ89" s="86"/>
      <c r="CK89" s="86"/>
      <c r="CL89" s="86"/>
      <c r="CM89" s="86"/>
      <c r="CN89" s="86"/>
      <c r="CO89" s="86"/>
      <c r="CP89" s="86"/>
      <c r="CQ89" s="86"/>
      <c r="CR89" s="86"/>
      <c r="CS89" s="86"/>
      <c r="CT89" s="86"/>
      <c r="CU89" s="86"/>
      <c r="CV89" s="86"/>
      <c r="CW89" s="86"/>
      <c r="CX89" s="86"/>
      <c r="CY89" s="86"/>
      <c r="CZ89" s="86"/>
      <c r="DA89" s="86"/>
      <c r="DB89" s="86"/>
      <c r="DC89" s="86"/>
      <c r="DD89" s="86"/>
      <c r="DE89" s="86"/>
      <c r="DF89" s="86"/>
      <c r="DG89" s="86"/>
      <c r="DH89" s="86"/>
      <c r="DI89" s="86"/>
      <c r="DJ89" s="86"/>
      <c r="DK89" s="86"/>
      <c r="DL89" s="86"/>
      <c r="DM89" s="86"/>
      <c r="DN89" s="86"/>
      <c r="DO89" s="86"/>
      <c r="DP89" s="86"/>
      <c r="DQ89" s="86"/>
      <c r="DR89" s="86"/>
      <c r="DS89" s="86"/>
      <c r="DT89" s="86"/>
      <c r="DU89" s="86"/>
      <c r="DV89" s="86"/>
      <c r="DW89" s="86"/>
      <c r="DX89" s="86"/>
      <c r="DY89" s="86"/>
      <c r="DZ89" s="86"/>
      <c r="EA89" s="86"/>
      <c r="EB89" s="86"/>
      <c r="EC89" s="86"/>
      <c r="ED89" s="86"/>
      <c r="EE89" s="86"/>
      <c r="EF89" s="86"/>
      <c r="EG89" s="86"/>
      <c r="EH89" s="86"/>
      <c r="EI89" s="86"/>
      <c r="EJ89" s="86"/>
      <c r="EK89" s="86"/>
      <c r="EL89" s="86"/>
      <c r="EM89" s="86"/>
      <c r="EN89" s="86"/>
      <c r="EO89" s="86"/>
      <c r="EP89" s="86"/>
      <c r="EQ89" s="86"/>
      <c r="ER89" s="86"/>
      <c r="ES89" s="86"/>
      <c r="ET89" s="86"/>
      <c r="EU89" s="86"/>
      <c r="EV89" s="86"/>
      <c r="EW89" s="86"/>
      <c r="EX89" s="86"/>
      <c r="EY89" s="86"/>
      <c r="EZ89" s="86"/>
      <c r="FA89" s="86"/>
      <c r="FB89" s="86"/>
      <c r="FC89" s="86"/>
      <c r="FD89" s="86"/>
      <c r="FE89" s="86"/>
      <c r="FF89" s="86"/>
      <c r="FG89" s="86"/>
      <c r="FH89" s="86"/>
      <c r="FI89" s="86"/>
      <c r="FJ89" s="86"/>
      <c r="FK89" s="86"/>
      <c r="FL89" s="86"/>
      <c r="FM89" s="86"/>
      <c r="FN89" s="86"/>
      <c r="FO89" s="86"/>
      <c r="FP89" s="86"/>
      <c r="FQ89" s="86"/>
      <c r="FR89" s="86"/>
      <c r="FS89" s="86"/>
      <c r="FT89" s="86"/>
      <c r="FU89" s="86"/>
      <c r="FV89" s="86"/>
      <c r="FW89" s="86"/>
      <c r="FX89" s="86"/>
      <c r="FY89" s="86"/>
      <c r="FZ89" s="86"/>
      <c r="GA89" s="86"/>
      <c r="GB89" s="86"/>
      <c r="GC89" s="86"/>
      <c r="GD89" s="86"/>
      <c r="GE89" s="86"/>
      <c r="GF89" s="86"/>
      <c r="GG89" s="86"/>
      <c r="GH89" s="86"/>
      <c r="GI89" s="86"/>
      <c r="GJ89" s="86"/>
      <c r="GK89" s="86"/>
      <c r="GL89" s="86"/>
      <c r="GM89" s="86"/>
      <c r="GN89" s="86"/>
      <c r="GO89" s="86"/>
      <c r="GP89" s="86"/>
      <c r="GQ89" s="86"/>
      <c r="GR89" s="86"/>
      <c r="GS89" s="86"/>
      <c r="GT89" s="86"/>
      <c r="GU89" s="86"/>
      <c r="GV89" s="86"/>
      <c r="GW89" s="86"/>
      <c r="GX89" s="86"/>
      <c r="GY89" s="86"/>
      <c r="GZ89" s="86"/>
      <c r="HA89" s="86"/>
      <c r="HB89" s="86"/>
      <c r="HC89" s="86"/>
      <c r="HD89" s="86"/>
      <c r="HE89" s="86"/>
      <c r="HF89" s="86"/>
      <c r="HG89" s="86"/>
      <c r="HH89" s="86"/>
      <c r="HI89" s="86"/>
      <c r="HJ89" s="86"/>
      <c r="HK89" s="86"/>
      <c r="HL89" s="86"/>
      <c r="HM89" s="86"/>
      <c r="HN89" s="86"/>
      <c r="HO89" s="86"/>
      <c r="HP89" s="86"/>
      <c r="HQ89" s="86"/>
      <c r="HR89" s="86"/>
      <c r="HS89" s="86"/>
      <c r="HT89" s="86"/>
      <c r="HU89" s="86"/>
      <c r="HV89" s="86"/>
      <c r="HW89" s="86"/>
      <c r="HX89" s="86"/>
      <c r="HY89" s="86"/>
      <c r="HZ89" s="86"/>
      <c r="IA89" s="86"/>
      <c r="IB89" s="86"/>
      <c r="IC89" s="86"/>
      <c r="ID89" s="86"/>
      <c r="IE89" s="86"/>
      <c r="IF89" s="86"/>
      <c r="IG89" s="86"/>
      <c r="IH89" s="86"/>
      <c r="II89" s="86"/>
      <c r="IJ89" s="86"/>
      <c r="IK89" s="86"/>
      <c r="IL89" s="86"/>
      <c r="IM89" s="86"/>
      <c r="IN89" s="86"/>
      <c r="IO89" s="86"/>
      <c r="IP89" s="86"/>
      <c r="IQ89" s="86"/>
      <c r="IR89" s="86"/>
      <c r="IS89" s="86"/>
      <c r="IT89" s="86"/>
      <c r="IU89" s="86"/>
      <c r="IV89" s="86"/>
    </row>
    <row r="90" spans="1:256" s="40" customFormat="1" ht="13.5" thickBot="1">
      <c r="A90" s="247" t="s">
        <v>36</v>
      </c>
      <c r="B90" s="205">
        <v>135</v>
      </c>
      <c r="C90" s="207">
        <v>135</v>
      </c>
      <c r="D90" s="207">
        <v>49</v>
      </c>
      <c r="E90" s="207">
        <v>0</v>
      </c>
      <c r="F90" s="207">
        <v>0</v>
      </c>
      <c r="G90" s="207">
        <v>0</v>
      </c>
      <c r="H90" s="207">
        <v>0</v>
      </c>
      <c r="I90" s="208">
        <f>B90+D90-H90</f>
        <v>184</v>
      </c>
      <c r="J90" s="205">
        <v>1</v>
      </c>
      <c r="K90" s="207">
        <v>1</v>
      </c>
      <c r="L90" s="207">
        <v>0</v>
      </c>
      <c r="M90" s="207">
        <v>0</v>
      </c>
      <c r="N90" s="208">
        <f>J90+L90-M90</f>
        <v>1</v>
      </c>
      <c r="O90" s="205">
        <f>21+32</f>
        <v>53</v>
      </c>
      <c r="P90" s="207">
        <v>37</v>
      </c>
      <c r="Q90" s="207">
        <v>48</v>
      </c>
      <c r="R90" s="208">
        <f>O90-Q90</f>
        <v>5</v>
      </c>
      <c r="S90" s="205">
        <v>0</v>
      </c>
      <c r="T90" s="207">
        <v>0</v>
      </c>
      <c r="U90" s="207">
        <v>0</v>
      </c>
      <c r="V90" s="63">
        <f>S90-U90</f>
        <v>0</v>
      </c>
      <c r="W90" s="240"/>
      <c r="X90" s="179"/>
      <c r="Y90" s="179"/>
      <c r="Z90" s="179"/>
      <c r="AA90" s="179"/>
      <c r="AB90" s="179"/>
      <c r="AC90" s="179"/>
      <c r="AD90" s="179"/>
      <c r="AE90" s="179"/>
      <c r="AF90" s="179"/>
      <c r="AG90" s="179"/>
      <c r="AH90" s="179"/>
      <c r="AI90" s="179"/>
      <c r="AJ90" s="179"/>
      <c r="AK90" s="179"/>
      <c r="AL90" s="179"/>
      <c r="AM90" s="179"/>
      <c r="AN90" s="179"/>
      <c r="AO90" s="179"/>
      <c r="AP90" s="179"/>
      <c r="AQ90" s="179"/>
      <c r="AR90" s="179"/>
      <c r="AS90" s="179"/>
      <c r="AT90" s="179"/>
      <c r="AU90" s="179"/>
      <c r="AV90" s="179"/>
      <c r="AW90" s="179"/>
      <c r="AX90" s="179"/>
      <c r="AY90" s="179"/>
      <c r="AZ90" s="179"/>
      <c r="BA90" s="179"/>
      <c r="BB90" s="179"/>
      <c r="BC90" s="179"/>
      <c r="BD90" s="179"/>
      <c r="BE90" s="179"/>
      <c r="BF90" s="179"/>
      <c r="BG90" s="179"/>
      <c r="BH90" s="179"/>
      <c r="BI90" s="179"/>
      <c r="BJ90" s="179"/>
      <c r="BK90" s="179"/>
      <c r="BL90" s="179"/>
      <c r="BM90" s="179"/>
      <c r="BN90" s="179"/>
      <c r="BO90" s="179"/>
      <c r="BP90" s="179"/>
      <c r="BQ90" s="179"/>
      <c r="BR90" s="179"/>
      <c r="BS90" s="179"/>
      <c r="BT90" s="179"/>
      <c r="BU90" s="179"/>
      <c r="BV90" s="179"/>
      <c r="BW90" s="179"/>
      <c r="BX90" s="179"/>
      <c r="BY90" s="179"/>
      <c r="BZ90" s="179"/>
      <c r="CA90" s="179"/>
      <c r="CB90" s="179"/>
      <c r="CC90" s="179"/>
      <c r="CD90" s="179"/>
      <c r="CE90" s="179"/>
      <c r="CF90" s="179"/>
      <c r="CG90" s="179"/>
      <c r="CH90" s="179"/>
      <c r="CI90" s="179"/>
      <c r="CJ90" s="179"/>
      <c r="CK90" s="179"/>
      <c r="CL90" s="179"/>
      <c r="CM90" s="179"/>
      <c r="CN90" s="179"/>
      <c r="CO90" s="179"/>
      <c r="CP90" s="179"/>
      <c r="CQ90" s="179"/>
      <c r="CR90" s="179"/>
      <c r="CS90" s="179"/>
      <c r="CT90" s="179"/>
      <c r="CU90" s="179"/>
      <c r="CV90" s="179"/>
      <c r="CW90" s="179"/>
      <c r="CX90" s="179"/>
      <c r="CY90" s="179"/>
      <c r="CZ90" s="179"/>
      <c r="DA90" s="179"/>
      <c r="DB90" s="179"/>
      <c r="DC90" s="179"/>
      <c r="DD90" s="179"/>
      <c r="DE90" s="179"/>
      <c r="DF90" s="179"/>
      <c r="DG90" s="179"/>
      <c r="DH90" s="179"/>
      <c r="DI90" s="179"/>
      <c r="DJ90" s="179"/>
      <c r="DK90" s="179"/>
      <c r="DL90" s="179"/>
      <c r="DM90" s="179"/>
      <c r="DN90" s="179"/>
      <c r="DO90" s="179"/>
      <c r="DP90" s="179"/>
      <c r="DQ90" s="179"/>
      <c r="DR90" s="179"/>
      <c r="DS90" s="179"/>
      <c r="DT90" s="179"/>
      <c r="DU90" s="179"/>
      <c r="DV90" s="179"/>
      <c r="DW90" s="179"/>
      <c r="DX90" s="179"/>
      <c r="DY90" s="179"/>
      <c r="DZ90" s="179"/>
      <c r="EA90" s="179"/>
      <c r="EB90" s="179"/>
      <c r="EC90" s="179"/>
      <c r="ED90" s="179"/>
      <c r="EE90" s="179"/>
      <c r="EF90" s="179"/>
      <c r="EG90" s="179"/>
      <c r="EH90" s="179"/>
      <c r="EI90" s="179"/>
      <c r="EJ90" s="179"/>
      <c r="EK90" s="179"/>
      <c r="EL90" s="179"/>
      <c r="EM90" s="179"/>
      <c r="EN90" s="179"/>
      <c r="EO90" s="179"/>
      <c r="EP90" s="179"/>
      <c r="EQ90" s="179"/>
      <c r="ER90" s="179"/>
      <c r="ES90" s="179"/>
      <c r="ET90" s="179"/>
      <c r="EU90" s="179"/>
      <c r="EV90" s="179"/>
      <c r="EW90" s="179"/>
      <c r="EX90" s="179"/>
      <c r="EY90" s="179"/>
      <c r="EZ90" s="179"/>
      <c r="FA90" s="179"/>
      <c r="FB90" s="179"/>
      <c r="FC90" s="179"/>
      <c r="FD90" s="179"/>
      <c r="FE90" s="179"/>
      <c r="FF90" s="179"/>
      <c r="FG90" s="179"/>
      <c r="FH90" s="179"/>
      <c r="FI90" s="179"/>
      <c r="FJ90" s="179"/>
      <c r="FK90" s="179"/>
      <c r="FL90" s="179"/>
      <c r="FM90" s="179"/>
      <c r="FN90" s="179"/>
      <c r="FO90" s="179"/>
      <c r="FP90" s="179"/>
      <c r="FQ90" s="179"/>
      <c r="FR90" s="179"/>
      <c r="FS90" s="179"/>
      <c r="FT90" s="179"/>
      <c r="FU90" s="179"/>
      <c r="FV90" s="179"/>
      <c r="FW90" s="179"/>
      <c r="FX90" s="179"/>
      <c r="FY90" s="179"/>
      <c r="FZ90" s="179"/>
      <c r="GA90" s="179"/>
      <c r="GB90" s="179"/>
      <c r="GC90" s="179"/>
      <c r="GD90" s="179"/>
      <c r="GE90" s="179"/>
      <c r="GF90" s="179"/>
      <c r="GG90" s="179"/>
      <c r="GH90" s="179"/>
      <c r="GI90" s="179"/>
      <c r="GJ90" s="179"/>
      <c r="GK90" s="179"/>
      <c r="GL90" s="179"/>
      <c r="GM90" s="179"/>
      <c r="GN90" s="179"/>
      <c r="GO90" s="179"/>
      <c r="GP90" s="179"/>
      <c r="GQ90" s="179"/>
      <c r="GR90" s="179"/>
      <c r="GS90" s="179"/>
      <c r="GT90" s="179"/>
      <c r="GU90" s="179"/>
      <c r="GV90" s="179"/>
      <c r="GW90" s="179"/>
      <c r="GX90" s="179"/>
      <c r="GY90" s="179"/>
      <c r="GZ90" s="179"/>
      <c r="HA90" s="179"/>
      <c r="HB90" s="179"/>
      <c r="HC90" s="179"/>
      <c r="HD90" s="179"/>
      <c r="HE90" s="179"/>
      <c r="HF90" s="179"/>
      <c r="HG90" s="179"/>
      <c r="HH90" s="179"/>
      <c r="HI90" s="179"/>
      <c r="HJ90" s="179"/>
      <c r="HK90" s="179"/>
      <c r="HL90" s="179"/>
      <c r="HM90" s="179"/>
      <c r="HN90" s="179"/>
      <c r="HO90" s="179"/>
      <c r="HP90" s="179"/>
      <c r="HQ90" s="179"/>
      <c r="HR90" s="179"/>
      <c r="HS90" s="179"/>
      <c r="HT90" s="179"/>
      <c r="HU90" s="179"/>
      <c r="HV90" s="179"/>
      <c r="HW90" s="179"/>
      <c r="HX90" s="179"/>
      <c r="HY90" s="179"/>
      <c r="HZ90" s="179"/>
      <c r="IA90" s="179"/>
      <c r="IB90" s="179"/>
      <c r="IC90" s="179"/>
      <c r="ID90" s="179"/>
      <c r="IE90" s="179"/>
      <c r="IF90" s="179"/>
      <c r="IG90" s="179"/>
      <c r="IH90" s="179"/>
      <c r="II90" s="179"/>
      <c r="IJ90" s="179"/>
      <c r="IK90" s="179"/>
      <c r="IL90" s="179"/>
      <c r="IM90" s="179"/>
      <c r="IN90" s="179"/>
      <c r="IO90" s="179"/>
      <c r="IP90" s="179"/>
      <c r="IQ90" s="179"/>
      <c r="IR90" s="179"/>
      <c r="IS90" s="179"/>
      <c r="IT90" s="179"/>
      <c r="IU90" s="179"/>
      <c r="IV90" s="179"/>
    </row>
    <row r="91" spans="1:256" s="250" customFormat="1" ht="18.75" thickBot="1">
      <c r="A91" s="423" t="s">
        <v>147</v>
      </c>
      <c r="B91" s="423"/>
      <c r="C91" s="423"/>
      <c r="D91" s="423"/>
      <c r="E91" s="423"/>
      <c r="F91" s="423"/>
      <c r="G91" s="423"/>
      <c r="H91" s="423"/>
      <c r="I91" s="423"/>
      <c r="J91" s="423"/>
      <c r="K91" s="423"/>
      <c r="L91" s="423"/>
      <c r="M91" s="423"/>
      <c r="N91" s="423"/>
      <c r="O91" s="423"/>
      <c r="P91" s="423"/>
      <c r="Q91" s="423"/>
      <c r="R91" s="423"/>
      <c r="S91" s="423"/>
      <c r="T91" s="423"/>
      <c r="U91" s="423"/>
      <c r="V91" s="423"/>
      <c r="W91" s="249"/>
      <c r="HJ91" s="251"/>
      <c r="HK91" s="251"/>
      <c r="HL91" s="251"/>
      <c r="HM91" s="251"/>
      <c r="HN91" s="251"/>
      <c r="HO91" s="251"/>
      <c r="HP91" s="251"/>
      <c r="HQ91" s="251"/>
      <c r="HR91" s="251"/>
      <c r="HS91" s="251"/>
      <c r="HT91" s="251"/>
      <c r="HU91" s="251"/>
      <c r="HV91" s="251"/>
      <c r="HW91" s="251"/>
      <c r="HX91" s="251"/>
      <c r="HY91" s="251"/>
      <c r="HZ91" s="251"/>
      <c r="IA91" s="251"/>
      <c r="IB91" s="251"/>
      <c r="IC91" s="251"/>
      <c r="ID91" s="251"/>
      <c r="IE91" s="251"/>
      <c r="IF91" s="251"/>
      <c r="IG91" s="251"/>
      <c r="IH91" s="251"/>
      <c r="II91" s="251"/>
      <c r="IJ91" s="251"/>
      <c r="IK91" s="251"/>
      <c r="IL91" s="251"/>
      <c r="IM91" s="251"/>
      <c r="IN91" s="251"/>
      <c r="IO91" s="251"/>
      <c r="IP91" s="251"/>
      <c r="IQ91" s="251"/>
      <c r="IR91" s="251"/>
      <c r="IS91" s="251"/>
      <c r="IT91" s="251"/>
      <c r="IU91" s="251"/>
      <c r="IV91" s="251"/>
    </row>
    <row r="92" spans="1:22" ht="12.75">
      <c r="A92" s="3"/>
      <c r="B92" s="4" t="s">
        <v>12</v>
      </c>
      <c r="C92" s="5"/>
      <c r="D92" s="5"/>
      <c r="E92" s="5"/>
      <c r="F92" s="5"/>
      <c r="G92" s="5"/>
      <c r="H92" s="5"/>
      <c r="I92" s="6"/>
      <c r="J92" s="4" t="s">
        <v>13</v>
      </c>
      <c r="K92" s="5"/>
      <c r="L92" s="7"/>
      <c r="M92" s="5"/>
      <c r="N92" s="6"/>
      <c r="O92" s="504" t="s">
        <v>14</v>
      </c>
      <c r="P92" s="505"/>
      <c r="Q92" s="505"/>
      <c r="R92" s="506"/>
      <c r="S92" s="504" t="s">
        <v>15</v>
      </c>
      <c r="T92" s="507"/>
      <c r="U92" s="507"/>
      <c r="V92" s="508"/>
    </row>
    <row r="93" spans="1:23" s="13" customFormat="1" ht="14.25" customHeight="1">
      <c r="A93" s="9" t="s">
        <v>3</v>
      </c>
      <c r="B93" s="487" t="s">
        <v>149</v>
      </c>
      <c r="C93" s="499" t="s">
        <v>150</v>
      </c>
      <c r="D93" s="484" t="s">
        <v>81</v>
      </c>
      <c r="E93" s="10" t="s">
        <v>16</v>
      </c>
      <c r="F93" s="10"/>
      <c r="G93" s="10"/>
      <c r="H93" s="11"/>
      <c r="I93" s="490" t="s">
        <v>151</v>
      </c>
      <c r="J93" s="487" t="s">
        <v>149</v>
      </c>
      <c r="K93" s="499" t="s">
        <v>150</v>
      </c>
      <c r="L93" s="484" t="s">
        <v>83</v>
      </c>
      <c r="M93" s="496" t="s">
        <v>84</v>
      </c>
      <c r="N93" s="490" t="s">
        <v>151</v>
      </c>
      <c r="O93" s="487" t="s">
        <v>152</v>
      </c>
      <c r="P93" s="493" t="s">
        <v>153</v>
      </c>
      <c r="Q93" s="496" t="s">
        <v>84</v>
      </c>
      <c r="R93" s="490" t="s">
        <v>151</v>
      </c>
      <c r="S93" s="487" t="s">
        <v>152</v>
      </c>
      <c r="T93" s="493" t="s">
        <v>153</v>
      </c>
      <c r="U93" s="496" t="s">
        <v>84</v>
      </c>
      <c r="V93" s="490" t="s">
        <v>151</v>
      </c>
      <c r="W93" s="12" t="s">
        <v>19</v>
      </c>
    </row>
    <row r="94" spans="1:22" ht="12.75" customHeight="1">
      <c r="A94" s="14"/>
      <c r="B94" s="488"/>
      <c r="C94" s="500" t="s">
        <v>33</v>
      </c>
      <c r="D94" s="485"/>
      <c r="E94" s="502" t="s">
        <v>90</v>
      </c>
      <c r="F94" s="502" t="s">
        <v>62</v>
      </c>
      <c r="G94" s="502" t="s">
        <v>63</v>
      </c>
      <c r="H94" s="496" t="s">
        <v>82</v>
      </c>
      <c r="I94" s="491"/>
      <c r="J94" s="488"/>
      <c r="K94" s="500" t="s">
        <v>33</v>
      </c>
      <c r="L94" s="485"/>
      <c r="M94" s="497"/>
      <c r="N94" s="491"/>
      <c r="O94" s="488"/>
      <c r="P94" s="494"/>
      <c r="Q94" s="497"/>
      <c r="R94" s="491"/>
      <c r="S94" s="488"/>
      <c r="T94" s="494"/>
      <c r="U94" s="497"/>
      <c r="V94" s="491"/>
    </row>
    <row r="95" spans="1:22" ht="53.25" customHeight="1" thickBot="1">
      <c r="A95" s="15" t="s">
        <v>19</v>
      </c>
      <c r="B95" s="489"/>
      <c r="C95" s="501" t="s">
        <v>61</v>
      </c>
      <c r="D95" s="486"/>
      <c r="E95" s="503"/>
      <c r="F95" s="503"/>
      <c r="G95" s="503"/>
      <c r="H95" s="498"/>
      <c r="I95" s="492"/>
      <c r="J95" s="489"/>
      <c r="K95" s="501" t="s">
        <v>61</v>
      </c>
      <c r="L95" s="486"/>
      <c r="M95" s="498"/>
      <c r="N95" s="492"/>
      <c r="O95" s="489"/>
      <c r="P95" s="495"/>
      <c r="Q95" s="498"/>
      <c r="R95" s="492"/>
      <c r="S95" s="489"/>
      <c r="T95" s="495"/>
      <c r="U95" s="498"/>
      <c r="V95" s="492"/>
    </row>
    <row r="96" spans="1:256" ht="13.5" thickBot="1">
      <c r="A96" s="166" t="s">
        <v>27</v>
      </c>
      <c r="B96" s="252">
        <f aca="true" t="shared" si="28" ref="B96:V96">SUM(B97:B97)</f>
        <v>492</v>
      </c>
      <c r="C96" s="253">
        <f t="shared" si="28"/>
        <v>492</v>
      </c>
      <c r="D96" s="253">
        <f t="shared" si="28"/>
        <v>837</v>
      </c>
      <c r="E96" s="253">
        <f t="shared" si="28"/>
        <v>0</v>
      </c>
      <c r="F96" s="253">
        <f t="shared" si="28"/>
        <v>0</v>
      </c>
      <c r="G96" s="253">
        <f t="shared" si="28"/>
        <v>227</v>
      </c>
      <c r="H96" s="254">
        <f t="shared" si="28"/>
        <v>542</v>
      </c>
      <c r="I96" s="255">
        <f t="shared" si="28"/>
        <v>787</v>
      </c>
      <c r="J96" s="252">
        <f t="shared" si="28"/>
        <v>193</v>
      </c>
      <c r="K96" s="253">
        <f t="shared" si="28"/>
        <v>193</v>
      </c>
      <c r="L96" s="253">
        <f t="shared" si="28"/>
        <v>11</v>
      </c>
      <c r="M96" s="253">
        <f t="shared" si="28"/>
        <v>150</v>
      </c>
      <c r="N96" s="255">
        <f t="shared" si="28"/>
        <v>54</v>
      </c>
      <c r="O96" s="252">
        <f t="shared" si="28"/>
        <v>255</v>
      </c>
      <c r="P96" s="253">
        <f t="shared" si="28"/>
        <v>238</v>
      </c>
      <c r="Q96" s="253">
        <f t="shared" si="28"/>
        <v>162</v>
      </c>
      <c r="R96" s="255">
        <f t="shared" si="28"/>
        <v>93</v>
      </c>
      <c r="S96" s="252">
        <f t="shared" si="28"/>
        <v>46</v>
      </c>
      <c r="T96" s="253">
        <f t="shared" si="28"/>
        <v>46</v>
      </c>
      <c r="U96" s="253">
        <f t="shared" si="28"/>
        <v>46</v>
      </c>
      <c r="V96" s="255">
        <f t="shared" si="28"/>
        <v>0</v>
      </c>
      <c r="W96" s="16"/>
      <c r="HJ96" s="86"/>
      <c r="HK96" s="86"/>
      <c r="HL96" s="86"/>
      <c r="HM96" s="86"/>
      <c r="HN96" s="86"/>
      <c r="HO96" s="86"/>
      <c r="HP96" s="86"/>
      <c r="HQ96" s="86"/>
      <c r="HR96" s="86"/>
      <c r="HS96" s="86"/>
      <c r="HT96" s="86"/>
      <c r="HU96" s="86"/>
      <c r="HV96" s="86"/>
      <c r="HW96" s="86"/>
      <c r="HX96" s="86"/>
      <c r="HY96" s="86"/>
      <c r="HZ96" s="86"/>
      <c r="IA96" s="86"/>
      <c r="IB96" s="86"/>
      <c r="IC96" s="86"/>
      <c r="ID96" s="86"/>
      <c r="IE96" s="86"/>
      <c r="IF96" s="86"/>
      <c r="IG96" s="86"/>
      <c r="IH96" s="86"/>
      <c r="II96" s="86"/>
      <c r="IJ96" s="86"/>
      <c r="IK96" s="86"/>
      <c r="IL96" s="86"/>
      <c r="IM96" s="86"/>
      <c r="IN96" s="86"/>
      <c r="IO96" s="86"/>
      <c r="IP96" s="86"/>
      <c r="IQ96" s="86"/>
      <c r="IR96" s="86"/>
      <c r="IS96" s="86"/>
      <c r="IT96" s="86"/>
      <c r="IU96" s="86"/>
      <c r="IV96" s="86"/>
    </row>
    <row r="97" spans="1:256" s="40" customFormat="1" ht="24.75" customHeight="1" thickBot="1">
      <c r="A97" s="244" t="s">
        <v>132</v>
      </c>
      <c r="B97" s="256">
        <v>492</v>
      </c>
      <c r="C97" s="257">
        <v>492</v>
      </c>
      <c r="D97" s="2">
        <v>837</v>
      </c>
      <c r="E97" s="1">
        <v>0</v>
      </c>
      <c r="F97" s="2">
        <v>0</v>
      </c>
      <c r="G97" s="256">
        <v>227</v>
      </c>
      <c r="H97" s="258">
        <v>542</v>
      </c>
      <c r="I97" s="259">
        <f>B97+D97-H97</f>
        <v>787</v>
      </c>
      <c r="J97" s="260">
        <v>193</v>
      </c>
      <c r="K97" s="257">
        <v>193</v>
      </c>
      <c r="L97" s="2">
        <v>11</v>
      </c>
      <c r="M97" s="256">
        <v>150</v>
      </c>
      <c r="N97" s="59">
        <f>J97+L97-M97</f>
        <v>54</v>
      </c>
      <c r="O97" s="261">
        <f>75+180</f>
        <v>255</v>
      </c>
      <c r="P97" s="257">
        <f>75+163</f>
        <v>238</v>
      </c>
      <c r="Q97" s="256">
        <v>162</v>
      </c>
      <c r="R97" s="59">
        <f>O97-Q97</f>
        <v>93</v>
      </c>
      <c r="S97" s="261">
        <f>46</f>
        <v>46</v>
      </c>
      <c r="T97" s="256">
        <v>46</v>
      </c>
      <c r="U97" s="256">
        <v>46</v>
      </c>
      <c r="V97" s="59">
        <f>S97-U97</f>
        <v>0</v>
      </c>
      <c r="HJ97" s="179"/>
      <c r="HK97" s="179"/>
      <c r="HL97" s="179"/>
      <c r="HM97" s="179"/>
      <c r="HN97" s="179"/>
      <c r="HO97" s="179"/>
      <c r="HP97" s="179"/>
      <c r="HQ97" s="179"/>
      <c r="HR97" s="179"/>
      <c r="HS97" s="179"/>
      <c r="HT97" s="179"/>
      <c r="HU97" s="179"/>
      <c r="HV97" s="179"/>
      <c r="HW97" s="179"/>
      <c r="HX97" s="179"/>
      <c r="HY97" s="179"/>
      <c r="HZ97" s="179"/>
      <c r="IA97" s="179"/>
      <c r="IB97" s="179"/>
      <c r="IC97" s="179"/>
      <c r="ID97" s="179"/>
      <c r="IE97" s="179"/>
      <c r="IF97" s="179"/>
      <c r="IG97" s="179"/>
      <c r="IH97" s="179"/>
      <c r="II97" s="179"/>
      <c r="IJ97" s="179"/>
      <c r="IK97" s="179"/>
      <c r="IL97" s="179"/>
      <c r="IM97" s="179"/>
      <c r="IN97" s="179"/>
      <c r="IO97" s="179"/>
      <c r="IP97" s="179"/>
      <c r="IQ97" s="179"/>
      <c r="IR97" s="179"/>
      <c r="IS97" s="179"/>
      <c r="IT97" s="179"/>
      <c r="IU97" s="179"/>
      <c r="IV97" s="179"/>
    </row>
    <row r="98" spans="1:256" s="235" customFormat="1" ht="13.5" thickBot="1">
      <c r="A98" s="166" t="s">
        <v>28</v>
      </c>
      <c r="B98" s="167">
        <f>SUM(B99:B100)</f>
        <v>93</v>
      </c>
      <c r="C98" s="165">
        <f aca="true" t="shared" si="29" ref="C98:V98">SUM(C99:C100)</f>
        <v>93</v>
      </c>
      <c r="D98" s="165">
        <f t="shared" si="29"/>
        <v>0</v>
      </c>
      <c r="E98" s="165">
        <f t="shared" si="29"/>
        <v>0</v>
      </c>
      <c r="F98" s="165">
        <f t="shared" si="29"/>
        <v>0</v>
      </c>
      <c r="G98" s="165">
        <f t="shared" si="29"/>
        <v>0</v>
      </c>
      <c r="H98" s="165">
        <f t="shared" si="29"/>
        <v>0</v>
      </c>
      <c r="I98" s="29">
        <f t="shared" si="29"/>
        <v>93</v>
      </c>
      <c r="J98" s="167">
        <f t="shared" si="29"/>
        <v>400</v>
      </c>
      <c r="K98" s="165">
        <f t="shared" si="29"/>
        <v>400</v>
      </c>
      <c r="L98" s="165">
        <f t="shared" si="29"/>
        <v>66</v>
      </c>
      <c r="M98" s="165">
        <f t="shared" si="29"/>
        <v>0</v>
      </c>
      <c r="N98" s="29">
        <f t="shared" si="29"/>
        <v>466</v>
      </c>
      <c r="O98" s="167">
        <f t="shared" si="29"/>
        <v>90</v>
      </c>
      <c r="P98" s="165">
        <f t="shared" si="29"/>
        <v>90</v>
      </c>
      <c r="Q98" s="165">
        <f t="shared" si="29"/>
        <v>61</v>
      </c>
      <c r="R98" s="29">
        <f t="shared" si="29"/>
        <v>29</v>
      </c>
      <c r="S98" s="167">
        <f t="shared" si="29"/>
        <v>0</v>
      </c>
      <c r="T98" s="165">
        <f t="shared" si="29"/>
        <v>0</v>
      </c>
      <c r="U98" s="165">
        <f t="shared" si="29"/>
        <v>0</v>
      </c>
      <c r="V98" s="29">
        <f t="shared" si="29"/>
        <v>0</v>
      </c>
      <c r="W98" s="193"/>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6"/>
      <c r="BR98" s="86"/>
      <c r="BS98" s="86"/>
      <c r="BT98" s="86"/>
      <c r="BU98" s="86"/>
      <c r="BV98" s="86"/>
      <c r="BW98" s="86"/>
      <c r="BX98" s="86"/>
      <c r="BY98" s="86"/>
      <c r="BZ98" s="86"/>
      <c r="CA98" s="86"/>
      <c r="CB98" s="86"/>
      <c r="CC98" s="86"/>
      <c r="CD98" s="86"/>
      <c r="CE98" s="86"/>
      <c r="CF98" s="86"/>
      <c r="CG98" s="86"/>
      <c r="CH98" s="86"/>
      <c r="CI98" s="86"/>
      <c r="CJ98" s="86"/>
      <c r="CK98" s="86"/>
      <c r="CL98" s="86"/>
      <c r="CM98" s="86"/>
      <c r="CN98" s="86"/>
      <c r="CO98" s="86"/>
      <c r="CP98" s="86"/>
      <c r="CQ98" s="86"/>
      <c r="CR98" s="86"/>
      <c r="CS98" s="86"/>
      <c r="CT98" s="86"/>
      <c r="CU98" s="86"/>
      <c r="CV98" s="86"/>
      <c r="CW98" s="86"/>
      <c r="CX98" s="86"/>
      <c r="CY98" s="86"/>
      <c r="CZ98" s="86"/>
      <c r="DA98" s="86"/>
      <c r="DB98" s="86"/>
      <c r="DC98" s="86"/>
      <c r="DD98" s="86"/>
      <c r="DE98" s="86"/>
      <c r="DF98" s="86"/>
      <c r="DG98" s="86"/>
      <c r="DH98" s="86"/>
      <c r="DI98" s="86"/>
      <c r="DJ98" s="86"/>
      <c r="DK98" s="86"/>
      <c r="DL98" s="86"/>
      <c r="DM98" s="86"/>
      <c r="DN98" s="86"/>
      <c r="DO98" s="86"/>
      <c r="DP98" s="86"/>
      <c r="DQ98" s="86"/>
      <c r="DR98" s="86"/>
      <c r="DS98" s="86"/>
      <c r="DT98" s="86"/>
      <c r="DU98" s="86"/>
      <c r="DV98" s="86"/>
      <c r="DW98" s="86"/>
      <c r="DX98" s="86"/>
      <c r="DY98" s="86"/>
      <c r="DZ98" s="86"/>
      <c r="EA98" s="86"/>
      <c r="EB98" s="86"/>
      <c r="EC98" s="86"/>
      <c r="ED98" s="86"/>
      <c r="EE98" s="86"/>
      <c r="EF98" s="86"/>
      <c r="EG98" s="86"/>
      <c r="EH98" s="86"/>
      <c r="EI98" s="86"/>
      <c r="EJ98" s="86"/>
      <c r="EK98" s="86"/>
      <c r="EL98" s="86"/>
      <c r="EM98" s="86"/>
      <c r="EN98" s="86"/>
      <c r="EO98" s="86"/>
      <c r="EP98" s="86"/>
      <c r="EQ98" s="86"/>
      <c r="ER98" s="86"/>
      <c r="ES98" s="86"/>
      <c r="ET98" s="86"/>
      <c r="EU98" s="86"/>
      <c r="EV98" s="86"/>
      <c r="EW98" s="86"/>
      <c r="EX98" s="86"/>
      <c r="EY98" s="86"/>
      <c r="EZ98" s="86"/>
      <c r="FA98" s="86"/>
      <c r="FB98" s="86"/>
      <c r="FC98" s="86"/>
      <c r="FD98" s="86"/>
      <c r="FE98" s="86"/>
      <c r="FF98" s="86"/>
      <c r="FG98" s="86"/>
      <c r="FH98" s="86"/>
      <c r="FI98" s="86"/>
      <c r="FJ98" s="86"/>
      <c r="FK98" s="86"/>
      <c r="FL98" s="86"/>
      <c r="FM98" s="86"/>
      <c r="FN98" s="86"/>
      <c r="FO98" s="86"/>
      <c r="FP98" s="86"/>
      <c r="FQ98" s="86"/>
      <c r="FR98" s="86"/>
      <c r="FS98" s="86"/>
      <c r="FT98" s="86"/>
      <c r="FU98" s="86"/>
      <c r="FV98" s="86"/>
      <c r="FW98" s="86"/>
      <c r="FX98" s="86"/>
      <c r="FY98" s="86"/>
      <c r="FZ98" s="86"/>
      <c r="GA98" s="86"/>
      <c r="GB98" s="86"/>
      <c r="GC98" s="86"/>
      <c r="GD98" s="86"/>
      <c r="GE98" s="86"/>
      <c r="GF98" s="86"/>
      <c r="GG98" s="86"/>
      <c r="GH98" s="86"/>
      <c r="GI98" s="86"/>
      <c r="GJ98" s="86"/>
      <c r="GK98" s="86"/>
      <c r="GL98" s="86"/>
      <c r="GM98" s="86"/>
      <c r="GN98" s="86"/>
      <c r="GO98" s="86"/>
      <c r="GP98" s="86"/>
      <c r="GQ98" s="86"/>
      <c r="GR98" s="86"/>
      <c r="GS98" s="86"/>
      <c r="GT98" s="86"/>
      <c r="GU98" s="86"/>
      <c r="GV98" s="86"/>
      <c r="GW98" s="86"/>
      <c r="GX98" s="86"/>
      <c r="GY98" s="86"/>
      <c r="GZ98" s="86"/>
      <c r="HA98" s="86"/>
      <c r="HB98" s="86"/>
      <c r="HC98" s="86"/>
      <c r="HD98" s="86"/>
      <c r="HE98" s="86"/>
      <c r="HF98" s="86"/>
      <c r="HG98" s="86"/>
      <c r="HH98" s="86"/>
      <c r="HI98" s="86"/>
      <c r="HJ98" s="86"/>
      <c r="HK98" s="86"/>
      <c r="HL98" s="86"/>
      <c r="HM98" s="86"/>
      <c r="HN98" s="86"/>
      <c r="HO98" s="86"/>
      <c r="HP98" s="86"/>
      <c r="HQ98" s="86"/>
      <c r="HR98" s="86"/>
      <c r="HS98" s="86"/>
      <c r="HT98" s="86"/>
      <c r="HU98" s="86"/>
      <c r="HV98" s="86"/>
      <c r="HW98" s="86"/>
      <c r="HX98" s="86"/>
      <c r="HY98" s="86"/>
      <c r="HZ98" s="86"/>
      <c r="IA98" s="86"/>
      <c r="IB98" s="86"/>
      <c r="IC98" s="86"/>
      <c r="ID98" s="86"/>
      <c r="IE98" s="86"/>
      <c r="IF98" s="86"/>
      <c r="IG98" s="86"/>
      <c r="IH98" s="86"/>
      <c r="II98" s="86"/>
      <c r="IJ98" s="86"/>
      <c r="IK98" s="86"/>
      <c r="IL98" s="86"/>
      <c r="IM98" s="86"/>
      <c r="IN98" s="86"/>
      <c r="IO98" s="86"/>
      <c r="IP98" s="86"/>
      <c r="IQ98" s="86"/>
      <c r="IR98" s="86"/>
      <c r="IS98" s="86"/>
      <c r="IT98" s="86"/>
      <c r="IU98" s="86"/>
      <c r="IV98" s="86"/>
    </row>
    <row r="99" spans="1:23" s="323" customFormat="1" ht="12.75">
      <c r="A99" s="357" t="s">
        <v>10</v>
      </c>
      <c r="B99" s="317">
        <v>93</v>
      </c>
      <c r="C99" s="318">
        <v>93</v>
      </c>
      <c r="D99" s="319">
        <v>0</v>
      </c>
      <c r="E99" s="319">
        <v>0</v>
      </c>
      <c r="F99" s="319">
        <v>0</v>
      </c>
      <c r="G99" s="319">
        <v>0</v>
      </c>
      <c r="H99" s="319">
        <v>0</v>
      </c>
      <c r="I99" s="321">
        <f>B99+D99-H99</f>
        <v>93</v>
      </c>
      <c r="J99" s="317">
        <v>164</v>
      </c>
      <c r="K99" s="318">
        <v>164</v>
      </c>
      <c r="L99" s="319">
        <v>0</v>
      </c>
      <c r="M99" s="319">
        <v>0</v>
      </c>
      <c r="N99" s="321">
        <f>J99+L99-M99</f>
        <v>164</v>
      </c>
      <c r="O99" s="317">
        <v>51</v>
      </c>
      <c r="P99" s="318">
        <v>51</v>
      </c>
      <c r="Q99" s="319">
        <v>22</v>
      </c>
      <c r="R99" s="321">
        <f>O99-Q99</f>
        <v>29</v>
      </c>
      <c r="S99" s="317">
        <v>0</v>
      </c>
      <c r="T99" s="318">
        <v>0</v>
      </c>
      <c r="U99" s="319">
        <v>0</v>
      </c>
      <c r="V99" s="321">
        <f>S99-U99</f>
        <v>0</v>
      </c>
      <c r="W99" s="356"/>
    </row>
    <row r="100" spans="1:23" s="323" customFormat="1" ht="13.5" thickBot="1">
      <c r="A100" s="358" t="s">
        <v>58</v>
      </c>
      <c r="B100" s="326">
        <v>0</v>
      </c>
      <c r="C100" s="328">
        <v>0</v>
      </c>
      <c r="D100" s="328">
        <v>0</v>
      </c>
      <c r="E100" s="328">
        <v>0</v>
      </c>
      <c r="F100" s="328">
        <v>0</v>
      </c>
      <c r="G100" s="328">
        <v>0</v>
      </c>
      <c r="H100" s="328">
        <v>0</v>
      </c>
      <c r="I100" s="321">
        <f>B100+D100-H100</f>
        <v>0</v>
      </c>
      <c r="J100" s="317">
        <v>236</v>
      </c>
      <c r="K100" s="318">
        <v>236</v>
      </c>
      <c r="L100" s="319">
        <v>66</v>
      </c>
      <c r="M100" s="319">
        <v>0</v>
      </c>
      <c r="N100" s="321">
        <f>J100+L100-M100</f>
        <v>302</v>
      </c>
      <c r="O100" s="317">
        <v>39</v>
      </c>
      <c r="P100" s="318">
        <v>39</v>
      </c>
      <c r="Q100" s="319">
        <v>39</v>
      </c>
      <c r="R100" s="321">
        <f>O100-Q100</f>
        <v>0</v>
      </c>
      <c r="S100" s="317">
        <v>0</v>
      </c>
      <c r="T100" s="318">
        <v>0</v>
      </c>
      <c r="U100" s="319">
        <v>0</v>
      </c>
      <c r="V100" s="321">
        <f>S100-U100</f>
        <v>0</v>
      </c>
      <c r="W100" s="356"/>
    </row>
    <row r="101" spans="1:217" s="42" customFormat="1" ht="13.5" thickBot="1">
      <c r="A101" s="166" t="s">
        <v>29</v>
      </c>
      <c r="B101" s="167">
        <f aca="true" t="shared" si="30" ref="B101:V101">SUM(B102:B102)</f>
        <v>203</v>
      </c>
      <c r="C101" s="165">
        <f t="shared" si="30"/>
        <v>203</v>
      </c>
      <c r="D101" s="165">
        <f t="shared" si="30"/>
        <v>169</v>
      </c>
      <c r="E101" s="165">
        <f t="shared" si="30"/>
        <v>150</v>
      </c>
      <c r="F101" s="165">
        <f t="shared" si="30"/>
        <v>0</v>
      </c>
      <c r="G101" s="165">
        <f t="shared" si="30"/>
        <v>100</v>
      </c>
      <c r="H101" s="165">
        <f t="shared" si="30"/>
        <v>250</v>
      </c>
      <c r="I101" s="29">
        <f t="shared" si="30"/>
        <v>122</v>
      </c>
      <c r="J101" s="167">
        <f t="shared" si="30"/>
        <v>105</v>
      </c>
      <c r="K101" s="165">
        <f t="shared" si="30"/>
        <v>105</v>
      </c>
      <c r="L101" s="165">
        <f t="shared" si="30"/>
        <v>13</v>
      </c>
      <c r="M101" s="165">
        <f t="shared" si="30"/>
        <v>0</v>
      </c>
      <c r="N101" s="29">
        <f t="shared" si="30"/>
        <v>118</v>
      </c>
      <c r="O101" s="167">
        <f t="shared" si="30"/>
        <v>236</v>
      </c>
      <c r="P101" s="165">
        <f t="shared" si="30"/>
        <v>236</v>
      </c>
      <c r="Q101" s="165">
        <f t="shared" si="30"/>
        <v>75</v>
      </c>
      <c r="R101" s="29">
        <f t="shared" si="30"/>
        <v>161</v>
      </c>
      <c r="S101" s="167">
        <f t="shared" si="30"/>
        <v>12</v>
      </c>
      <c r="T101" s="165">
        <f t="shared" si="30"/>
        <v>12</v>
      </c>
      <c r="U101" s="165">
        <f t="shared" si="30"/>
        <v>0</v>
      </c>
      <c r="V101" s="29">
        <f t="shared" si="30"/>
        <v>12</v>
      </c>
      <c r="W101" s="216"/>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7"/>
      <c r="BA101" s="217"/>
      <c r="BB101" s="217"/>
      <c r="BC101" s="217"/>
      <c r="BD101" s="217"/>
      <c r="BE101" s="217"/>
      <c r="BF101" s="217"/>
      <c r="BG101" s="217"/>
      <c r="BH101" s="217"/>
      <c r="BI101" s="217"/>
      <c r="BJ101" s="217"/>
      <c r="BK101" s="217"/>
      <c r="BL101" s="217"/>
      <c r="BM101" s="217"/>
      <c r="BN101" s="217"/>
      <c r="BO101" s="217"/>
      <c r="BP101" s="217"/>
      <c r="BQ101" s="217"/>
      <c r="BR101" s="217"/>
      <c r="BS101" s="217"/>
      <c r="BT101" s="217"/>
      <c r="BU101" s="217"/>
      <c r="BV101" s="217"/>
      <c r="BW101" s="217"/>
      <c r="BX101" s="217"/>
      <c r="BY101" s="217"/>
      <c r="BZ101" s="217"/>
      <c r="CA101" s="217"/>
      <c r="CB101" s="217"/>
      <c r="CC101" s="217"/>
      <c r="CD101" s="217"/>
      <c r="CE101" s="217"/>
      <c r="CF101" s="217"/>
      <c r="CG101" s="217"/>
      <c r="CH101" s="217"/>
      <c r="CI101" s="217"/>
      <c r="CJ101" s="217"/>
      <c r="CK101" s="217"/>
      <c r="CL101" s="217"/>
      <c r="CM101" s="217"/>
      <c r="CN101" s="217"/>
      <c r="CO101" s="217"/>
      <c r="CP101" s="217"/>
      <c r="CQ101" s="217"/>
      <c r="CR101" s="217"/>
      <c r="CS101" s="217"/>
      <c r="CT101" s="217"/>
      <c r="CU101" s="217"/>
      <c r="CV101" s="217"/>
      <c r="CW101" s="217"/>
      <c r="CX101" s="217"/>
      <c r="CY101" s="217"/>
      <c r="CZ101" s="217"/>
      <c r="DA101" s="217"/>
      <c r="DB101" s="217"/>
      <c r="DC101" s="217"/>
      <c r="DD101" s="217"/>
      <c r="DE101" s="217"/>
      <c r="DF101" s="217"/>
      <c r="DG101" s="217"/>
      <c r="DH101" s="217"/>
      <c r="DI101" s="217"/>
      <c r="DJ101" s="217"/>
      <c r="DK101" s="217"/>
      <c r="DL101" s="217"/>
      <c r="DM101" s="217"/>
      <c r="DN101" s="217"/>
      <c r="DO101" s="217"/>
      <c r="DP101" s="217"/>
      <c r="DQ101" s="217"/>
      <c r="DR101" s="217"/>
      <c r="DS101" s="217"/>
      <c r="DT101" s="217"/>
      <c r="DU101" s="217"/>
      <c r="DV101" s="217"/>
      <c r="DW101" s="217"/>
      <c r="DX101" s="217"/>
      <c r="DY101" s="217"/>
      <c r="DZ101" s="217"/>
      <c r="EA101" s="217"/>
      <c r="EB101" s="217"/>
      <c r="EC101" s="217"/>
      <c r="ED101" s="217"/>
      <c r="EE101" s="217"/>
      <c r="EF101" s="217"/>
      <c r="EG101" s="217"/>
      <c r="EH101" s="217"/>
      <c r="EI101" s="217"/>
      <c r="EJ101" s="217"/>
      <c r="EK101" s="217"/>
      <c r="EL101" s="217"/>
      <c r="EM101" s="217"/>
      <c r="EN101" s="217"/>
      <c r="EO101" s="217"/>
      <c r="EP101" s="217"/>
      <c r="EQ101" s="217"/>
      <c r="ER101" s="217"/>
      <c r="ES101" s="217"/>
      <c r="ET101" s="217"/>
      <c r="EU101" s="217"/>
      <c r="EV101" s="217"/>
      <c r="EW101" s="217"/>
      <c r="EX101" s="217"/>
      <c r="EY101" s="217"/>
      <c r="EZ101" s="217"/>
      <c r="FA101" s="217"/>
      <c r="FB101" s="217"/>
      <c r="FC101" s="217"/>
      <c r="FD101" s="217"/>
      <c r="FE101" s="217"/>
      <c r="FF101" s="217"/>
      <c r="FG101" s="217"/>
      <c r="FH101" s="217"/>
      <c r="FI101" s="217"/>
      <c r="FJ101" s="217"/>
      <c r="FK101" s="217"/>
      <c r="FL101" s="217"/>
      <c r="FM101" s="217"/>
      <c r="FN101" s="217"/>
      <c r="FO101" s="217"/>
      <c r="FP101" s="217"/>
      <c r="FQ101" s="217"/>
      <c r="FR101" s="217"/>
      <c r="FS101" s="217"/>
      <c r="FT101" s="217"/>
      <c r="FU101" s="217"/>
      <c r="FV101" s="217"/>
      <c r="FW101" s="217"/>
      <c r="FX101" s="217"/>
      <c r="FY101" s="217"/>
      <c r="FZ101" s="217"/>
      <c r="GA101" s="217"/>
      <c r="GB101" s="217"/>
      <c r="GC101" s="217"/>
      <c r="GD101" s="217"/>
      <c r="GE101" s="217"/>
      <c r="GF101" s="217"/>
      <c r="GG101" s="217"/>
      <c r="GH101" s="217"/>
      <c r="GI101" s="217"/>
      <c r="GJ101" s="217"/>
      <c r="GK101" s="217"/>
      <c r="GL101" s="217"/>
      <c r="GM101" s="217"/>
      <c r="GN101" s="217"/>
      <c r="GO101" s="217"/>
      <c r="GP101" s="217"/>
      <c r="GQ101" s="217"/>
      <c r="GR101" s="217"/>
      <c r="GS101" s="217"/>
      <c r="GT101" s="217"/>
      <c r="GU101" s="217"/>
      <c r="GV101" s="217"/>
      <c r="GW101" s="217"/>
      <c r="GX101" s="217"/>
      <c r="GY101" s="217"/>
      <c r="GZ101" s="217"/>
      <c r="HA101" s="217"/>
      <c r="HB101" s="217"/>
      <c r="HC101" s="217"/>
      <c r="HD101" s="217"/>
      <c r="HE101" s="217"/>
      <c r="HF101" s="217"/>
      <c r="HG101" s="217"/>
      <c r="HH101" s="217"/>
      <c r="HI101" s="217"/>
    </row>
    <row r="102" spans="1:217" s="219" customFormat="1" ht="13.5" thickBot="1">
      <c r="A102" s="244" t="s">
        <v>116</v>
      </c>
      <c r="B102" s="175">
        <v>203</v>
      </c>
      <c r="C102" s="177">
        <v>203</v>
      </c>
      <c r="D102" s="177">
        <v>169</v>
      </c>
      <c r="E102" s="177">
        <v>150</v>
      </c>
      <c r="F102" s="177">
        <v>0</v>
      </c>
      <c r="G102" s="177">
        <v>100</v>
      </c>
      <c r="H102" s="177">
        <f>150+100</f>
        <v>250</v>
      </c>
      <c r="I102" s="70">
        <f>B102+D102-H102</f>
        <v>122</v>
      </c>
      <c r="J102" s="175">
        <v>105</v>
      </c>
      <c r="K102" s="176">
        <v>105</v>
      </c>
      <c r="L102" s="176">
        <v>13</v>
      </c>
      <c r="M102" s="177">
        <v>0</v>
      </c>
      <c r="N102" s="178">
        <f>J102+L102-M102</f>
        <v>118</v>
      </c>
      <c r="O102" s="262">
        <f>176+60</f>
        <v>236</v>
      </c>
      <c r="P102" s="263">
        <v>236</v>
      </c>
      <c r="Q102" s="264">
        <v>75</v>
      </c>
      <c r="R102" s="265">
        <f>O102-Q102</f>
        <v>161</v>
      </c>
      <c r="S102" s="175">
        <f>9+3</f>
        <v>12</v>
      </c>
      <c r="T102" s="177">
        <v>12</v>
      </c>
      <c r="U102" s="177">
        <v>0</v>
      </c>
      <c r="V102" s="70">
        <f>S102-U102</f>
        <v>12</v>
      </c>
      <c r="W102" s="266"/>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7"/>
      <c r="BA102" s="267"/>
      <c r="BB102" s="267"/>
      <c r="BC102" s="267"/>
      <c r="BD102" s="267"/>
      <c r="BE102" s="267"/>
      <c r="BF102" s="267"/>
      <c r="BG102" s="267"/>
      <c r="BH102" s="267"/>
      <c r="BI102" s="267"/>
      <c r="BJ102" s="267"/>
      <c r="BK102" s="267"/>
      <c r="BL102" s="267"/>
      <c r="BM102" s="267"/>
      <c r="BN102" s="267"/>
      <c r="BO102" s="267"/>
      <c r="BP102" s="267"/>
      <c r="BQ102" s="267"/>
      <c r="BR102" s="267"/>
      <c r="BS102" s="267"/>
      <c r="BT102" s="267"/>
      <c r="BU102" s="267"/>
      <c r="BV102" s="267"/>
      <c r="BW102" s="267"/>
      <c r="BX102" s="267"/>
      <c r="BY102" s="267"/>
      <c r="BZ102" s="267"/>
      <c r="CA102" s="267"/>
      <c r="CB102" s="267"/>
      <c r="CC102" s="267"/>
      <c r="CD102" s="267"/>
      <c r="CE102" s="267"/>
      <c r="CF102" s="267"/>
      <c r="CG102" s="267"/>
      <c r="CH102" s="267"/>
      <c r="CI102" s="267"/>
      <c r="CJ102" s="267"/>
      <c r="CK102" s="267"/>
      <c r="CL102" s="267"/>
      <c r="CM102" s="267"/>
      <c r="CN102" s="267"/>
      <c r="CO102" s="267"/>
      <c r="CP102" s="267"/>
      <c r="CQ102" s="267"/>
      <c r="CR102" s="267"/>
      <c r="CS102" s="267"/>
      <c r="CT102" s="267"/>
      <c r="CU102" s="267"/>
      <c r="CV102" s="267"/>
      <c r="CW102" s="267"/>
      <c r="CX102" s="267"/>
      <c r="CY102" s="267"/>
      <c r="CZ102" s="267"/>
      <c r="DA102" s="267"/>
      <c r="DB102" s="267"/>
      <c r="DC102" s="267"/>
      <c r="DD102" s="267"/>
      <c r="DE102" s="267"/>
      <c r="DF102" s="267"/>
      <c r="DG102" s="267"/>
      <c r="DH102" s="267"/>
      <c r="DI102" s="267"/>
      <c r="DJ102" s="267"/>
      <c r="DK102" s="267"/>
      <c r="DL102" s="267"/>
      <c r="DM102" s="267"/>
      <c r="DN102" s="267"/>
      <c r="DO102" s="267"/>
      <c r="DP102" s="267"/>
      <c r="DQ102" s="267"/>
      <c r="DR102" s="267"/>
      <c r="DS102" s="267"/>
      <c r="DT102" s="267"/>
      <c r="DU102" s="267"/>
      <c r="DV102" s="267"/>
      <c r="DW102" s="267"/>
      <c r="DX102" s="267"/>
      <c r="DY102" s="267"/>
      <c r="DZ102" s="267"/>
      <c r="EA102" s="267"/>
      <c r="EB102" s="267"/>
      <c r="EC102" s="267"/>
      <c r="ED102" s="267"/>
      <c r="EE102" s="267"/>
      <c r="EF102" s="267"/>
      <c r="EG102" s="267"/>
      <c r="EH102" s="267"/>
      <c r="EI102" s="267"/>
      <c r="EJ102" s="267"/>
      <c r="EK102" s="267"/>
      <c r="EL102" s="267"/>
      <c r="EM102" s="267"/>
      <c r="EN102" s="267"/>
      <c r="EO102" s="267"/>
      <c r="EP102" s="267"/>
      <c r="EQ102" s="267"/>
      <c r="ER102" s="267"/>
      <c r="ES102" s="267"/>
      <c r="ET102" s="267"/>
      <c r="EU102" s="267"/>
      <c r="EV102" s="267"/>
      <c r="EW102" s="267"/>
      <c r="EX102" s="267"/>
      <c r="EY102" s="267"/>
      <c r="EZ102" s="267"/>
      <c r="FA102" s="267"/>
      <c r="FB102" s="267"/>
      <c r="FC102" s="267"/>
      <c r="FD102" s="267"/>
      <c r="FE102" s="267"/>
      <c r="FF102" s="267"/>
      <c r="FG102" s="267"/>
      <c r="FH102" s="267"/>
      <c r="FI102" s="267"/>
      <c r="FJ102" s="267"/>
      <c r="FK102" s="267"/>
      <c r="FL102" s="267"/>
      <c r="FM102" s="267"/>
      <c r="FN102" s="267"/>
      <c r="FO102" s="267"/>
      <c r="FP102" s="267"/>
      <c r="FQ102" s="267"/>
      <c r="FR102" s="267"/>
      <c r="FS102" s="267"/>
      <c r="FT102" s="267"/>
      <c r="FU102" s="267"/>
      <c r="FV102" s="267"/>
      <c r="FW102" s="267"/>
      <c r="FX102" s="267"/>
      <c r="FY102" s="267"/>
      <c r="FZ102" s="267"/>
      <c r="GA102" s="267"/>
      <c r="GB102" s="267"/>
      <c r="GC102" s="267"/>
      <c r="GD102" s="267"/>
      <c r="GE102" s="267"/>
      <c r="GF102" s="267"/>
      <c r="GG102" s="267"/>
      <c r="GH102" s="267"/>
      <c r="GI102" s="267"/>
      <c r="GJ102" s="267"/>
      <c r="GK102" s="267"/>
      <c r="GL102" s="267"/>
      <c r="GM102" s="267"/>
      <c r="GN102" s="267"/>
      <c r="GO102" s="267"/>
      <c r="GP102" s="267"/>
      <c r="GQ102" s="267"/>
      <c r="GR102" s="267"/>
      <c r="GS102" s="267"/>
      <c r="GT102" s="267"/>
      <c r="GU102" s="267"/>
      <c r="GV102" s="267"/>
      <c r="GW102" s="267"/>
      <c r="GX102" s="267"/>
      <c r="GY102" s="267"/>
      <c r="GZ102" s="267"/>
      <c r="HA102" s="267"/>
      <c r="HB102" s="267"/>
      <c r="HC102" s="267"/>
      <c r="HD102" s="267"/>
      <c r="HE102" s="267"/>
      <c r="HF102" s="267"/>
      <c r="HG102" s="267"/>
      <c r="HH102" s="267"/>
      <c r="HI102" s="267"/>
    </row>
    <row r="103" spans="1:35" ht="13.5" thickBot="1">
      <c r="A103" s="268" t="s">
        <v>55</v>
      </c>
      <c r="B103" s="242">
        <f>SUM(B104)</f>
        <v>204</v>
      </c>
      <c r="C103" s="243">
        <f aca="true" t="shared" si="31" ref="C103:V103">SUM(C104)</f>
        <v>204</v>
      </c>
      <c r="D103" s="243">
        <f t="shared" si="31"/>
        <v>110</v>
      </c>
      <c r="E103" s="243">
        <f t="shared" si="31"/>
        <v>0</v>
      </c>
      <c r="F103" s="243">
        <f t="shared" si="31"/>
        <v>0</v>
      </c>
      <c r="G103" s="243">
        <f t="shared" si="31"/>
        <v>0</v>
      </c>
      <c r="H103" s="243">
        <f t="shared" si="31"/>
        <v>0</v>
      </c>
      <c r="I103" s="102">
        <f t="shared" si="31"/>
        <v>314</v>
      </c>
      <c r="J103" s="242">
        <f t="shared" si="31"/>
        <v>2319</v>
      </c>
      <c r="K103" s="243">
        <f t="shared" si="31"/>
        <v>2319</v>
      </c>
      <c r="L103" s="243">
        <f t="shared" si="31"/>
        <v>1837</v>
      </c>
      <c r="M103" s="243">
        <f t="shared" si="31"/>
        <v>2119</v>
      </c>
      <c r="N103" s="102">
        <f t="shared" si="31"/>
        <v>2037</v>
      </c>
      <c r="O103" s="242">
        <f t="shared" si="31"/>
        <v>72</v>
      </c>
      <c r="P103" s="243">
        <f t="shared" si="31"/>
        <v>72</v>
      </c>
      <c r="Q103" s="243">
        <f t="shared" si="31"/>
        <v>45</v>
      </c>
      <c r="R103" s="102">
        <f t="shared" si="31"/>
        <v>27</v>
      </c>
      <c r="S103" s="242">
        <f t="shared" si="31"/>
        <v>49</v>
      </c>
      <c r="T103" s="243">
        <f t="shared" si="31"/>
        <v>49</v>
      </c>
      <c r="U103" s="243">
        <f t="shared" si="31"/>
        <v>20</v>
      </c>
      <c r="V103" s="102">
        <f t="shared" si="31"/>
        <v>29</v>
      </c>
      <c r="W103" s="193"/>
      <c r="X103" s="86"/>
      <c r="Y103" s="86"/>
      <c r="Z103" s="86"/>
      <c r="AA103" s="86"/>
      <c r="AB103" s="86"/>
      <c r="AC103" s="86"/>
      <c r="AD103" s="86"/>
      <c r="AE103" s="86"/>
      <c r="AF103" s="86"/>
      <c r="AG103" s="86"/>
      <c r="AH103" s="86"/>
      <c r="AI103" s="86"/>
    </row>
    <row r="104" spans="1:35" ht="13.5" thickBot="1">
      <c r="A104" s="362" t="s">
        <v>133</v>
      </c>
      <c r="B104" s="355">
        <v>204</v>
      </c>
      <c r="C104" s="343">
        <v>204</v>
      </c>
      <c r="D104" s="343">
        <v>110</v>
      </c>
      <c r="E104" s="343">
        <v>0</v>
      </c>
      <c r="F104" s="343">
        <v>0</v>
      </c>
      <c r="G104" s="343">
        <v>0</v>
      </c>
      <c r="H104" s="343">
        <v>0</v>
      </c>
      <c r="I104" s="344">
        <f>B104+D104-H104</f>
        <v>314</v>
      </c>
      <c r="J104" s="355">
        <v>2319</v>
      </c>
      <c r="K104" s="342">
        <v>2319</v>
      </c>
      <c r="L104" s="342">
        <v>1837</v>
      </c>
      <c r="M104" s="343">
        <v>2119</v>
      </c>
      <c r="N104" s="345">
        <f>J104+L104-M104</f>
        <v>2037</v>
      </c>
      <c r="O104" s="355">
        <f>29+43</f>
        <v>72</v>
      </c>
      <c r="P104" s="342">
        <v>72</v>
      </c>
      <c r="Q104" s="343">
        <v>45</v>
      </c>
      <c r="R104" s="344">
        <f>O104-Q104</f>
        <v>27</v>
      </c>
      <c r="S104" s="355">
        <v>49</v>
      </c>
      <c r="T104" s="343">
        <v>49</v>
      </c>
      <c r="U104" s="343">
        <v>20</v>
      </c>
      <c r="V104" s="344">
        <f>S104-U104</f>
        <v>29</v>
      </c>
      <c r="W104" s="363"/>
      <c r="X104" s="364"/>
      <c r="Y104" s="364"/>
      <c r="Z104" s="364"/>
      <c r="AA104" s="364"/>
      <c r="AB104" s="364"/>
      <c r="AC104" s="364"/>
      <c r="AD104" s="364"/>
      <c r="AE104" s="364"/>
      <c r="AF104" s="364"/>
      <c r="AG104" s="364"/>
      <c r="AH104" s="364"/>
      <c r="AI104" s="364"/>
    </row>
    <row r="105" spans="1:35" ht="13.5" thickBot="1">
      <c r="A105" s="268" t="s">
        <v>30</v>
      </c>
      <c r="B105" s="167">
        <f aca="true" t="shared" si="32" ref="B105:V105">SUM(B106:B106)</f>
        <v>292</v>
      </c>
      <c r="C105" s="165">
        <f t="shared" si="32"/>
        <v>292</v>
      </c>
      <c r="D105" s="165">
        <f t="shared" si="32"/>
        <v>123</v>
      </c>
      <c r="E105" s="165">
        <f t="shared" si="32"/>
        <v>0</v>
      </c>
      <c r="F105" s="165">
        <f t="shared" si="32"/>
        <v>0</v>
      </c>
      <c r="G105" s="165">
        <f t="shared" si="32"/>
        <v>250</v>
      </c>
      <c r="H105" s="165">
        <f t="shared" si="32"/>
        <v>279</v>
      </c>
      <c r="I105" s="29">
        <f t="shared" si="32"/>
        <v>136</v>
      </c>
      <c r="J105" s="167">
        <f t="shared" si="32"/>
        <v>26</v>
      </c>
      <c r="K105" s="165">
        <f t="shared" si="32"/>
        <v>26</v>
      </c>
      <c r="L105" s="165">
        <f t="shared" si="32"/>
        <v>1</v>
      </c>
      <c r="M105" s="165">
        <f t="shared" si="32"/>
        <v>20</v>
      </c>
      <c r="N105" s="29">
        <f t="shared" si="32"/>
        <v>7</v>
      </c>
      <c r="O105" s="167">
        <f t="shared" si="32"/>
        <v>49</v>
      </c>
      <c r="P105" s="165">
        <f t="shared" si="32"/>
        <v>49</v>
      </c>
      <c r="Q105" s="165">
        <f t="shared" si="32"/>
        <v>36</v>
      </c>
      <c r="R105" s="29">
        <f t="shared" si="32"/>
        <v>13</v>
      </c>
      <c r="S105" s="167">
        <f t="shared" si="32"/>
        <v>3</v>
      </c>
      <c r="T105" s="165">
        <f t="shared" si="32"/>
        <v>3</v>
      </c>
      <c r="U105" s="165">
        <f t="shared" si="32"/>
        <v>0</v>
      </c>
      <c r="V105" s="29">
        <f t="shared" si="32"/>
        <v>3</v>
      </c>
      <c r="W105" s="193"/>
      <c r="X105" s="86"/>
      <c r="Y105" s="86"/>
      <c r="Z105" s="86"/>
      <c r="AA105" s="86"/>
      <c r="AB105" s="86"/>
      <c r="AC105" s="86"/>
      <c r="AD105" s="86"/>
      <c r="AE105" s="86"/>
      <c r="AF105" s="86"/>
      <c r="AG105" s="86"/>
      <c r="AH105" s="86"/>
      <c r="AI105" s="86"/>
    </row>
    <row r="106" spans="1:35" s="40" customFormat="1" ht="13.5" thickBot="1">
      <c r="A106" s="245" t="s">
        <v>9</v>
      </c>
      <c r="B106" s="168">
        <v>292</v>
      </c>
      <c r="C106" s="170">
        <v>292</v>
      </c>
      <c r="D106" s="170">
        <v>123</v>
      </c>
      <c r="E106" s="170">
        <v>0</v>
      </c>
      <c r="F106" s="170">
        <v>0</v>
      </c>
      <c r="G106" s="170">
        <v>250</v>
      </c>
      <c r="H106" s="170">
        <f>250+29</f>
        <v>279</v>
      </c>
      <c r="I106" s="38">
        <f>B106+D106-H106</f>
        <v>136</v>
      </c>
      <c r="J106" s="168">
        <v>26</v>
      </c>
      <c r="K106" s="170">
        <v>26</v>
      </c>
      <c r="L106" s="170">
        <v>1</v>
      </c>
      <c r="M106" s="170">
        <v>20</v>
      </c>
      <c r="N106" s="38">
        <f>J106+L106-M106</f>
        <v>7</v>
      </c>
      <c r="O106" s="168">
        <f>22+27</f>
        <v>49</v>
      </c>
      <c r="P106" s="170">
        <v>49</v>
      </c>
      <c r="Q106" s="170">
        <v>36</v>
      </c>
      <c r="R106" s="38">
        <f>O106-Q106</f>
        <v>13</v>
      </c>
      <c r="S106" s="168">
        <v>3</v>
      </c>
      <c r="T106" s="170">
        <v>3</v>
      </c>
      <c r="U106" s="170">
        <v>0</v>
      </c>
      <c r="V106" s="38">
        <f>S106-U106</f>
        <v>3</v>
      </c>
      <c r="W106" s="240"/>
      <c r="X106" s="179"/>
      <c r="Y106" s="179"/>
      <c r="Z106" s="179"/>
      <c r="AA106" s="179"/>
      <c r="AB106" s="179"/>
      <c r="AC106" s="179"/>
      <c r="AD106" s="179"/>
      <c r="AE106" s="179"/>
      <c r="AF106" s="179"/>
      <c r="AG106" s="179"/>
      <c r="AH106" s="179"/>
      <c r="AI106" s="179"/>
    </row>
    <row r="107" spans="1:35" ht="13.5" thickBot="1">
      <c r="A107" s="268" t="s">
        <v>31</v>
      </c>
      <c r="B107" s="167">
        <f>SUM(B108:B116)</f>
        <v>2536</v>
      </c>
      <c r="C107" s="165">
        <f aca="true" t="shared" si="33" ref="C107:V107">SUM(C108:C116)</f>
        <v>2536</v>
      </c>
      <c r="D107" s="165">
        <f t="shared" si="33"/>
        <v>1987</v>
      </c>
      <c r="E107" s="165">
        <f t="shared" si="33"/>
        <v>590</v>
      </c>
      <c r="F107" s="165">
        <f t="shared" si="33"/>
        <v>0</v>
      </c>
      <c r="G107" s="165">
        <f t="shared" si="33"/>
        <v>877</v>
      </c>
      <c r="H107" s="165">
        <f t="shared" si="33"/>
        <v>2268</v>
      </c>
      <c r="I107" s="29">
        <f t="shared" si="33"/>
        <v>2255</v>
      </c>
      <c r="J107" s="167">
        <f t="shared" si="33"/>
        <v>1705</v>
      </c>
      <c r="K107" s="165">
        <f t="shared" si="33"/>
        <v>1705</v>
      </c>
      <c r="L107" s="165">
        <f t="shared" si="33"/>
        <v>649</v>
      </c>
      <c r="M107" s="165">
        <f t="shared" si="33"/>
        <v>1260</v>
      </c>
      <c r="N107" s="29">
        <f t="shared" si="33"/>
        <v>1094</v>
      </c>
      <c r="O107" s="167">
        <f t="shared" si="33"/>
        <v>1408</v>
      </c>
      <c r="P107" s="165">
        <f t="shared" si="33"/>
        <v>1352</v>
      </c>
      <c r="Q107" s="165">
        <f t="shared" si="33"/>
        <v>963</v>
      </c>
      <c r="R107" s="29">
        <f t="shared" si="33"/>
        <v>445</v>
      </c>
      <c r="S107" s="167">
        <f t="shared" si="33"/>
        <v>136</v>
      </c>
      <c r="T107" s="165">
        <f t="shared" si="33"/>
        <v>136</v>
      </c>
      <c r="U107" s="165">
        <f t="shared" si="33"/>
        <v>9</v>
      </c>
      <c r="V107" s="29">
        <f t="shared" si="33"/>
        <v>127</v>
      </c>
      <c r="W107" s="193"/>
      <c r="X107" s="86"/>
      <c r="Y107" s="86"/>
      <c r="Z107" s="86"/>
      <c r="AA107" s="270"/>
      <c r="AB107" s="86"/>
      <c r="AC107" s="86"/>
      <c r="AD107" s="86"/>
      <c r="AE107" s="86"/>
      <c r="AF107" s="86"/>
      <c r="AG107" s="86"/>
      <c r="AH107" s="86"/>
      <c r="AI107" s="86"/>
    </row>
    <row r="108" spans="1:35" s="40" customFormat="1" ht="12.75">
      <c r="A108" s="271" t="s">
        <v>46</v>
      </c>
      <c r="B108" s="175">
        <v>147</v>
      </c>
      <c r="C108" s="177">
        <v>147</v>
      </c>
      <c r="D108" s="177">
        <v>244</v>
      </c>
      <c r="E108" s="177">
        <v>300</v>
      </c>
      <c r="F108" s="177">
        <v>0</v>
      </c>
      <c r="G108" s="177">
        <v>0</v>
      </c>
      <c r="H108" s="177">
        <v>391</v>
      </c>
      <c r="I108" s="70">
        <f aca="true" t="shared" si="34" ref="I108:I116">B108+D108-H108</f>
        <v>0</v>
      </c>
      <c r="J108" s="175">
        <f>40+105</f>
        <v>145</v>
      </c>
      <c r="K108" s="177">
        <v>145</v>
      </c>
      <c r="L108" s="177">
        <f>5+250</f>
        <v>255</v>
      </c>
      <c r="M108" s="177">
        <v>300</v>
      </c>
      <c r="N108" s="70">
        <f aca="true" t="shared" si="35" ref="N108:N115">J108+L108-M108</f>
        <v>100</v>
      </c>
      <c r="O108" s="175">
        <f>39+55</f>
        <v>94</v>
      </c>
      <c r="P108" s="177">
        <v>86</v>
      </c>
      <c r="Q108" s="177">
        <v>81</v>
      </c>
      <c r="R108" s="70">
        <f>O108-Q108</f>
        <v>13</v>
      </c>
      <c r="S108" s="175">
        <v>23</v>
      </c>
      <c r="T108" s="177">
        <v>23</v>
      </c>
      <c r="U108" s="177">
        <v>0</v>
      </c>
      <c r="V108" s="70">
        <f aca="true" t="shared" si="36" ref="V108:V115">S108-U108</f>
        <v>23</v>
      </c>
      <c r="W108" s="240"/>
      <c r="X108" s="179"/>
      <c r="Y108" s="179"/>
      <c r="Z108" s="179"/>
      <c r="AA108" s="179"/>
      <c r="AB108" s="179"/>
      <c r="AC108" s="179"/>
      <c r="AD108" s="179"/>
      <c r="AE108" s="179"/>
      <c r="AF108" s="179"/>
      <c r="AG108" s="179"/>
      <c r="AH108" s="179"/>
      <c r="AI108" s="179"/>
    </row>
    <row r="109" spans="1:35" s="40" customFormat="1" ht="12.75">
      <c r="A109" s="245" t="s">
        <v>47</v>
      </c>
      <c r="B109" s="168">
        <v>149</v>
      </c>
      <c r="C109" s="170">
        <v>149</v>
      </c>
      <c r="D109" s="170">
        <v>160</v>
      </c>
      <c r="E109" s="170">
        <v>0</v>
      </c>
      <c r="F109" s="170">
        <v>0</v>
      </c>
      <c r="G109" s="170">
        <v>0</v>
      </c>
      <c r="H109" s="170">
        <v>80</v>
      </c>
      <c r="I109" s="38">
        <f t="shared" si="34"/>
        <v>229</v>
      </c>
      <c r="J109" s="168">
        <v>58</v>
      </c>
      <c r="K109" s="170">
        <v>58</v>
      </c>
      <c r="L109" s="170">
        <v>8</v>
      </c>
      <c r="M109" s="170">
        <v>0</v>
      </c>
      <c r="N109" s="38">
        <f t="shared" si="35"/>
        <v>66</v>
      </c>
      <c r="O109" s="168">
        <f>233+40</f>
        <v>273</v>
      </c>
      <c r="P109" s="170">
        <v>249</v>
      </c>
      <c r="Q109" s="170">
        <v>60</v>
      </c>
      <c r="R109" s="38">
        <f aca="true" t="shared" si="37" ref="R109:R116">O109-Q109</f>
        <v>213</v>
      </c>
      <c r="S109" s="168">
        <v>6</v>
      </c>
      <c r="T109" s="170">
        <v>6</v>
      </c>
      <c r="U109" s="170">
        <v>0</v>
      </c>
      <c r="V109" s="38">
        <f t="shared" si="36"/>
        <v>6</v>
      </c>
      <c r="W109" s="240"/>
      <c r="X109" s="179"/>
      <c r="Y109" s="179"/>
      <c r="Z109" s="179"/>
      <c r="AA109" s="179"/>
      <c r="AB109" s="179"/>
      <c r="AC109" s="179"/>
      <c r="AD109" s="179"/>
      <c r="AE109" s="179"/>
      <c r="AF109" s="179"/>
      <c r="AG109" s="179"/>
      <c r="AH109" s="179"/>
      <c r="AI109" s="179"/>
    </row>
    <row r="110" spans="1:35" s="40" customFormat="1" ht="12.75">
      <c r="A110" s="141" t="s">
        <v>48</v>
      </c>
      <c r="B110" s="168">
        <v>441</v>
      </c>
      <c r="C110" s="170">
        <v>441</v>
      </c>
      <c r="D110" s="170">
        <v>302</v>
      </c>
      <c r="E110" s="170">
        <v>0</v>
      </c>
      <c r="F110" s="170">
        <v>0</v>
      </c>
      <c r="G110" s="170">
        <v>0</v>
      </c>
      <c r="H110" s="170">
        <v>86</v>
      </c>
      <c r="I110" s="38">
        <f t="shared" si="34"/>
        <v>657</v>
      </c>
      <c r="J110" s="168">
        <f>215+323</f>
        <v>538</v>
      </c>
      <c r="K110" s="170">
        <v>538</v>
      </c>
      <c r="L110" s="170">
        <f>16+80</f>
        <v>96</v>
      </c>
      <c r="M110" s="170">
        <v>180</v>
      </c>
      <c r="N110" s="38">
        <f t="shared" si="35"/>
        <v>454</v>
      </c>
      <c r="O110" s="168">
        <f>74+100</f>
        <v>174</v>
      </c>
      <c r="P110" s="170">
        <v>164</v>
      </c>
      <c r="Q110" s="170">
        <v>120</v>
      </c>
      <c r="R110" s="38">
        <f t="shared" si="37"/>
        <v>54</v>
      </c>
      <c r="S110" s="168">
        <v>95</v>
      </c>
      <c r="T110" s="170">
        <v>95</v>
      </c>
      <c r="U110" s="170">
        <v>0</v>
      </c>
      <c r="V110" s="38">
        <f t="shared" si="36"/>
        <v>95</v>
      </c>
      <c r="W110" s="240"/>
      <c r="X110" s="179"/>
      <c r="Y110" s="179"/>
      <c r="Z110" s="179"/>
      <c r="AA110" s="179"/>
      <c r="AB110" s="179"/>
      <c r="AC110" s="179"/>
      <c r="AD110" s="179"/>
      <c r="AE110" s="179"/>
      <c r="AF110" s="179"/>
      <c r="AG110" s="179"/>
      <c r="AH110" s="179"/>
      <c r="AI110" s="179"/>
    </row>
    <row r="111" spans="1:35" s="40" customFormat="1" ht="12.75">
      <c r="A111" s="245" t="s">
        <v>49</v>
      </c>
      <c r="B111" s="168">
        <v>306</v>
      </c>
      <c r="C111" s="170">
        <v>306</v>
      </c>
      <c r="D111" s="170">
        <v>346</v>
      </c>
      <c r="E111" s="170">
        <v>130</v>
      </c>
      <c r="F111" s="170">
        <v>0</v>
      </c>
      <c r="G111" s="170">
        <v>0</v>
      </c>
      <c r="H111" s="170">
        <v>288</v>
      </c>
      <c r="I111" s="38">
        <f t="shared" si="34"/>
        <v>364</v>
      </c>
      <c r="J111" s="168">
        <v>87</v>
      </c>
      <c r="K111" s="170">
        <v>87</v>
      </c>
      <c r="L111" s="170">
        <v>113</v>
      </c>
      <c r="M111" s="170">
        <v>200</v>
      </c>
      <c r="N111" s="38">
        <f t="shared" si="35"/>
        <v>0</v>
      </c>
      <c r="O111" s="168">
        <f>61+70</f>
        <v>131</v>
      </c>
      <c r="P111" s="170">
        <v>131</v>
      </c>
      <c r="Q111" s="170">
        <v>131</v>
      </c>
      <c r="R111" s="38">
        <f t="shared" si="37"/>
        <v>0</v>
      </c>
      <c r="S111" s="168">
        <v>8</v>
      </c>
      <c r="T111" s="170">
        <v>8</v>
      </c>
      <c r="U111" s="170">
        <v>8</v>
      </c>
      <c r="V111" s="38">
        <f t="shared" si="36"/>
        <v>0</v>
      </c>
      <c r="W111" s="240"/>
      <c r="X111" s="179"/>
      <c r="Y111" s="179"/>
      <c r="Z111" s="179"/>
      <c r="AA111" s="179"/>
      <c r="AB111" s="179"/>
      <c r="AC111" s="179"/>
      <c r="AD111" s="179"/>
      <c r="AE111" s="179"/>
      <c r="AF111" s="179"/>
      <c r="AG111" s="179"/>
      <c r="AH111" s="179"/>
      <c r="AI111" s="179"/>
    </row>
    <row r="112" spans="1:35" s="40" customFormat="1" ht="12.75">
      <c r="A112" s="187" t="s">
        <v>50</v>
      </c>
      <c r="B112" s="168">
        <v>392</v>
      </c>
      <c r="C112" s="170">
        <v>392</v>
      </c>
      <c r="D112" s="170">
        <v>407</v>
      </c>
      <c r="E112" s="170">
        <v>160</v>
      </c>
      <c r="F112" s="170">
        <v>0</v>
      </c>
      <c r="G112" s="170">
        <v>302</v>
      </c>
      <c r="H112" s="170">
        <v>625</v>
      </c>
      <c r="I112" s="38">
        <f t="shared" si="34"/>
        <v>174</v>
      </c>
      <c r="J112" s="168">
        <v>150</v>
      </c>
      <c r="K112" s="170">
        <v>150</v>
      </c>
      <c r="L112" s="170">
        <v>2</v>
      </c>
      <c r="M112" s="170">
        <v>72</v>
      </c>
      <c r="N112" s="38">
        <f t="shared" si="35"/>
        <v>80</v>
      </c>
      <c r="O112" s="168">
        <f>180+60</f>
        <v>240</v>
      </c>
      <c r="P112" s="170">
        <v>240</v>
      </c>
      <c r="Q112" s="170">
        <v>231</v>
      </c>
      <c r="R112" s="38">
        <f t="shared" si="37"/>
        <v>9</v>
      </c>
      <c r="S112" s="168">
        <v>2</v>
      </c>
      <c r="T112" s="170">
        <v>2</v>
      </c>
      <c r="U112" s="170">
        <v>0</v>
      </c>
      <c r="V112" s="38">
        <f t="shared" si="36"/>
        <v>2</v>
      </c>
      <c r="W112" s="240"/>
      <c r="X112" s="179"/>
      <c r="Y112" s="179"/>
      <c r="Z112" s="179"/>
      <c r="AA112" s="179"/>
      <c r="AB112" s="179"/>
      <c r="AC112" s="179"/>
      <c r="AD112" s="179"/>
      <c r="AE112" s="179"/>
      <c r="AF112" s="179"/>
      <c r="AG112" s="179"/>
      <c r="AH112" s="179"/>
      <c r="AI112" s="179"/>
    </row>
    <row r="113" spans="1:35" s="40" customFormat="1" ht="12.75">
      <c r="A113" s="245" t="s">
        <v>51</v>
      </c>
      <c r="B113" s="168">
        <v>302</v>
      </c>
      <c r="C113" s="170">
        <v>302</v>
      </c>
      <c r="D113" s="170">
        <v>66</v>
      </c>
      <c r="E113" s="170">
        <v>0</v>
      </c>
      <c r="F113" s="170">
        <v>0</v>
      </c>
      <c r="G113" s="170">
        <v>0</v>
      </c>
      <c r="H113" s="170">
        <v>15</v>
      </c>
      <c r="I113" s="38">
        <f t="shared" si="34"/>
        <v>353</v>
      </c>
      <c r="J113" s="168">
        <f>4+248</f>
        <v>252</v>
      </c>
      <c r="K113" s="170">
        <v>252</v>
      </c>
      <c r="L113" s="170">
        <v>63</v>
      </c>
      <c r="M113" s="170">
        <v>100</v>
      </c>
      <c r="N113" s="38">
        <f t="shared" si="35"/>
        <v>215</v>
      </c>
      <c r="O113" s="168">
        <f>45+24</f>
        <v>69</v>
      </c>
      <c r="P113" s="170">
        <v>69</v>
      </c>
      <c r="Q113" s="170">
        <v>46</v>
      </c>
      <c r="R113" s="38">
        <f t="shared" si="37"/>
        <v>23</v>
      </c>
      <c r="S113" s="168">
        <v>0</v>
      </c>
      <c r="T113" s="170">
        <v>0</v>
      </c>
      <c r="U113" s="170">
        <v>0</v>
      </c>
      <c r="V113" s="38">
        <f t="shared" si="36"/>
        <v>0</v>
      </c>
      <c r="W113" s="240"/>
      <c r="X113" s="179"/>
      <c r="Y113" s="179"/>
      <c r="Z113" s="179"/>
      <c r="AA113" s="179"/>
      <c r="AB113" s="179"/>
      <c r="AC113" s="179"/>
      <c r="AD113" s="179"/>
      <c r="AE113" s="179"/>
      <c r="AF113" s="179"/>
      <c r="AG113" s="179"/>
      <c r="AH113" s="179"/>
      <c r="AI113" s="179"/>
    </row>
    <row r="114" spans="1:35" s="40" customFormat="1" ht="12.75">
      <c r="A114" s="182" t="s">
        <v>52</v>
      </c>
      <c r="B114" s="168">
        <v>670</v>
      </c>
      <c r="C114" s="170">
        <v>670</v>
      </c>
      <c r="D114" s="170">
        <v>259</v>
      </c>
      <c r="E114" s="170">
        <v>0</v>
      </c>
      <c r="F114" s="170">
        <v>0</v>
      </c>
      <c r="G114" s="170">
        <v>500</v>
      </c>
      <c r="H114" s="170">
        <v>620</v>
      </c>
      <c r="I114" s="38">
        <f t="shared" si="34"/>
        <v>309</v>
      </c>
      <c r="J114" s="168">
        <f>3+175</f>
        <v>178</v>
      </c>
      <c r="K114" s="170">
        <v>178</v>
      </c>
      <c r="L114" s="170">
        <v>74</v>
      </c>
      <c r="M114" s="170">
        <v>153</v>
      </c>
      <c r="N114" s="38">
        <f t="shared" si="35"/>
        <v>99</v>
      </c>
      <c r="O114" s="168">
        <f>216+40</f>
        <v>256</v>
      </c>
      <c r="P114" s="170">
        <v>256</v>
      </c>
      <c r="Q114" s="170">
        <v>170</v>
      </c>
      <c r="R114" s="38">
        <f t="shared" si="37"/>
        <v>86</v>
      </c>
      <c r="S114" s="168">
        <v>1</v>
      </c>
      <c r="T114" s="170">
        <v>1</v>
      </c>
      <c r="U114" s="170">
        <v>1</v>
      </c>
      <c r="V114" s="38">
        <f t="shared" si="36"/>
        <v>0</v>
      </c>
      <c r="W114" s="240"/>
      <c r="X114" s="179"/>
      <c r="Y114" s="179"/>
      <c r="Z114" s="179"/>
      <c r="AA114" s="179"/>
      <c r="AB114" s="179"/>
      <c r="AC114" s="179"/>
      <c r="AD114" s="179"/>
      <c r="AE114" s="179"/>
      <c r="AF114" s="179"/>
      <c r="AG114" s="179"/>
      <c r="AH114" s="179"/>
      <c r="AI114" s="179"/>
    </row>
    <row r="115" spans="1:35" s="40" customFormat="1" ht="12.75">
      <c r="A115" s="245" t="s">
        <v>59</v>
      </c>
      <c r="B115" s="168">
        <v>70</v>
      </c>
      <c r="C115" s="170">
        <v>70</v>
      </c>
      <c r="D115" s="170">
        <v>32</v>
      </c>
      <c r="E115" s="170">
        <v>0</v>
      </c>
      <c r="F115" s="170">
        <v>0</v>
      </c>
      <c r="G115" s="170">
        <v>0</v>
      </c>
      <c r="H115" s="170">
        <v>15</v>
      </c>
      <c r="I115" s="38">
        <f t="shared" si="34"/>
        <v>87</v>
      </c>
      <c r="J115" s="168">
        <f>2+142</f>
        <v>144</v>
      </c>
      <c r="K115" s="170">
        <v>144</v>
      </c>
      <c r="L115" s="170">
        <v>23</v>
      </c>
      <c r="M115" s="170">
        <v>155</v>
      </c>
      <c r="N115" s="38">
        <f t="shared" si="35"/>
        <v>12</v>
      </c>
      <c r="O115" s="168">
        <f>58+26</f>
        <v>84</v>
      </c>
      <c r="P115" s="170">
        <v>84</v>
      </c>
      <c r="Q115" s="170">
        <v>54</v>
      </c>
      <c r="R115" s="38">
        <f t="shared" si="37"/>
        <v>30</v>
      </c>
      <c r="S115" s="168">
        <v>1</v>
      </c>
      <c r="T115" s="170">
        <v>1</v>
      </c>
      <c r="U115" s="170">
        <v>0</v>
      </c>
      <c r="V115" s="38">
        <f t="shared" si="36"/>
        <v>1</v>
      </c>
      <c r="W115" s="240"/>
      <c r="X115" s="179"/>
      <c r="Y115" s="179"/>
      <c r="Z115" s="179"/>
      <c r="AA115" s="179"/>
      <c r="AB115" s="179"/>
      <c r="AC115" s="179"/>
      <c r="AD115" s="179"/>
      <c r="AE115" s="179"/>
      <c r="AF115" s="179"/>
      <c r="AG115" s="179"/>
      <c r="AH115" s="179"/>
      <c r="AI115" s="179"/>
    </row>
    <row r="116" spans="1:35" s="40" customFormat="1" ht="13.5" thickBot="1">
      <c r="A116" s="272" t="s">
        <v>53</v>
      </c>
      <c r="B116" s="205">
        <v>59</v>
      </c>
      <c r="C116" s="207">
        <v>59</v>
      </c>
      <c r="D116" s="207">
        <v>171</v>
      </c>
      <c r="E116" s="207">
        <v>0</v>
      </c>
      <c r="F116" s="207">
        <v>0</v>
      </c>
      <c r="G116" s="207">
        <v>75</v>
      </c>
      <c r="H116" s="207">
        <v>148</v>
      </c>
      <c r="I116" s="63">
        <f t="shared" si="34"/>
        <v>82</v>
      </c>
      <c r="J116" s="205">
        <f>122+31</f>
        <v>153</v>
      </c>
      <c r="K116" s="207">
        <v>153</v>
      </c>
      <c r="L116" s="207">
        <v>15</v>
      </c>
      <c r="M116" s="207">
        <f>54+46</f>
        <v>100</v>
      </c>
      <c r="N116" s="63">
        <f>J116+L116-M116</f>
        <v>68</v>
      </c>
      <c r="O116" s="205">
        <f>52+35</f>
        <v>87</v>
      </c>
      <c r="P116" s="207">
        <f>38+35</f>
        <v>73</v>
      </c>
      <c r="Q116" s="207">
        <v>70</v>
      </c>
      <c r="R116" s="63">
        <f t="shared" si="37"/>
        <v>17</v>
      </c>
      <c r="S116" s="205">
        <v>0</v>
      </c>
      <c r="T116" s="207">
        <v>0</v>
      </c>
      <c r="U116" s="207">
        <v>0</v>
      </c>
      <c r="V116" s="63">
        <f>S116-U116</f>
        <v>0</v>
      </c>
      <c r="W116" s="266"/>
      <c r="X116" s="179"/>
      <c r="Y116" s="179"/>
      <c r="Z116" s="179"/>
      <c r="AA116" s="179"/>
      <c r="AB116" s="179"/>
      <c r="AC116" s="179"/>
      <c r="AD116" s="179"/>
      <c r="AE116" s="179"/>
      <c r="AF116" s="179"/>
      <c r="AG116" s="179"/>
      <c r="AH116" s="179"/>
      <c r="AI116" s="179"/>
    </row>
    <row r="117" spans="1:35" s="40" customFormat="1" ht="12.75">
      <c r="A117" s="248"/>
      <c r="B117" s="210"/>
      <c r="C117" s="210"/>
      <c r="D117" s="210"/>
      <c r="E117" s="210"/>
      <c r="F117" s="210"/>
      <c r="G117" s="210"/>
      <c r="H117" s="210"/>
      <c r="I117" s="210"/>
      <c r="J117" s="210"/>
      <c r="K117" s="210"/>
      <c r="L117" s="210"/>
      <c r="M117" s="210"/>
      <c r="N117" s="210"/>
      <c r="O117" s="210"/>
      <c r="P117" s="210"/>
      <c r="Q117" s="210"/>
      <c r="R117" s="210"/>
      <c r="S117" s="210"/>
      <c r="T117" s="210"/>
      <c r="U117" s="210"/>
      <c r="V117" s="210"/>
      <c r="W117" s="267"/>
      <c r="X117" s="179"/>
      <c r="Y117" s="179"/>
      <c r="Z117" s="179"/>
      <c r="AA117" s="179"/>
      <c r="AB117" s="179"/>
      <c r="AC117" s="179"/>
      <c r="AD117" s="179"/>
      <c r="AE117" s="179"/>
      <c r="AF117" s="179"/>
      <c r="AG117" s="179"/>
      <c r="AH117" s="179"/>
      <c r="AI117" s="179"/>
    </row>
    <row r="118" spans="1:34" ht="20.25" customHeight="1" thickBot="1">
      <c r="A118" s="273" t="s">
        <v>201</v>
      </c>
      <c r="B118" s="162"/>
      <c r="C118" s="162"/>
      <c r="D118" s="162"/>
      <c r="E118" s="162"/>
      <c r="F118" s="162"/>
      <c r="G118" s="162"/>
      <c r="H118" s="162"/>
      <c r="I118" s="162"/>
      <c r="J118" s="162"/>
      <c r="K118" s="274"/>
      <c r="L118" s="162"/>
      <c r="M118" s="162"/>
      <c r="N118" s="162"/>
      <c r="O118" s="162"/>
      <c r="P118" s="162"/>
      <c r="Q118" s="162"/>
      <c r="R118" s="162"/>
      <c r="S118" s="162"/>
      <c r="T118" s="162"/>
      <c r="U118" s="162"/>
      <c r="V118" s="162"/>
      <c r="W118" s="16"/>
      <c r="X118" s="42"/>
      <c r="Y118" s="150"/>
      <c r="Z118" s="152"/>
      <c r="AA118" s="150"/>
      <c r="AC118" s="42"/>
      <c r="AH118" s="42"/>
    </row>
    <row r="119" spans="1:34" s="285" customFormat="1" ht="12.75">
      <c r="A119" s="315" t="s">
        <v>176</v>
      </c>
      <c r="B119" s="275"/>
      <c r="C119" s="629">
        <v>394</v>
      </c>
      <c r="D119" s="630"/>
      <c r="E119" s="277"/>
      <c r="F119" s="278"/>
      <c r="G119" s="279"/>
      <c r="H119" s="278"/>
      <c r="I119" s="276"/>
      <c r="J119" s="276"/>
      <c r="K119" s="277"/>
      <c r="L119" s="280"/>
      <c r="M119" s="281"/>
      <c r="N119" s="281"/>
      <c r="O119" s="620"/>
      <c r="P119" s="621"/>
      <c r="Q119" s="282"/>
      <c r="R119" s="282"/>
      <c r="S119" s="210"/>
      <c r="T119" s="210"/>
      <c r="U119" s="282"/>
      <c r="V119" s="283"/>
      <c r="W119" s="284"/>
      <c r="X119" s="17"/>
      <c r="Y119" s="150"/>
      <c r="Z119" s="152"/>
      <c r="AA119" s="150"/>
      <c r="AC119" s="17"/>
      <c r="AH119" s="17"/>
    </row>
    <row r="120" spans="1:34" s="285" customFormat="1" ht="12.75">
      <c r="A120" s="180"/>
      <c r="B120" s="286"/>
      <c r="C120" s="287"/>
      <c r="D120" s="288"/>
      <c r="E120" s="289"/>
      <c r="F120" s="290"/>
      <c r="G120" s="291"/>
      <c r="H120" s="292"/>
      <c r="I120" s="626"/>
      <c r="J120" s="627"/>
      <c r="K120" s="294"/>
      <c r="L120" s="295"/>
      <c r="M120" s="296"/>
      <c r="N120" s="296"/>
      <c r="O120" s="626"/>
      <c r="P120" s="628"/>
      <c r="Q120" s="282"/>
      <c r="R120" s="282"/>
      <c r="S120" s="210"/>
      <c r="T120" s="210"/>
      <c r="U120" s="282"/>
      <c r="V120" s="283"/>
      <c r="W120" s="284"/>
      <c r="X120" s="17"/>
      <c r="Y120" s="150"/>
      <c r="Z120" s="152"/>
      <c r="AA120" s="150"/>
      <c r="AC120" s="17"/>
      <c r="AH120" s="17"/>
    </row>
    <row r="121" spans="1:34" s="285" customFormat="1" ht="12.75">
      <c r="A121" s="313"/>
      <c r="B121" s="314"/>
      <c r="C121" s="292"/>
      <c r="D121" s="287"/>
      <c r="E121" s="297"/>
      <c r="F121" s="298"/>
      <c r="G121" s="299"/>
      <c r="H121" s="299"/>
      <c r="I121" s="287"/>
      <c r="J121" s="287"/>
      <c r="K121" s="294"/>
      <c r="L121" s="295"/>
      <c r="M121" s="296"/>
      <c r="N121" s="296"/>
      <c r="O121" s="293"/>
      <c r="P121" s="300"/>
      <c r="Q121" s="282"/>
      <c r="R121" s="282"/>
      <c r="S121" s="282"/>
      <c r="T121" s="282"/>
      <c r="U121" s="282"/>
      <c r="V121" s="282"/>
      <c r="W121" s="284"/>
      <c r="X121" s="17"/>
      <c r="Y121" s="150"/>
      <c r="Z121" s="152"/>
      <c r="AA121" s="150"/>
      <c r="AC121" s="17"/>
      <c r="AH121" s="17"/>
    </row>
    <row r="122" spans="1:34" s="285" customFormat="1" ht="12.75" customHeight="1">
      <c r="A122" s="141"/>
      <c r="B122" s="292"/>
      <c r="C122" s="292"/>
      <c r="D122" s="287"/>
      <c r="E122" s="289"/>
      <c r="F122" s="292"/>
      <c r="G122" s="291"/>
      <c r="H122" s="292"/>
      <c r="I122" s="287"/>
      <c r="J122" s="287"/>
      <c r="K122" s="301"/>
      <c r="L122" s="302"/>
      <c r="M122" s="302"/>
      <c r="N122" s="302"/>
      <c r="O122" s="302"/>
      <c r="P122" s="303"/>
      <c r="Q122" s="282"/>
      <c r="R122" s="282"/>
      <c r="S122" s="282"/>
      <c r="T122" s="282"/>
      <c r="U122" s="282"/>
      <c r="V122" s="282"/>
      <c r="W122" s="284"/>
      <c r="X122" s="17"/>
      <c r="Y122" s="150"/>
      <c r="Z122" s="152"/>
      <c r="AA122" s="150"/>
      <c r="AC122" s="17"/>
      <c r="AH122" s="17"/>
    </row>
    <row r="123" spans="1:34" s="285" customFormat="1" ht="12.75" customHeight="1" thickBot="1">
      <c r="A123" s="304"/>
      <c r="B123" s="305"/>
      <c r="C123" s="306"/>
      <c r="D123" s="307"/>
      <c r="E123" s="308"/>
      <c r="F123" s="305"/>
      <c r="G123" s="306"/>
      <c r="H123" s="309"/>
      <c r="I123" s="624"/>
      <c r="J123" s="625"/>
      <c r="K123" s="308"/>
      <c r="L123" s="306"/>
      <c r="M123" s="309"/>
      <c r="N123" s="309"/>
      <c r="O123" s="622"/>
      <c r="P123" s="623"/>
      <c r="Q123" s="282"/>
      <c r="R123" s="282"/>
      <c r="S123" s="282"/>
      <c r="T123" s="282"/>
      <c r="U123" s="282"/>
      <c r="V123" s="282"/>
      <c r="W123" s="284"/>
      <c r="X123" s="17"/>
      <c r="Y123" s="150"/>
      <c r="Z123" s="152"/>
      <c r="AA123" s="150"/>
      <c r="AC123" s="17"/>
      <c r="AH123" s="17"/>
    </row>
    <row r="124" spans="1:34" s="285" customFormat="1" ht="12.75" customHeight="1">
      <c r="A124" s="310"/>
      <c r="B124" s="283"/>
      <c r="C124" s="283"/>
      <c r="D124" s="152"/>
      <c r="E124" s="209"/>
      <c r="F124" s="311"/>
      <c r="G124" s="312"/>
      <c r="H124" s="283"/>
      <c r="I124" s="149"/>
      <c r="J124" s="149"/>
      <c r="K124" s="209"/>
      <c r="L124" s="312"/>
      <c r="M124" s="283"/>
      <c r="N124" s="283"/>
      <c r="O124" s="152"/>
      <c r="P124" s="150"/>
      <c r="Q124" s="282"/>
      <c r="R124" s="282"/>
      <c r="S124" s="282"/>
      <c r="T124" s="282"/>
      <c r="U124" s="282"/>
      <c r="V124" s="282"/>
      <c r="W124" s="284"/>
      <c r="X124" s="17"/>
      <c r="Y124" s="150"/>
      <c r="Z124" s="152"/>
      <c r="AA124" s="150"/>
      <c r="AC124" s="17"/>
      <c r="AH124" s="17"/>
    </row>
    <row r="125" spans="1:34" ht="18.75" thickBot="1">
      <c r="A125" s="423" t="s">
        <v>148</v>
      </c>
      <c r="B125" s="423"/>
      <c r="C125" s="423"/>
      <c r="D125" s="423"/>
      <c r="E125" s="423"/>
      <c r="F125" s="423"/>
      <c r="G125" s="423"/>
      <c r="H125" s="423"/>
      <c r="I125" s="423"/>
      <c r="J125" s="423"/>
      <c r="K125" s="423"/>
      <c r="L125" s="423"/>
      <c r="M125" s="423"/>
      <c r="N125" s="423"/>
      <c r="O125" s="423"/>
      <c r="P125" s="423"/>
      <c r="Q125" s="423"/>
      <c r="R125" s="423"/>
      <c r="S125" s="423"/>
      <c r="T125" s="423"/>
      <c r="U125" s="423"/>
      <c r="V125" s="423"/>
      <c r="W125" s="16"/>
      <c r="X125" s="17"/>
      <c r="Y125" s="451"/>
      <c r="Z125" s="452"/>
      <c r="AC125" s="17"/>
      <c r="AH125" s="17"/>
    </row>
    <row r="126" spans="1:34" ht="22.5">
      <c r="A126" s="18" t="s">
        <v>3</v>
      </c>
      <c r="B126" s="139" t="s">
        <v>89</v>
      </c>
      <c r="C126" s="139"/>
      <c r="D126" s="139"/>
      <c r="E126" s="139"/>
      <c r="F126" s="139"/>
      <c r="G126" s="140"/>
      <c r="H126" s="19" t="s">
        <v>32</v>
      </c>
      <c r="I126" s="424" t="s">
        <v>88</v>
      </c>
      <c r="J126" s="425"/>
      <c r="K126" s="425"/>
      <c r="L126" s="425"/>
      <c r="M126" s="425"/>
      <c r="N126" s="425"/>
      <c r="O126" s="425"/>
      <c r="P126" s="425"/>
      <c r="Q126" s="425"/>
      <c r="R126" s="425"/>
      <c r="S126" s="425"/>
      <c r="T126" s="425"/>
      <c r="U126" s="426"/>
      <c r="V126" s="20" t="s">
        <v>32</v>
      </c>
      <c r="W126" s="16"/>
      <c r="X126" s="17"/>
      <c r="Y126" s="451"/>
      <c r="Z126" s="452"/>
      <c r="AC126" s="17"/>
      <c r="AH126" s="17"/>
    </row>
    <row r="127" spans="1:34" ht="13.5" thickBot="1">
      <c r="A127" s="21"/>
      <c r="B127" s="22" t="s">
        <v>64</v>
      </c>
      <c r="C127" s="22"/>
      <c r="D127" s="22"/>
      <c r="E127" s="22"/>
      <c r="F127" s="22"/>
      <c r="G127" s="23"/>
      <c r="H127" s="24" t="s">
        <v>65</v>
      </c>
      <c r="I127" s="427"/>
      <c r="J127" s="428"/>
      <c r="K127" s="428"/>
      <c r="L127" s="428"/>
      <c r="M127" s="428"/>
      <c r="N127" s="428"/>
      <c r="O127" s="428"/>
      <c r="P127" s="428"/>
      <c r="Q127" s="428"/>
      <c r="R127" s="428"/>
      <c r="S127" s="428"/>
      <c r="T127" s="428"/>
      <c r="U127" s="429"/>
      <c r="V127" s="25" t="s">
        <v>66</v>
      </c>
      <c r="W127" s="16"/>
      <c r="X127" s="17"/>
      <c r="Y127" s="451"/>
      <c r="Z127" s="452"/>
      <c r="AC127" s="17"/>
      <c r="AH127" s="17"/>
    </row>
    <row r="128" spans="1:34" s="367" customFormat="1" ht="17.25" customHeight="1" thickBot="1">
      <c r="A128" s="164" t="s">
        <v>248</v>
      </c>
      <c r="B128" s="23"/>
      <c r="C128" s="365"/>
      <c r="D128" s="365"/>
      <c r="E128" s="365"/>
      <c r="F128" s="365"/>
      <c r="G128" s="365"/>
      <c r="H128" s="368">
        <f>H129+H144+H167+H193+H218+H220+H224+H230+H233+H241+H245+H243+H247</f>
        <v>18846</v>
      </c>
      <c r="I128" s="360"/>
      <c r="J128" s="361"/>
      <c r="K128" s="361"/>
      <c r="L128" s="361"/>
      <c r="M128" s="361"/>
      <c r="N128" s="361"/>
      <c r="O128" s="361"/>
      <c r="P128" s="361"/>
      <c r="Q128" s="361"/>
      <c r="R128" s="361"/>
      <c r="S128" s="361"/>
      <c r="T128" s="361"/>
      <c r="U128" s="361"/>
      <c r="V128" s="368">
        <f>V129+V144+V167+V193+V218+V220+V224+V230+V233+V241+V245+V243+V247</f>
        <v>32324</v>
      </c>
      <c r="W128" s="16"/>
      <c r="X128" s="42"/>
      <c r="Y128" s="83"/>
      <c r="Z128" s="366"/>
      <c r="AC128" s="42"/>
      <c r="AH128" s="42"/>
    </row>
    <row r="129" spans="1:34" ht="13.5" thickBot="1">
      <c r="A129" s="26" t="s">
        <v>17</v>
      </c>
      <c r="B129" s="27"/>
      <c r="C129" s="28"/>
      <c r="D129" s="28"/>
      <c r="E129" s="28"/>
      <c r="F129" s="28"/>
      <c r="G129" s="28"/>
      <c r="H129" s="29">
        <f>SUM(H130:H143)</f>
        <v>0</v>
      </c>
      <c r="I129" s="30"/>
      <c r="J129" s="28"/>
      <c r="K129" s="28"/>
      <c r="L129" s="28"/>
      <c r="M129" s="28"/>
      <c r="N129" s="28"/>
      <c r="O129" s="28"/>
      <c r="P129" s="28"/>
      <c r="Q129" s="28"/>
      <c r="R129" s="28"/>
      <c r="S129" s="28"/>
      <c r="T129" s="28"/>
      <c r="U129" s="28"/>
      <c r="V129" s="29">
        <f>SUM(V130:V143)</f>
        <v>852</v>
      </c>
      <c r="W129" s="16"/>
      <c r="X129" s="17"/>
      <c r="Y129" s="611"/>
      <c r="Z129" s="452"/>
      <c r="AC129" s="17"/>
      <c r="AH129" s="17"/>
    </row>
    <row r="130" spans="1:34" ht="12.75">
      <c r="A130" s="141" t="s">
        <v>107</v>
      </c>
      <c r="B130" s="32"/>
      <c r="C130" s="33"/>
      <c r="D130" s="33"/>
      <c r="E130" s="33"/>
      <c r="F130" s="33"/>
      <c r="G130" s="33"/>
      <c r="H130" s="34">
        <v>0</v>
      </c>
      <c r="I130" s="32"/>
      <c r="J130" s="33"/>
      <c r="K130" s="33"/>
      <c r="L130" s="33"/>
      <c r="M130" s="33"/>
      <c r="N130" s="33"/>
      <c r="O130" s="33"/>
      <c r="P130" s="33"/>
      <c r="Q130" s="33"/>
      <c r="R130" s="33"/>
      <c r="S130" s="33"/>
      <c r="T130" s="33"/>
      <c r="U130" s="33"/>
      <c r="V130" s="35">
        <v>0</v>
      </c>
      <c r="W130" s="16"/>
      <c r="X130" s="17"/>
      <c r="Y130" s="611"/>
      <c r="Z130" s="452"/>
      <c r="AC130" s="17"/>
      <c r="AH130" s="17"/>
    </row>
    <row r="131" spans="1:34" ht="12.75">
      <c r="A131" s="141" t="s">
        <v>117</v>
      </c>
      <c r="B131" s="32"/>
      <c r="C131" s="33"/>
      <c r="D131" s="33"/>
      <c r="E131" s="33"/>
      <c r="F131" s="33"/>
      <c r="G131" s="33"/>
      <c r="H131" s="34">
        <v>0</v>
      </c>
      <c r="I131" s="36" t="s">
        <v>172</v>
      </c>
      <c r="J131" s="33"/>
      <c r="K131" s="33"/>
      <c r="L131" s="33"/>
      <c r="M131" s="33"/>
      <c r="N131" s="33"/>
      <c r="O131" s="33"/>
      <c r="P131" s="33"/>
      <c r="Q131" s="33"/>
      <c r="R131" s="33"/>
      <c r="S131" s="33"/>
      <c r="T131" s="33"/>
      <c r="U131" s="33"/>
      <c r="V131" s="35">
        <v>350</v>
      </c>
      <c r="W131" s="16"/>
      <c r="X131" s="17"/>
      <c r="Y131" s="611"/>
      <c r="Z131" s="452"/>
      <c r="AC131" s="17"/>
      <c r="AH131" s="17"/>
    </row>
    <row r="132" spans="1:34" ht="12.75">
      <c r="A132" s="173" t="s">
        <v>45</v>
      </c>
      <c r="B132" s="32"/>
      <c r="C132" s="33"/>
      <c r="D132" s="33"/>
      <c r="E132" s="33"/>
      <c r="F132" s="33"/>
      <c r="G132" s="33"/>
      <c r="H132" s="34">
        <v>0</v>
      </c>
      <c r="I132" s="36"/>
      <c r="J132" s="33"/>
      <c r="K132" s="33"/>
      <c r="L132" s="33"/>
      <c r="M132" s="33"/>
      <c r="N132" s="33"/>
      <c r="O132" s="33"/>
      <c r="P132" s="33"/>
      <c r="Q132" s="33"/>
      <c r="R132" s="33"/>
      <c r="S132" s="33"/>
      <c r="T132" s="33"/>
      <c r="U132" s="33"/>
      <c r="V132" s="35">
        <v>0</v>
      </c>
      <c r="W132" s="16"/>
      <c r="X132" s="17"/>
      <c r="Y132" s="611"/>
      <c r="Z132" s="452"/>
      <c r="AC132" s="17"/>
      <c r="AH132" s="17"/>
    </row>
    <row r="133" spans="1:34" s="40" customFormat="1" ht="12.75">
      <c r="A133" s="141" t="s">
        <v>108</v>
      </c>
      <c r="B133" s="36"/>
      <c r="C133" s="37"/>
      <c r="D133" s="37"/>
      <c r="E133" s="37"/>
      <c r="F133" s="37"/>
      <c r="G133" s="37"/>
      <c r="H133" s="38">
        <v>0</v>
      </c>
      <c r="I133" s="36"/>
      <c r="J133" s="37"/>
      <c r="K133" s="37"/>
      <c r="L133" s="37"/>
      <c r="M133" s="37"/>
      <c r="N133" s="37"/>
      <c r="O133" s="37"/>
      <c r="P133" s="37"/>
      <c r="Q133" s="37"/>
      <c r="R133" s="37"/>
      <c r="S133" s="37"/>
      <c r="T133" s="37"/>
      <c r="U133" s="37"/>
      <c r="V133" s="39">
        <v>0</v>
      </c>
      <c r="X133" s="41"/>
      <c r="Y133" s="611"/>
      <c r="Z133" s="452"/>
      <c r="AC133" s="41"/>
      <c r="AH133" s="41"/>
    </row>
    <row r="134" spans="1:34" ht="12.75">
      <c r="A134" s="141" t="s">
        <v>60</v>
      </c>
      <c r="B134" s="32"/>
      <c r="C134" s="33"/>
      <c r="D134" s="33"/>
      <c r="E134" s="33"/>
      <c r="F134" s="33"/>
      <c r="G134" s="33"/>
      <c r="H134" s="34">
        <v>0</v>
      </c>
      <c r="I134" s="32"/>
      <c r="J134" s="33"/>
      <c r="K134" s="33"/>
      <c r="L134" s="33"/>
      <c r="M134" s="33"/>
      <c r="N134" s="33"/>
      <c r="O134" s="33"/>
      <c r="P134" s="33"/>
      <c r="Q134" s="33"/>
      <c r="R134" s="33"/>
      <c r="S134" s="33"/>
      <c r="T134" s="33"/>
      <c r="U134" s="33"/>
      <c r="V134" s="35">
        <v>0</v>
      </c>
      <c r="W134" s="16"/>
      <c r="X134" s="42"/>
      <c r="Y134" s="611"/>
      <c r="Z134" s="452"/>
      <c r="AC134" s="42"/>
      <c r="AH134" s="42"/>
    </row>
    <row r="135" spans="1:26" ht="12.75">
      <c r="A135" s="141" t="s">
        <v>109</v>
      </c>
      <c r="B135" s="32"/>
      <c r="C135" s="33"/>
      <c r="D135" s="33"/>
      <c r="E135" s="33"/>
      <c r="F135" s="33"/>
      <c r="G135" s="33"/>
      <c r="H135" s="34">
        <v>0</v>
      </c>
      <c r="I135" s="32"/>
      <c r="J135" s="33"/>
      <c r="K135" s="33"/>
      <c r="L135" s="33"/>
      <c r="M135" s="33"/>
      <c r="N135" s="33"/>
      <c r="O135" s="33"/>
      <c r="P135" s="33"/>
      <c r="Q135" s="33"/>
      <c r="R135" s="33"/>
      <c r="S135" s="33"/>
      <c r="T135" s="33"/>
      <c r="U135" s="33"/>
      <c r="V135" s="35">
        <v>0</v>
      </c>
      <c r="W135" s="16" t="s">
        <v>19</v>
      </c>
      <c r="Z135" s="42"/>
    </row>
    <row r="136" spans="1:22" s="40" customFormat="1" ht="12.75">
      <c r="A136" s="141" t="s">
        <v>106</v>
      </c>
      <c r="B136" s="36"/>
      <c r="C136" s="37"/>
      <c r="D136" s="37"/>
      <c r="E136" s="37"/>
      <c r="F136" s="37"/>
      <c r="G136" s="37"/>
      <c r="H136" s="38">
        <v>0</v>
      </c>
      <c r="I136" s="36"/>
      <c r="J136" s="37"/>
      <c r="K136" s="37"/>
      <c r="L136" s="37"/>
      <c r="M136" s="37"/>
      <c r="N136" s="37"/>
      <c r="O136" s="37"/>
      <c r="P136" s="37"/>
      <c r="Q136" s="37"/>
      <c r="R136" s="37"/>
      <c r="S136" s="37"/>
      <c r="T136" s="37"/>
      <c r="U136" s="37"/>
      <c r="V136" s="39">
        <v>0</v>
      </c>
    </row>
    <row r="137" spans="1:22" s="40" customFormat="1" ht="12.75">
      <c r="A137" s="141" t="s">
        <v>114</v>
      </c>
      <c r="B137" s="36"/>
      <c r="C137" s="43"/>
      <c r="D137" s="37"/>
      <c r="E137" s="37"/>
      <c r="F137" s="37"/>
      <c r="G137" s="37"/>
      <c r="H137" s="38">
        <v>0</v>
      </c>
      <c r="I137" s="36" t="s">
        <v>218</v>
      </c>
      <c r="J137" s="37"/>
      <c r="K137" s="37"/>
      <c r="L137" s="37"/>
      <c r="M137" s="37"/>
      <c r="N137" s="37"/>
      <c r="O137" s="44"/>
      <c r="P137" s="44"/>
      <c r="Q137" s="44"/>
      <c r="R137" s="44"/>
      <c r="S137" s="44"/>
      <c r="T137" s="44"/>
      <c r="U137" s="37"/>
      <c r="V137" s="39">
        <v>67</v>
      </c>
    </row>
    <row r="138" spans="1:23" ht="12.75">
      <c r="A138" s="141" t="s">
        <v>115</v>
      </c>
      <c r="B138" s="32"/>
      <c r="C138" s="33"/>
      <c r="D138" s="33"/>
      <c r="E138" s="33"/>
      <c r="F138" s="33"/>
      <c r="G138" s="33"/>
      <c r="H138" s="34">
        <v>0</v>
      </c>
      <c r="I138" s="36" t="s">
        <v>219</v>
      </c>
      <c r="J138" s="33"/>
      <c r="K138" s="33"/>
      <c r="L138" s="33"/>
      <c r="M138" s="33"/>
      <c r="N138" s="33"/>
      <c r="O138" s="33"/>
      <c r="P138" s="33"/>
      <c r="Q138" s="33"/>
      <c r="R138" s="33"/>
      <c r="S138" s="33"/>
      <c r="T138" s="33"/>
      <c r="U138" s="33"/>
      <c r="V138" s="35">
        <v>235</v>
      </c>
      <c r="W138" s="16"/>
    </row>
    <row r="139" spans="1:23" ht="12.75">
      <c r="A139" s="141" t="s">
        <v>171</v>
      </c>
      <c r="B139" s="36"/>
      <c r="C139" s="33"/>
      <c r="D139" s="33"/>
      <c r="E139" s="33"/>
      <c r="F139" s="33"/>
      <c r="G139" s="33"/>
      <c r="H139" s="34">
        <v>0</v>
      </c>
      <c r="J139" s="33"/>
      <c r="K139" s="33"/>
      <c r="L139" s="33"/>
      <c r="M139" s="33"/>
      <c r="N139" s="33"/>
      <c r="O139" s="33"/>
      <c r="P139" s="33"/>
      <c r="Q139" s="33"/>
      <c r="R139" s="33"/>
      <c r="S139" s="33"/>
      <c r="T139" s="33"/>
      <c r="U139" s="33"/>
      <c r="V139" s="35">
        <v>0</v>
      </c>
      <c r="W139" s="16"/>
    </row>
    <row r="140" spans="1:23" ht="12.75">
      <c r="A140" s="141" t="s">
        <v>110</v>
      </c>
      <c r="B140" s="32"/>
      <c r="C140" s="33"/>
      <c r="D140" s="33"/>
      <c r="E140" s="33"/>
      <c r="F140" s="33"/>
      <c r="G140" s="33"/>
      <c r="H140" s="34">
        <v>0</v>
      </c>
      <c r="I140" s="51"/>
      <c r="J140" s="33"/>
      <c r="K140" s="33"/>
      <c r="L140" s="33"/>
      <c r="M140" s="33"/>
      <c r="N140" s="33"/>
      <c r="O140" s="33"/>
      <c r="P140" s="33"/>
      <c r="Q140" s="33"/>
      <c r="R140" s="33"/>
      <c r="S140" s="33"/>
      <c r="T140" s="33"/>
      <c r="U140" s="33"/>
      <c r="V140" s="35">
        <v>0</v>
      </c>
      <c r="W140" s="16"/>
    </row>
    <row r="141" spans="1:23" ht="12.75">
      <c r="A141" s="141" t="s">
        <v>111</v>
      </c>
      <c r="B141" s="32"/>
      <c r="C141" s="33"/>
      <c r="D141" s="33"/>
      <c r="E141" s="33"/>
      <c r="F141" s="33"/>
      <c r="G141" s="33"/>
      <c r="H141" s="34">
        <v>0</v>
      </c>
      <c r="I141" s="32"/>
      <c r="J141" s="33"/>
      <c r="K141" s="33"/>
      <c r="L141" s="33"/>
      <c r="M141" s="33"/>
      <c r="N141" s="33"/>
      <c r="O141" s="33"/>
      <c r="P141" s="33"/>
      <c r="Q141" s="33"/>
      <c r="R141" s="33"/>
      <c r="S141" s="33"/>
      <c r="T141" s="33"/>
      <c r="U141" s="33"/>
      <c r="V141" s="35">
        <v>0</v>
      </c>
      <c r="W141" s="16"/>
    </row>
    <row r="142" spans="1:23" ht="12.75">
      <c r="A142" s="141" t="s">
        <v>112</v>
      </c>
      <c r="B142" s="45"/>
      <c r="C142" s="46"/>
      <c r="D142" s="46"/>
      <c r="E142" s="46"/>
      <c r="F142" s="46"/>
      <c r="G142" s="46"/>
      <c r="H142" s="47">
        <v>0</v>
      </c>
      <c r="I142" s="48"/>
      <c r="J142" s="46"/>
      <c r="K142" s="46"/>
      <c r="L142" s="46"/>
      <c r="M142" s="46"/>
      <c r="N142" s="46"/>
      <c r="O142" s="46"/>
      <c r="P142" s="46"/>
      <c r="Q142" s="46"/>
      <c r="R142" s="46"/>
      <c r="S142" s="46"/>
      <c r="T142" s="46"/>
      <c r="U142" s="46"/>
      <c r="V142" s="49">
        <v>0</v>
      </c>
      <c r="W142" s="16"/>
    </row>
    <row r="143" spans="1:23" ht="13.5" thickBot="1">
      <c r="A143" s="180" t="s">
        <v>113</v>
      </c>
      <c r="B143" s="51"/>
      <c r="C143" s="33"/>
      <c r="D143" s="33"/>
      <c r="E143" s="33"/>
      <c r="F143" s="33"/>
      <c r="G143" s="33"/>
      <c r="H143" s="34">
        <v>0</v>
      </c>
      <c r="I143" s="51" t="s">
        <v>220</v>
      </c>
      <c r="J143" s="33"/>
      <c r="K143" s="33"/>
      <c r="L143" s="33"/>
      <c r="M143" s="33"/>
      <c r="N143" s="33"/>
      <c r="O143" s="33"/>
      <c r="P143" s="33"/>
      <c r="Q143" s="33"/>
      <c r="R143" s="33"/>
      <c r="S143" s="33"/>
      <c r="T143" s="33"/>
      <c r="U143" s="33"/>
      <c r="V143" s="38">
        <v>200</v>
      </c>
      <c r="W143" s="16"/>
    </row>
    <row r="144" spans="1:22" ht="13.5" thickBot="1">
      <c r="A144" s="52" t="s">
        <v>67</v>
      </c>
      <c r="B144" s="27"/>
      <c r="C144" s="28"/>
      <c r="D144" s="28"/>
      <c r="E144" s="28"/>
      <c r="F144" s="28"/>
      <c r="G144" s="28"/>
      <c r="H144" s="29">
        <f>SUM(H145:H162)</f>
        <v>1400</v>
      </c>
      <c r="I144" s="27"/>
      <c r="J144" s="28"/>
      <c r="K144" s="28"/>
      <c r="L144" s="28"/>
      <c r="M144" s="28"/>
      <c r="N144" s="28"/>
      <c r="O144" s="28"/>
      <c r="P144" s="28"/>
      <c r="Q144" s="28"/>
      <c r="R144" s="28"/>
      <c r="S144" s="28"/>
      <c r="T144" s="28"/>
      <c r="U144" s="28"/>
      <c r="V144" s="29">
        <f>SUM(V145:V162)</f>
        <v>2110</v>
      </c>
    </row>
    <row r="145" spans="1:22" s="40" customFormat="1" ht="12.75">
      <c r="A145" s="50" t="s">
        <v>68</v>
      </c>
      <c r="B145" s="403" t="s">
        <v>208</v>
      </c>
      <c r="C145" s="404"/>
      <c r="D145" s="404"/>
      <c r="E145" s="404"/>
      <c r="F145" s="404"/>
      <c r="G145" s="405"/>
      <c r="H145" s="53">
        <v>80</v>
      </c>
      <c r="I145" s="403" t="s">
        <v>221</v>
      </c>
      <c r="J145" s="404"/>
      <c r="K145" s="404"/>
      <c r="L145" s="404"/>
      <c r="M145" s="404"/>
      <c r="N145" s="404"/>
      <c r="O145" s="404"/>
      <c r="P145" s="404"/>
      <c r="Q145" s="404"/>
      <c r="R145" s="404"/>
      <c r="S145" s="404"/>
      <c r="T145" s="404"/>
      <c r="U145" s="405"/>
      <c r="V145" s="54">
        <v>150</v>
      </c>
    </row>
    <row r="146" spans="1:22" s="40" customFormat="1" ht="12.75">
      <c r="A146" s="31" t="s">
        <v>4</v>
      </c>
      <c r="B146" s="36"/>
      <c r="C146" s="37"/>
      <c r="D146" s="37"/>
      <c r="E146" s="37"/>
      <c r="F146" s="37"/>
      <c r="G146" s="37"/>
      <c r="H146" s="38">
        <v>0</v>
      </c>
      <c r="I146" s="36"/>
      <c r="J146" s="37"/>
      <c r="K146" s="37"/>
      <c r="L146" s="37"/>
      <c r="M146" s="37"/>
      <c r="N146" s="37"/>
      <c r="O146" s="37"/>
      <c r="P146" s="37"/>
      <c r="Q146" s="37"/>
      <c r="R146" s="37"/>
      <c r="S146" s="37"/>
      <c r="T146" s="37"/>
      <c r="U146" s="37"/>
      <c r="V146" s="39"/>
    </row>
    <row r="147" spans="1:22" s="40" customFormat="1" ht="36.75" customHeight="1">
      <c r="A147" s="55" t="s">
        <v>98</v>
      </c>
      <c r="B147" s="36"/>
      <c r="C147" s="37"/>
      <c r="D147" s="37"/>
      <c r="E147" s="37"/>
      <c r="F147" s="37"/>
      <c r="G147" s="37"/>
      <c r="H147" s="38">
        <v>0</v>
      </c>
      <c r="I147" s="406" t="s">
        <v>222</v>
      </c>
      <c r="J147" s="407"/>
      <c r="K147" s="407"/>
      <c r="L147" s="407"/>
      <c r="M147" s="407"/>
      <c r="N147" s="407"/>
      <c r="O147" s="407"/>
      <c r="P147" s="407"/>
      <c r="Q147" s="407"/>
      <c r="R147" s="407"/>
      <c r="S147" s="407"/>
      <c r="T147" s="407"/>
      <c r="U147" s="408"/>
      <c r="V147" s="39">
        <v>1030</v>
      </c>
    </row>
    <row r="148" spans="1:22" s="40" customFormat="1" ht="21" customHeight="1">
      <c r="A148" s="31" t="s">
        <v>5</v>
      </c>
      <c r="B148" s="406" t="s">
        <v>209</v>
      </c>
      <c r="C148" s="407"/>
      <c r="D148" s="407"/>
      <c r="E148" s="407"/>
      <c r="F148" s="407"/>
      <c r="G148" s="408"/>
      <c r="H148" s="38">
        <v>100</v>
      </c>
      <c r="I148" s="612" t="s">
        <v>247</v>
      </c>
      <c r="J148" s="643"/>
      <c r="K148" s="643"/>
      <c r="L148" s="643"/>
      <c r="M148" s="643"/>
      <c r="N148" s="643"/>
      <c r="O148" s="643"/>
      <c r="P148" s="643"/>
      <c r="Q148" s="643"/>
      <c r="R148" s="643"/>
      <c r="S148" s="643"/>
      <c r="T148" s="643"/>
      <c r="U148" s="644"/>
      <c r="V148" s="39">
        <v>110</v>
      </c>
    </row>
    <row r="149" spans="1:22" s="40" customFormat="1" ht="12.75">
      <c r="A149" s="31" t="s">
        <v>99</v>
      </c>
      <c r="B149" s="36"/>
      <c r="C149" s="44"/>
      <c r="D149" s="37"/>
      <c r="E149" s="37"/>
      <c r="F149" s="37"/>
      <c r="G149" s="37"/>
      <c r="H149" s="38">
        <v>0</v>
      </c>
      <c r="I149" s="406" t="s">
        <v>232</v>
      </c>
      <c r="J149" s="407"/>
      <c r="K149" s="407"/>
      <c r="L149" s="407"/>
      <c r="M149" s="407"/>
      <c r="N149" s="407"/>
      <c r="O149" s="407"/>
      <c r="P149" s="407"/>
      <c r="Q149" s="407"/>
      <c r="R149" s="407"/>
      <c r="S149" s="407"/>
      <c r="T149" s="407"/>
      <c r="U149" s="408"/>
      <c r="V149" s="39">
        <v>170</v>
      </c>
    </row>
    <row r="150" spans="1:22" s="40" customFormat="1" ht="12.75" customHeight="1">
      <c r="A150" s="447" t="s">
        <v>100</v>
      </c>
      <c r="B150" s="397" t="s">
        <v>210</v>
      </c>
      <c r="C150" s="398"/>
      <c r="D150" s="398"/>
      <c r="E150" s="398"/>
      <c r="F150" s="398"/>
      <c r="G150" s="399"/>
      <c r="H150" s="449">
        <v>63</v>
      </c>
      <c r="I150" s="453" t="s">
        <v>204</v>
      </c>
      <c r="J150" s="454"/>
      <c r="K150" s="454"/>
      <c r="L150" s="454"/>
      <c r="M150" s="454"/>
      <c r="N150" s="454"/>
      <c r="O150" s="454"/>
      <c r="P150" s="454"/>
      <c r="Q150" s="454"/>
      <c r="R150" s="454"/>
      <c r="S150" s="454"/>
      <c r="T150" s="454"/>
      <c r="U150" s="455"/>
      <c r="V150" s="449">
        <v>430</v>
      </c>
    </row>
    <row r="151" spans="1:22" s="40" customFormat="1" ht="10.5" customHeight="1">
      <c r="A151" s="448"/>
      <c r="B151" s="409"/>
      <c r="C151" s="410"/>
      <c r="D151" s="410"/>
      <c r="E151" s="410"/>
      <c r="F151" s="410"/>
      <c r="G151" s="411"/>
      <c r="H151" s="450"/>
      <c r="I151" s="456"/>
      <c r="J151" s="457"/>
      <c r="K151" s="457"/>
      <c r="L151" s="457"/>
      <c r="M151" s="457"/>
      <c r="N151" s="457"/>
      <c r="O151" s="457"/>
      <c r="P151" s="457"/>
      <c r="Q151" s="457"/>
      <c r="R151" s="457"/>
      <c r="S151" s="457"/>
      <c r="T151" s="457"/>
      <c r="U151" s="458"/>
      <c r="V151" s="450"/>
    </row>
    <row r="152" spans="1:22" s="40" customFormat="1" ht="12.75">
      <c r="A152" s="31" t="s">
        <v>6</v>
      </c>
      <c r="B152" s="36"/>
      <c r="C152" s="37"/>
      <c r="D152" s="37"/>
      <c r="E152" s="37"/>
      <c r="F152" s="37"/>
      <c r="G152" s="37"/>
      <c r="H152" s="38">
        <v>0</v>
      </c>
      <c r="I152" s="406" t="s">
        <v>246</v>
      </c>
      <c r="J152" s="407"/>
      <c r="K152" s="407"/>
      <c r="L152" s="407"/>
      <c r="M152" s="407"/>
      <c r="N152" s="407"/>
      <c r="O152" s="407"/>
      <c r="P152" s="407"/>
      <c r="Q152" s="407"/>
      <c r="R152" s="407"/>
      <c r="S152" s="407"/>
      <c r="T152" s="407"/>
      <c r="U152" s="408"/>
      <c r="V152" s="39">
        <v>70</v>
      </c>
    </row>
    <row r="153" spans="1:22" s="40" customFormat="1" ht="12.75">
      <c r="A153" s="57" t="s">
        <v>7</v>
      </c>
      <c r="B153" s="36"/>
      <c r="C153" s="37"/>
      <c r="D153" s="37"/>
      <c r="E153" s="37"/>
      <c r="F153" s="37"/>
      <c r="G153" s="37"/>
      <c r="H153" s="38">
        <v>0</v>
      </c>
      <c r="I153" s="36"/>
      <c r="J153" s="37"/>
      <c r="K153" s="37"/>
      <c r="L153" s="37"/>
      <c r="M153" s="37"/>
      <c r="N153" s="37"/>
      <c r="O153" s="37"/>
      <c r="P153" s="37"/>
      <c r="Q153" s="37"/>
      <c r="R153" s="37"/>
      <c r="S153" s="37"/>
      <c r="T153" s="37"/>
      <c r="U153" s="37"/>
      <c r="V153" s="39">
        <v>0</v>
      </c>
    </row>
    <row r="154" spans="1:22" s="40" customFormat="1" ht="22.5" customHeight="1">
      <c r="A154" s="412" t="s">
        <v>104</v>
      </c>
      <c r="B154" s="397" t="s">
        <v>212</v>
      </c>
      <c r="C154" s="398"/>
      <c r="D154" s="398"/>
      <c r="E154" s="398"/>
      <c r="F154" s="398"/>
      <c r="G154" s="399"/>
      <c r="H154" s="449">
        <v>532</v>
      </c>
      <c r="I154" s="397"/>
      <c r="J154" s="398"/>
      <c r="K154" s="398"/>
      <c r="L154" s="398"/>
      <c r="M154" s="398"/>
      <c r="N154" s="398"/>
      <c r="O154" s="398"/>
      <c r="P154" s="398"/>
      <c r="Q154" s="398"/>
      <c r="R154" s="398"/>
      <c r="S154" s="398"/>
      <c r="T154" s="398"/>
      <c r="U154" s="399"/>
      <c r="V154" s="449">
        <v>0</v>
      </c>
    </row>
    <row r="155" spans="1:22" s="40" customFormat="1" ht="12.75">
      <c r="A155" s="413"/>
      <c r="B155" s="409"/>
      <c r="C155" s="410"/>
      <c r="D155" s="410"/>
      <c r="E155" s="410"/>
      <c r="F155" s="410"/>
      <c r="G155" s="411"/>
      <c r="H155" s="450"/>
      <c r="I155" s="409"/>
      <c r="J155" s="410"/>
      <c r="K155" s="410"/>
      <c r="L155" s="410"/>
      <c r="M155" s="410"/>
      <c r="N155" s="410"/>
      <c r="O155" s="410"/>
      <c r="P155" s="410"/>
      <c r="Q155" s="410"/>
      <c r="R155" s="410"/>
      <c r="S155" s="410"/>
      <c r="T155" s="410"/>
      <c r="U155" s="411"/>
      <c r="V155" s="450"/>
    </row>
    <row r="156" spans="1:22" s="40" customFormat="1" ht="23.25" customHeight="1">
      <c r="A156" s="55" t="s">
        <v>8</v>
      </c>
      <c r="B156" s="397" t="s">
        <v>205</v>
      </c>
      <c r="C156" s="398"/>
      <c r="D156" s="398"/>
      <c r="E156" s="398"/>
      <c r="F156" s="398"/>
      <c r="G156" s="399"/>
      <c r="H156" s="38">
        <v>200</v>
      </c>
      <c r="I156" s="36"/>
      <c r="J156" s="37"/>
      <c r="K156" s="37"/>
      <c r="L156" s="37"/>
      <c r="M156" s="37"/>
      <c r="N156" s="37"/>
      <c r="O156" s="37"/>
      <c r="P156" s="37"/>
      <c r="Q156" s="37"/>
      <c r="R156" s="37"/>
      <c r="S156" s="37"/>
      <c r="T156" s="37"/>
      <c r="U156" s="37"/>
      <c r="V156" s="38">
        <v>0</v>
      </c>
    </row>
    <row r="157" spans="1:22" s="40" customFormat="1" ht="22.5" customHeight="1">
      <c r="A157" s="412" t="s">
        <v>85</v>
      </c>
      <c r="B157" s="397" t="s">
        <v>206</v>
      </c>
      <c r="C157" s="398"/>
      <c r="D157" s="398"/>
      <c r="E157" s="398"/>
      <c r="F157" s="398"/>
      <c r="G157" s="399"/>
      <c r="H157" s="449">
        <v>225</v>
      </c>
      <c r="I157" s="397"/>
      <c r="J157" s="398"/>
      <c r="K157" s="398"/>
      <c r="L157" s="398"/>
      <c r="M157" s="398"/>
      <c r="N157" s="398"/>
      <c r="O157" s="398"/>
      <c r="P157" s="398"/>
      <c r="Q157" s="398"/>
      <c r="R157" s="398"/>
      <c r="S157" s="398"/>
      <c r="T157" s="398"/>
      <c r="U157" s="399"/>
      <c r="V157" s="449">
        <v>0</v>
      </c>
    </row>
    <row r="158" spans="1:22" s="40" customFormat="1" ht="32.25" customHeight="1">
      <c r="A158" s="413"/>
      <c r="B158" s="409"/>
      <c r="C158" s="410"/>
      <c r="D158" s="410"/>
      <c r="E158" s="410"/>
      <c r="F158" s="410"/>
      <c r="G158" s="411"/>
      <c r="H158" s="450"/>
      <c r="I158" s="409"/>
      <c r="J158" s="410"/>
      <c r="K158" s="410"/>
      <c r="L158" s="410"/>
      <c r="M158" s="410"/>
      <c r="N158" s="410"/>
      <c r="O158" s="410"/>
      <c r="P158" s="410"/>
      <c r="Q158" s="410"/>
      <c r="R158" s="410"/>
      <c r="S158" s="410"/>
      <c r="T158" s="410"/>
      <c r="U158" s="411"/>
      <c r="V158" s="450"/>
    </row>
    <row r="159" spans="1:22" s="40" customFormat="1" ht="12.75" customHeight="1">
      <c r="A159" s="412" t="s">
        <v>103</v>
      </c>
      <c r="B159" s="397" t="s">
        <v>207</v>
      </c>
      <c r="C159" s="398"/>
      <c r="D159" s="398"/>
      <c r="E159" s="398"/>
      <c r="F159" s="398"/>
      <c r="G159" s="399"/>
      <c r="H159" s="449">
        <v>150</v>
      </c>
      <c r="I159" s="397"/>
      <c r="J159" s="398"/>
      <c r="K159" s="398"/>
      <c r="L159" s="398"/>
      <c r="M159" s="398"/>
      <c r="N159" s="398"/>
      <c r="O159" s="398"/>
      <c r="P159" s="398"/>
      <c r="Q159" s="398"/>
      <c r="R159" s="398"/>
      <c r="S159" s="398"/>
      <c r="T159" s="398"/>
      <c r="U159" s="399"/>
      <c r="V159" s="449">
        <v>0</v>
      </c>
    </row>
    <row r="160" spans="1:22" s="40" customFormat="1" ht="12.75" customHeight="1">
      <c r="A160" s="413"/>
      <c r="B160" s="409"/>
      <c r="C160" s="410"/>
      <c r="D160" s="410"/>
      <c r="E160" s="410"/>
      <c r="F160" s="410"/>
      <c r="G160" s="411"/>
      <c r="H160" s="450"/>
      <c r="I160" s="409"/>
      <c r="J160" s="410"/>
      <c r="K160" s="410"/>
      <c r="L160" s="410"/>
      <c r="M160" s="410"/>
      <c r="N160" s="410"/>
      <c r="O160" s="410"/>
      <c r="P160" s="410"/>
      <c r="Q160" s="410"/>
      <c r="R160" s="410"/>
      <c r="S160" s="410"/>
      <c r="T160" s="410"/>
      <c r="U160" s="411"/>
      <c r="V160" s="450"/>
    </row>
    <row r="161" spans="1:22" s="40" customFormat="1" ht="19.5" customHeight="1">
      <c r="A161" s="31" t="s">
        <v>34</v>
      </c>
      <c r="B161" s="397" t="s">
        <v>211</v>
      </c>
      <c r="C161" s="398"/>
      <c r="D161" s="398"/>
      <c r="E161" s="398"/>
      <c r="F161" s="398"/>
      <c r="G161" s="399"/>
      <c r="H161" s="38">
        <v>50</v>
      </c>
      <c r="I161" s="36"/>
      <c r="J161" s="37"/>
      <c r="K161" s="37"/>
      <c r="L161" s="37"/>
      <c r="M161" s="37"/>
      <c r="N161" s="37"/>
      <c r="O161" s="37"/>
      <c r="P161" s="37"/>
      <c r="Q161" s="37"/>
      <c r="R161" s="37"/>
      <c r="S161" s="37"/>
      <c r="T161" s="37"/>
      <c r="U161" s="37"/>
      <c r="V161" s="39">
        <v>0</v>
      </c>
    </row>
    <row r="162" spans="1:22" s="40" customFormat="1" ht="13.5" thickBot="1">
      <c r="A162" s="60" t="s">
        <v>35</v>
      </c>
      <c r="B162" s="61"/>
      <c r="C162" s="62"/>
      <c r="D162" s="62"/>
      <c r="E162" s="62"/>
      <c r="F162" s="62"/>
      <c r="G162" s="62"/>
      <c r="H162" s="63">
        <v>0</v>
      </c>
      <c r="I162" s="400" t="s">
        <v>224</v>
      </c>
      <c r="J162" s="401"/>
      <c r="K162" s="401"/>
      <c r="L162" s="401"/>
      <c r="M162" s="401"/>
      <c r="N162" s="401"/>
      <c r="O162" s="401"/>
      <c r="P162" s="401"/>
      <c r="Q162" s="401"/>
      <c r="R162" s="401"/>
      <c r="S162" s="401"/>
      <c r="T162" s="401"/>
      <c r="U162" s="402"/>
      <c r="V162" s="64">
        <v>150</v>
      </c>
    </row>
    <row r="163" ht="12.75">
      <c r="A163" s="65"/>
    </row>
    <row r="164" spans="1:24" ht="18.75" thickBot="1">
      <c r="A164" s="423" t="s">
        <v>148</v>
      </c>
      <c r="B164" s="423"/>
      <c r="C164" s="423"/>
      <c r="D164" s="423"/>
      <c r="E164" s="423"/>
      <c r="F164" s="423"/>
      <c r="G164" s="423"/>
      <c r="H164" s="423"/>
      <c r="I164" s="423"/>
      <c r="J164" s="423"/>
      <c r="K164" s="423"/>
      <c r="L164" s="423"/>
      <c r="M164" s="423"/>
      <c r="N164" s="423"/>
      <c r="O164" s="423"/>
      <c r="P164" s="423"/>
      <c r="Q164" s="423"/>
      <c r="R164" s="423"/>
      <c r="S164" s="423"/>
      <c r="T164" s="423"/>
      <c r="U164" s="423"/>
      <c r="V164" s="423"/>
      <c r="X164" s="66"/>
    </row>
    <row r="165" spans="1:34" ht="22.5">
      <c r="A165" s="18" t="s">
        <v>3</v>
      </c>
      <c r="B165" s="139" t="s">
        <v>89</v>
      </c>
      <c r="C165" s="139"/>
      <c r="D165" s="139"/>
      <c r="E165" s="139"/>
      <c r="F165" s="139"/>
      <c r="G165" s="140"/>
      <c r="H165" s="19" t="s">
        <v>32</v>
      </c>
      <c r="I165" s="424" t="s">
        <v>88</v>
      </c>
      <c r="J165" s="425"/>
      <c r="K165" s="425"/>
      <c r="L165" s="425"/>
      <c r="M165" s="425"/>
      <c r="N165" s="425"/>
      <c r="O165" s="425"/>
      <c r="P165" s="425"/>
      <c r="Q165" s="425"/>
      <c r="R165" s="425"/>
      <c r="S165" s="425"/>
      <c r="T165" s="425"/>
      <c r="U165" s="426"/>
      <c r="V165" s="20" t="s">
        <v>32</v>
      </c>
      <c r="W165" s="16"/>
      <c r="X165" s="17"/>
      <c r="Y165" s="451"/>
      <c r="Z165" s="452"/>
      <c r="AC165" s="17"/>
      <c r="AH165" s="17"/>
    </row>
    <row r="166" spans="1:34" ht="13.5" thickBot="1">
      <c r="A166" s="21"/>
      <c r="B166" s="22" t="s">
        <v>64</v>
      </c>
      <c r="C166" s="22"/>
      <c r="D166" s="22"/>
      <c r="E166" s="22"/>
      <c r="F166" s="22"/>
      <c r="G166" s="23"/>
      <c r="H166" s="24" t="s">
        <v>65</v>
      </c>
      <c r="I166" s="427"/>
      <c r="J166" s="428"/>
      <c r="K166" s="428"/>
      <c r="L166" s="428"/>
      <c r="M166" s="428"/>
      <c r="N166" s="428"/>
      <c r="O166" s="428"/>
      <c r="P166" s="428"/>
      <c r="Q166" s="428"/>
      <c r="R166" s="428"/>
      <c r="S166" s="428"/>
      <c r="T166" s="428"/>
      <c r="U166" s="429"/>
      <c r="V166" s="25" t="s">
        <v>66</v>
      </c>
      <c r="W166" s="16"/>
      <c r="X166" s="17"/>
      <c r="Y166" s="451"/>
      <c r="Z166" s="452"/>
      <c r="AC166" s="17"/>
      <c r="AH166" s="17"/>
    </row>
    <row r="167" spans="1:23" ht="13.5" thickBot="1">
      <c r="A167" s="26" t="s">
        <v>69</v>
      </c>
      <c r="B167" s="27"/>
      <c r="C167" s="28"/>
      <c r="D167" s="28"/>
      <c r="E167" s="28"/>
      <c r="F167" s="28"/>
      <c r="G167" s="28"/>
      <c r="H167" s="29">
        <f>SUM(H168:H192)</f>
        <v>7474</v>
      </c>
      <c r="I167" s="27"/>
      <c r="J167" s="28"/>
      <c r="K167" s="28"/>
      <c r="L167" s="28"/>
      <c r="M167" s="28"/>
      <c r="N167" s="28"/>
      <c r="O167" s="28"/>
      <c r="P167" s="28"/>
      <c r="Q167" s="28"/>
      <c r="R167" s="28"/>
      <c r="S167" s="28"/>
      <c r="T167" s="28"/>
      <c r="U167" s="28"/>
      <c r="V167" s="29">
        <f>SUM(I168+V168+V170+V171+V172+V173+V175+V177+V178+V179+V180+V181+V182+V183+V184+V185+V186+V187+V188+V189+V190+V191+V192)</f>
        <v>8146</v>
      </c>
      <c r="W167" s="67"/>
    </row>
    <row r="168" spans="1:22" s="40" customFormat="1" ht="12.75">
      <c r="A168" s="440" t="s">
        <v>118</v>
      </c>
      <c r="B168" s="441" t="s">
        <v>177</v>
      </c>
      <c r="C168" s="442"/>
      <c r="D168" s="442"/>
      <c r="E168" s="442"/>
      <c r="F168" s="442"/>
      <c r="G168" s="443"/>
      <c r="H168" s="479">
        <f>370+45</f>
        <v>415</v>
      </c>
      <c r="I168" s="475"/>
      <c r="J168" s="475"/>
      <c r="K168" s="475"/>
      <c r="L168" s="475"/>
      <c r="M168" s="475"/>
      <c r="N168" s="475"/>
      <c r="O168" s="475"/>
      <c r="P168" s="475"/>
      <c r="Q168" s="475"/>
      <c r="R168" s="475"/>
      <c r="S168" s="475"/>
      <c r="T168" s="475"/>
      <c r="U168" s="476"/>
      <c r="V168" s="473">
        <v>0</v>
      </c>
    </row>
    <row r="169" spans="1:22" s="40" customFormat="1" ht="7.5" customHeight="1">
      <c r="A169" s="413"/>
      <c r="B169" s="409"/>
      <c r="C169" s="410"/>
      <c r="D169" s="410"/>
      <c r="E169" s="410"/>
      <c r="F169" s="410"/>
      <c r="G169" s="411"/>
      <c r="H169" s="415"/>
      <c r="I169" s="477"/>
      <c r="J169" s="477"/>
      <c r="K169" s="477"/>
      <c r="L169" s="477"/>
      <c r="M169" s="477"/>
      <c r="N169" s="477"/>
      <c r="O169" s="477"/>
      <c r="P169" s="477"/>
      <c r="Q169" s="477"/>
      <c r="R169" s="477"/>
      <c r="S169" s="477"/>
      <c r="T169" s="477"/>
      <c r="U169" s="478"/>
      <c r="V169" s="474"/>
    </row>
    <row r="170" spans="1:22" s="40" customFormat="1" ht="22.5" customHeight="1">
      <c r="A170" s="50" t="s">
        <v>119</v>
      </c>
      <c r="B170" s="68" t="s">
        <v>198</v>
      </c>
      <c r="C170" s="69"/>
      <c r="D170" s="69"/>
      <c r="E170" s="69"/>
      <c r="F170" s="69"/>
      <c r="G170" s="69"/>
      <c r="H170" s="70">
        <v>200</v>
      </c>
      <c r="I170" s="68" t="s">
        <v>238</v>
      </c>
      <c r="J170" s="69"/>
      <c r="K170" s="69"/>
      <c r="L170" s="69"/>
      <c r="M170" s="69"/>
      <c r="N170" s="69"/>
      <c r="O170" s="69"/>
      <c r="P170" s="69"/>
      <c r="Q170" s="69"/>
      <c r="R170" s="69"/>
      <c r="S170" s="69"/>
      <c r="T170" s="69"/>
      <c r="U170" s="69"/>
      <c r="V170" s="59">
        <f>800</f>
        <v>800</v>
      </c>
    </row>
    <row r="171" spans="1:22" s="40" customFormat="1" ht="12.75">
      <c r="A171" s="31" t="s">
        <v>120</v>
      </c>
      <c r="B171" s="36"/>
      <c r="C171" s="43"/>
      <c r="D171" s="37"/>
      <c r="E171" s="37"/>
      <c r="F171" s="37"/>
      <c r="G171" s="37"/>
      <c r="H171" s="38">
        <v>0</v>
      </c>
      <c r="I171" s="36" t="s">
        <v>179</v>
      </c>
      <c r="J171" s="37"/>
      <c r="K171" s="37"/>
      <c r="L171" s="37"/>
      <c r="M171" s="37"/>
      <c r="N171" s="37"/>
      <c r="O171" s="37"/>
      <c r="P171" s="37"/>
      <c r="Q171" s="37"/>
      <c r="R171" s="37"/>
      <c r="S171" s="37"/>
      <c r="T171" s="37"/>
      <c r="U171" s="37"/>
      <c r="V171" s="39">
        <v>60</v>
      </c>
    </row>
    <row r="172" spans="1:22" s="40" customFormat="1" ht="23.25" customHeight="1">
      <c r="A172" s="57" t="s">
        <v>121</v>
      </c>
      <c r="B172" s="36"/>
      <c r="C172" s="37"/>
      <c r="D172" s="37"/>
      <c r="E172" s="37"/>
      <c r="F172" s="37"/>
      <c r="G172" s="37"/>
      <c r="H172" s="38">
        <v>0</v>
      </c>
      <c r="I172" s="36" t="s">
        <v>180</v>
      </c>
      <c r="J172" s="37"/>
      <c r="K172" s="37"/>
      <c r="L172" s="37"/>
      <c r="M172" s="37"/>
      <c r="N172" s="37"/>
      <c r="O172" s="37"/>
      <c r="P172" s="37"/>
      <c r="Q172" s="37"/>
      <c r="R172" s="37"/>
      <c r="S172" s="37"/>
      <c r="T172" s="37"/>
      <c r="U172" s="37"/>
      <c r="V172" s="58">
        <v>200</v>
      </c>
    </row>
    <row r="173" spans="1:26" s="40" customFormat="1" ht="12.75" customHeight="1">
      <c r="A173" s="470" t="s">
        <v>122</v>
      </c>
      <c r="B173" s="397" t="s">
        <v>182</v>
      </c>
      <c r="C173" s="459"/>
      <c r="D173" s="459"/>
      <c r="E173" s="459"/>
      <c r="F173" s="459"/>
      <c r="G173" s="460"/>
      <c r="H173" s="449">
        <v>484</v>
      </c>
      <c r="I173" s="397" t="s">
        <v>181</v>
      </c>
      <c r="J173" s="459"/>
      <c r="K173" s="459"/>
      <c r="L173" s="459"/>
      <c r="M173" s="459"/>
      <c r="N173" s="459"/>
      <c r="O173" s="459"/>
      <c r="P173" s="459"/>
      <c r="Q173" s="459"/>
      <c r="R173" s="459"/>
      <c r="S173" s="459"/>
      <c r="T173" s="459"/>
      <c r="U173" s="459"/>
      <c r="V173" s="472">
        <v>1304</v>
      </c>
      <c r="W173" s="8"/>
      <c r="X173" s="8"/>
      <c r="Y173" s="8"/>
      <c r="Z173" s="8"/>
    </row>
    <row r="174" spans="1:26" s="40" customFormat="1" ht="33.75" customHeight="1">
      <c r="A174" s="413"/>
      <c r="B174" s="481"/>
      <c r="C174" s="482"/>
      <c r="D174" s="482"/>
      <c r="E174" s="482"/>
      <c r="F174" s="482"/>
      <c r="G174" s="483"/>
      <c r="H174" s="450"/>
      <c r="I174" s="481"/>
      <c r="J174" s="482"/>
      <c r="K174" s="482"/>
      <c r="L174" s="482"/>
      <c r="M174" s="482"/>
      <c r="N174" s="482"/>
      <c r="O174" s="482"/>
      <c r="P174" s="482"/>
      <c r="Q174" s="482"/>
      <c r="R174" s="482"/>
      <c r="S174" s="482"/>
      <c r="T174" s="482"/>
      <c r="U174" s="482"/>
      <c r="V174" s="415"/>
      <c r="W174" s="8"/>
      <c r="X174" s="8"/>
      <c r="Y174" s="8"/>
      <c r="Z174" s="8"/>
    </row>
    <row r="175" spans="1:22" s="40" customFormat="1" ht="12.75">
      <c r="A175" s="447" t="s">
        <v>123</v>
      </c>
      <c r="B175" s="397" t="s">
        <v>183</v>
      </c>
      <c r="C175" s="398"/>
      <c r="D175" s="398"/>
      <c r="E175" s="398"/>
      <c r="F175" s="398"/>
      <c r="G175" s="399"/>
      <c r="H175" s="414">
        <v>750</v>
      </c>
      <c r="I175" s="606" t="s">
        <v>249</v>
      </c>
      <c r="J175" s="614"/>
      <c r="K175" s="614"/>
      <c r="L175" s="614"/>
      <c r="M175" s="614"/>
      <c r="N175" s="614"/>
      <c r="O175" s="614"/>
      <c r="P175" s="614"/>
      <c r="Q175" s="614"/>
      <c r="R175" s="614"/>
      <c r="S175" s="614"/>
      <c r="T175" s="614"/>
      <c r="U175" s="615"/>
      <c r="V175" s="449">
        <f>147+137</f>
        <v>284</v>
      </c>
    </row>
    <row r="176" spans="1:22" s="40" customFormat="1" ht="42" customHeight="1">
      <c r="A176" s="480"/>
      <c r="B176" s="409"/>
      <c r="C176" s="410"/>
      <c r="D176" s="410"/>
      <c r="E176" s="410"/>
      <c r="F176" s="410"/>
      <c r="G176" s="411"/>
      <c r="H176" s="422"/>
      <c r="I176" s="616"/>
      <c r="J176" s="579"/>
      <c r="K176" s="579"/>
      <c r="L176" s="579"/>
      <c r="M176" s="579"/>
      <c r="N176" s="579"/>
      <c r="O176" s="579"/>
      <c r="P176" s="579"/>
      <c r="Q176" s="579"/>
      <c r="R176" s="579"/>
      <c r="S176" s="579"/>
      <c r="T176" s="579"/>
      <c r="U176" s="580"/>
      <c r="V176" s="474"/>
    </row>
    <row r="177" spans="1:22" s="40" customFormat="1" ht="12.75">
      <c r="A177" s="31" t="s">
        <v>124</v>
      </c>
      <c r="B177" s="36"/>
      <c r="C177" s="37"/>
      <c r="D177" s="37"/>
      <c r="E177" s="37"/>
      <c r="F177" s="37"/>
      <c r="G177" s="37"/>
      <c r="H177" s="38">
        <v>0</v>
      </c>
      <c r="I177" s="36"/>
      <c r="J177" s="37"/>
      <c r="K177" s="37"/>
      <c r="L177" s="37"/>
      <c r="M177" s="37"/>
      <c r="N177" s="37"/>
      <c r="O177" s="37"/>
      <c r="P177" s="37"/>
      <c r="Q177" s="37"/>
      <c r="R177" s="37"/>
      <c r="S177" s="37"/>
      <c r="T177" s="37"/>
      <c r="U177" s="37"/>
      <c r="V177" s="39">
        <v>0</v>
      </c>
    </row>
    <row r="178" spans="1:22" ht="33.75" customHeight="1">
      <c r="A178" s="56" t="s">
        <v>56</v>
      </c>
      <c r="B178" s="397" t="s">
        <v>251</v>
      </c>
      <c r="C178" s="398"/>
      <c r="D178" s="398"/>
      <c r="E178" s="398"/>
      <c r="F178" s="398"/>
      <c r="G178" s="399"/>
      <c r="H178" s="72">
        <f>343-33</f>
        <v>310</v>
      </c>
      <c r="I178" s="68"/>
      <c r="J178" s="73"/>
      <c r="K178" s="73"/>
      <c r="L178" s="73"/>
      <c r="M178" s="73"/>
      <c r="N178" s="73"/>
      <c r="O178" s="73"/>
      <c r="P178" s="73"/>
      <c r="Q178" s="73"/>
      <c r="R178" s="73"/>
      <c r="S178" s="73"/>
      <c r="T178" s="73"/>
      <c r="U178" s="73"/>
      <c r="V178" s="74">
        <v>0</v>
      </c>
    </row>
    <row r="179" spans="1:47" ht="12.75" customHeight="1">
      <c r="A179" s="412" t="s">
        <v>86</v>
      </c>
      <c r="B179" s="416" t="s">
        <v>244</v>
      </c>
      <c r="C179" s="417"/>
      <c r="D179" s="417"/>
      <c r="E179" s="417"/>
      <c r="F179" s="417"/>
      <c r="G179" s="418"/>
      <c r="H179" s="430">
        <v>700</v>
      </c>
      <c r="I179" s="547" t="s">
        <v>243</v>
      </c>
      <c r="J179" s="593"/>
      <c r="K179" s="593"/>
      <c r="L179" s="593"/>
      <c r="M179" s="593"/>
      <c r="N179" s="593"/>
      <c r="O179" s="593"/>
      <c r="P179" s="593"/>
      <c r="Q179" s="593"/>
      <c r="R179" s="593"/>
      <c r="S179" s="593"/>
      <c r="T179" s="593"/>
      <c r="U179" s="593"/>
      <c r="V179" s="430">
        <f>2530-700</f>
        <v>1830</v>
      </c>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row>
    <row r="180" spans="1:22" ht="29.25" customHeight="1">
      <c r="A180" s="413"/>
      <c r="B180" s="419"/>
      <c r="C180" s="420"/>
      <c r="D180" s="420"/>
      <c r="E180" s="420"/>
      <c r="F180" s="420"/>
      <c r="G180" s="421"/>
      <c r="H180" s="431"/>
      <c r="I180" s="640"/>
      <c r="J180" s="641"/>
      <c r="K180" s="641"/>
      <c r="L180" s="641"/>
      <c r="M180" s="641"/>
      <c r="N180" s="641"/>
      <c r="O180" s="641"/>
      <c r="P180" s="641"/>
      <c r="Q180" s="641"/>
      <c r="R180" s="641"/>
      <c r="S180" s="641"/>
      <c r="T180" s="641"/>
      <c r="U180" s="641"/>
      <c r="V180" s="431"/>
    </row>
    <row r="181" spans="1:22" s="40" customFormat="1" ht="12.75" customHeight="1">
      <c r="A181" s="412" t="s">
        <v>130</v>
      </c>
      <c r="B181" s="397"/>
      <c r="C181" s="398"/>
      <c r="D181" s="398"/>
      <c r="E181" s="398"/>
      <c r="F181" s="398"/>
      <c r="G181" s="399"/>
      <c r="H181" s="414">
        <v>0</v>
      </c>
      <c r="I181" s="606" t="s">
        <v>185</v>
      </c>
      <c r="J181" s="607"/>
      <c r="K181" s="607"/>
      <c r="L181" s="607"/>
      <c r="M181" s="607"/>
      <c r="N181" s="607"/>
      <c r="O181" s="607"/>
      <c r="P181" s="607"/>
      <c r="Q181" s="607"/>
      <c r="R181" s="607"/>
      <c r="S181" s="607"/>
      <c r="T181" s="607"/>
      <c r="U181" s="608"/>
      <c r="V181" s="449">
        <v>130</v>
      </c>
    </row>
    <row r="182" spans="1:22" s="40" customFormat="1" ht="12.75" customHeight="1">
      <c r="A182" s="413"/>
      <c r="B182" s="409"/>
      <c r="C182" s="410"/>
      <c r="D182" s="410"/>
      <c r="E182" s="410"/>
      <c r="F182" s="410"/>
      <c r="G182" s="411"/>
      <c r="H182" s="415"/>
      <c r="I182" s="578"/>
      <c r="J182" s="609"/>
      <c r="K182" s="609"/>
      <c r="L182" s="609"/>
      <c r="M182" s="609"/>
      <c r="N182" s="609"/>
      <c r="O182" s="609"/>
      <c r="P182" s="609"/>
      <c r="Q182" s="609"/>
      <c r="R182" s="609"/>
      <c r="S182" s="609"/>
      <c r="T182" s="609"/>
      <c r="U182" s="610"/>
      <c r="V182" s="474"/>
    </row>
    <row r="183" spans="1:22" s="40" customFormat="1" ht="88.5" customHeight="1">
      <c r="A183" s="57" t="s">
        <v>70</v>
      </c>
      <c r="B183" s="603" t="s">
        <v>241</v>
      </c>
      <c r="C183" s="604"/>
      <c r="D183" s="604"/>
      <c r="E183" s="604"/>
      <c r="F183" s="604"/>
      <c r="G183" s="604"/>
      <c r="H183" s="153">
        <f>1505-50</f>
        <v>1455</v>
      </c>
      <c r="I183" s="631" t="s">
        <v>234</v>
      </c>
      <c r="J183" s="631"/>
      <c r="K183" s="631"/>
      <c r="L183" s="631"/>
      <c r="M183" s="631"/>
      <c r="N183" s="631"/>
      <c r="O183" s="631"/>
      <c r="P183" s="631"/>
      <c r="Q183" s="631"/>
      <c r="R183" s="631"/>
      <c r="S183" s="631"/>
      <c r="T183" s="631"/>
      <c r="U183" s="632"/>
      <c r="V183" s="39">
        <v>350</v>
      </c>
    </row>
    <row r="184" spans="1:22" s="40" customFormat="1" ht="12.75">
      <c r="A184" s="412" t="s">
        <v>125</v>
      </c>
      <c r="B184" s="397" t="s">
        <v>245</v>
      </c>
      <c r="C184" s="459"/>
      <c r="D184" s="459"/>
      <c r="E184" s="459"/>
      <c r="F184" s="459"/>
      <c r="G184" s="460"/>
      <c r="H184" s="449">
        <f>200+60+30+120+250+400+220+300+280+200+200</f>
        <v>2260</v>
      </c>
      <c r="I184" s="397" t="s">
        <v>240</v>
      </c>
      <c r="J184" s="398"/>
      <c r="K184" s="398"/>
      <c r="L184" s="398"/>
      <c r="M184" s="398"/>
      <c r="N184" s="398"/>
      <c r="O184" s="398"/>
      <c r="P184" s="398"/>
      <c r="Q184" s="398"/>
      <c r="R184" s="398"/>
      <c r="S184" s="398"/>
      <c r="T184" s="398"/>
      <c r="U184" s="399"/>
      <c r="V184" s="449">
        <v>363</v>
      </c>
    </row>
    <row r="185" spans="1:22" s="40" customFormat="1" ht="109.5" customHeight="1">
      <c r="A185" s="413"/>
      <c r="B185" s="481"/>
      <c r="C185" s="482"/>
      <c r="D185" s="482"/>
      <c r="E185" s="482"/>
      <c r="F185" s="482"/>
      <c r="G185" s="483"/>
      <c r="H185" s="450"/>
      <c r="I185" s="409"/>
      <c r="J185" s="410"/>
      <c r="K185" s="410"/>
      <c r="L185" s="410"/>
      <c r="M185" s="410"/>
      <c r="N185" s="410"/>
      <c r="O185" s="410"/>
      <c r="P185" s="410"/>
      <c r="Q185" s="410"/>
      <c r="R185" s="410"/>
      <c r="S185" s="410"/>
      <c r="T185" s="410"/>
      <c r="U185" s="411"/>
      <c r="V185" s="474"/>
    </row>
    <row r="186" spans="1:22" ht="12.75" customHeight="1">
      <c r="A186" s="412" t="s">
        <v>126</v>
      </c>
      <c r="B186" s="432"/>
      <c r="C186" s="433"/>
      <c r="D186" s="433"/>
      <c r="E186" s="433"/>
      <c r="F186" s="433"/>
      <c r="G186" s="434"/>
      <c r="H186" s="590">
        <v>0</v>
      </c>
      <c r="I186" s="397" t="s">
        <v>188</v>
      </c>
      <c r="J186" s="398"/>
      <c r="K186" s="398"/>
      <c r="L186" s="398"/>
      <c r="M186" s="398"/>
      <c r="N186" s="398"/>
      <c r="O186" s="398"/>
      <c r="P186" s="398"/>
      <c r="Q186" s="398"/>
      <c r="R186" s="398"/>
      <c r="S186" s="398"/>
      <c r="T186" s="398"/>
      <c r="U186" s="399"/>
      <c r="V186" s="590">
        <v>620</v>
      </c>
    </row>
    <row r="187" spans="1:22" ht="12" customHeight="1">
      <c r="A187" s="413"/>
      <c r="B187" s="435"/>
      <c r="C187" s="436"/>
      <c r="D187" s="436"/>
      <c r="E187" s="436"/>
      <c r="F187" s="436"/>
      <c r="G187" s="437"/>
      <c r="H187" s="605"/>
      <c r="I187" s="409"/>
      <c r="J187" s="410"/>
      <c r="K187" s="410"/>
      <c r="L187" s="410"/>
      <c r="M187" s="410"/>
      <c r="N187" s="410"/>
      <c r="O187" s="410"/>
      <c r="P187" s="410"/>
      <c r="Q187" s="410"/>
      <c r="R187" s="410"/>
      <c r="S187" s="410"/>
      <c r="T187" s="410"/>
      <c r="U187" s="411"/>
      <c r="V187" s="474"/>
    </row>
    <row r="188" spans="1:22" s="40" customFormat="1" ht="18.75" customHeight="1">
      <c r="A188" s="50" t="s">
        <v>127</v>
      </c>
      <c r="B188" s="578" t="s">
        <v>189</v>
      </c>
      <c r="C188" s="579"/>
      <c r="D188" s="579"/>
      <c r="E188" s="579"/>
      <c r="F188" s="579"/>
      <c r="G188" s="580"/>
      <c r="H188" s="70">
        <v>700</v>
      </c>
      <c r="I188" s="68" t="s">
        <v>190</v>
      </c>
      <c r="J188" s="69"/>
      <c r="K188" s="69"/>
      <c r="L188" s="69"/>
      <c r="M188" s="69"/>
      <c r="N188" s="69"/>
      <c r="O188" s="69"/>
      <c r="P188" s="69"/>
      <c r="Q188" s="69"/>
      <c r="R188" s="69"/>
      <c r="S188" s="69"/>
      <c r="T188" s="69"/>
      <c r="U188" s="69"/>
      <c r="V188" s="59">
        <v>835</v>
      </c>
    </row>
    <row r="189" spans="1:22" s="40" customFormat="1" ht="31.5" customHeight="1">
      <c r="A189" s="31" t="s">
        <v>131</v>
      </c>
      <c r="B189" s="406" t="s">
        <v>239</v>
      </c>
      <c r="C189" s="407"/>
      <c r="D189" s="407"/>
      <c r="E189" s="407"/>
      <c r="F189" s="407"/>
      <c r="G189" s="408"/>
      <c r="H189" s="38">
        <v>200</v>
      </c>
      <c r="I189" s="555" t="s">
        <v>235</v>
      </c>
      <c r="J189" s="601"/>
      <c r="K189" s="601"/>
      <c r="L189" s="601"/>
      <c r="M189" s="601"/>
      <c r="N189" s="601"/>
      <c r="O189" s="601"/>
      <c r="P189" s="601"/>
      <c r="Q189" s="601"/>
      <c r="R189" s="601"/>
      <c r="S189" s="601"/>
      <c r="T189" s="601"/>
      <c r="U189" s="602"/>
      <c r="V189" s="39">
        <v>720</v>
      </c>
    </row>
    <row r="190" spans="1:22" s="40" customFormat="1" ht="12.75" customHeight="1">
      <c r="A190" s="412" t="s">
        <v>128</v>
      </c>
      <c r="B190" s="432"/>
      <c r="C190" s="433"/>
      <c r="D190" s="433"/>
      <c r="E190" s="433"/>
      <c r="F190" s="433"/>
      <c r="G190" s="434"/>
      <c r="H190" s="590">
        <v>0</v>
      </c>
      <c r="I190" s="633" t="s">
        <v>242</v>
      </c>
      <c r="J190" s="634"/>
      <c r="K190" s="634"/>
      <c r="L190" s="634"/>
      <c r="M190" s="634"/>
      <c r="N190" s="634"/>
      <c r="O190" s="634"/>
      <c r="P190" s="634"/>
      <c r="Q190" s="634"/>
      <c r="R190" s="634"/>
      <c r="S190" s="634"/>
      <c r="T190" s="634"/>
      <c r="U190" s="635"/>
      <c r="V190" s="512">
        <v>650</v>
      </c>
    </row>
    <row r="191" spans="1:22" s="40" customFormat="1" ht="12.75" customHeight="1">
      <c r="A191" s="413"/>
      <c r="B191" s="435"/>
      <c r="C191" s="436"/>
      <c r="D191" s="436"/>
      <c r="E191" s="436"/>
      <c r="F191" s="436"/>
      <c r="G191" s="437"/>
      <c r="H191" s="605"/>
      <c r="I191" s="636"/>
      <c r="J191" s="637"/>
      <c r="K191" s="637"/>
      <c r="L191" s="637"/>
      <c r="M191" s="637"/>
      <c r="N191" s="637"/>
      <c r="O191" s="637"/>
      <c r="P191" s="637"/>
      <c r="Q191" s="637"/>
      <c r="R191" s="637"/>
      <c r="S191" s="637"/>
      <c r="T191" s="637"/>
      <c r="U191" s="638"/>
      <c r="V191" s="639"/>
    </row>
    <row r="192" spans="1:22" s="40" customFormat="1" ht="23.25" thickBot="1">
      <c r="A192" s="31" t="s">
        <v>129</v>
      </c>
      <c r="B192" s="36"/>
      <c r="C192" s="37"/>
      <c r="D192" s="37"/>
      <c r="E192" s="37"/>
      <c r="F192" s="37"/>
      <c r="G192" s="37"/>
      <c r="H192" s="38">
        <v>0</v>
      </c>
      <c r="I192" s="36"/>
      <c r="J192" s="37"/>
      <c r="K192" s="37"/>
      <c r="L192" s="37"/>
      <c r="M192" s="37"/>
      <c r="N192" s="37"/>
      <c r="O192" s="37"/>
      <c r="P192" s="37"/>
      <c r="Q192" s="37"/>
      <c r="R192" s="37"/>
      <c r="S192" s="37"/>
      <c r="T192" s="37"/>
      <c r="U192" s="37"/>
      <c r="V192" s="39">
        <v>0</v>
      </c>
    </row>
    <row r="193" spans="1:22" ht="13.5" thickBot="1">
      <c r="A193" s="26" t="s">
        <v>71</v>
      </c>
      <c r="B193" s="27"/>
      <c r="C193" s="28"/>
      <c r="D193" s="28"/>
      <c r="E193" s="28"/>
      <c r="F193" s="28"/>
      <c r="G193" s="28"/>
      <c r="H193" s="29">
        <f>SUM(H194:H217)</f>
        <v>6018</v>
      </c>
      <c r="I193" s="30"/>
      <c r="J193" s="28"/>
      <c r="K193" s="28"/>
      <c r="L193" s="28"/>
      <c r="M193" s="28"/>
      <c r="N193" s="28"/>
      <c r="O193" s="28"/>
      <c r="P193" s="28"/>
      <c r="Q193" s="28"/>
      <c r="R193" s="28"/>
      <c r="S193" s="28"/>
      <c r="T193" s="28"/>
      <c r="U193" s="28"/>
      <c r="V193" s="29">
        <f>SUM(V194:V217)</f>
        <v>11086</v>
      </c>
    </row>
    <row r="194" spans="1:22" s="40" customFormat="1" ht="12.75" customHeight="1">
      <c r="A194" s="440" t="s">
        <v>72</v>
      </c>
      <c r="B194" s="441" t="s">
        <v>155</v>
      </c>
      <c r="C194" s="442"/>
      <c r="D194" s="442"/>
      <c r="E194" s="442"/>
      <c r="F194" s="442"/>
      <c r="G194" s="443"/>
      <c r="H194" s="591">
        <v>100</v>
      </c>
      <c r="I194" s="441" t="s">
        <v>160</v>
      </c>
      <c r="J194" s="442"/>
      <c r="K194" s="442"/>
      <c r="L194" s="442"/>
      <c r="M194" s="442"/>
      <c r="N194" s="442"/>
      <c r="O194" s="442"/>
      <c r="P194" s="442"/>
      <c r="Q194" s="442"/>
      <c r="R194" s="442"/>
      <c r="S194" s="442"/>
      <c r="T194" s="442"/>
      <c r="U194" s="443"/>
      <c r="V194" s="586">
        <v>660</v>
      </c>
    </row>
    <row r="195" spans="1:22" s="40" customFormat="1" ht="19.5" customHeight="1">
      <c r="A195" s="413"/>
      <c r="B195" s="444"/>
      <c r="C195" s="445"/>
      <c r="D195" s="445"/>
      <c r="E195" s="445"/>
      <c r="F195" s="445"/>
      <c r="G195" s="446"/>
      <c r="H195" s="592"/>
      <c r="I195" s="409"/>
      <c r="J195" s="410"/>
      <c r="K195" s="410"/>
      <c r="L195" s="410"/>
      <c r="M195" s="410"/>
      <c r="N195" s="410"/>
      <c r="O195" s="410"/>
      <c r="P195" s="410"/>
      <c r="Q195" s="410"/>
      <c r="R195" s="410"/>
      <c r="S195" s="410"/>
      <c r="T195" s="410"/>
      <c r="U195" s="411"/>
      <c r="V195" s="587"/>
    </row>
    <row r="196" spans="1:22" s="40" customFormat="1" ht="21" customHeight="1">
      <c r="A196" s="141" t="s">
        <v>87</v>
      </c>
      <c r="B196" s="406" t="s">
        <v>202</v>
      </c>
      <c r="C196" s="407"/>
      <c r="D196" s="407"/>
      <c r="E196" s="407"/>
      <c r="F196" s="407"/>
      <c r="G196" s="408"/>
      <c r="H196" s="70">
        <v>550</v>
      </c>
      <c r="I196" s="555" t="s">
        <v>156</v>
      </c>
      <c r="J196" s="588"/>
      <c r="K196" s="588"/>
      <c r="L196" s="588"/>
      <c r="M196" s="588"/>
      <c r="N196" s="588"/>
      <c r="O196" s="588"/>
      <c r="P196" s="588"/>
      <c r="Q196" s="588"/>
      <c r="R196" s="588"/>
      <c r="S196" s="588"/>
      <c r="T196" s="588"/>
      <c r="U196" s="589"/>
      <c r="V196" s="59">
        <f>340+250</f>
        <v>590</v>
      </c>
    </row>
    <row r="197" spans="1:22" s="40" customFormat="1" ht="12.75" customHeight="1">
      <c r="A197" s="412" t="s">
        <v>97</v>
      </c>
      <c r="B197" s="397" t="s">
        <v>157</v>
      </c>
      <c r="C197" s="459"/>
      <c r="D197" s="459"/>
      <c r="E197" s="459"/>
      <c r="F197" s="459"/>
      <c r="G197" s="460"/>
      <c r="H197" s="467">
        <f>220+100+500+100+150</f>
        <v>1070</v>
      </c>
      <c r="I197" s="547" t="s">
        <v>226</v>
      </c>
      <c r="J197" s="593"/>
      <c r="K197" s="593"/>
      <c r="L197" s="593"/>
      <c r="M197" s="593"/>
      <c r="N197" s="593"/>
      <c r="O197" s="593"/>
      <c r="P197" s="593"/>
      <c r="Q197" s="593"/>
      <c r="R197" s="593"/>
      <c r="S197" s="593"/>
      <c r="T197" s="593"/>
      <c r="U197" s="594"/>
      <c r="V197" s="467">
        <f>380+100</f>
        <v>480</v>
      </c>
    </row>
    <row r="198" spans="1:22" s="40" customFormat="1" ht="12.75" customHeight="1">
      <c r="A198" s="470"/>
      <c r="B198" s="461"/>
      <c r="C198" s="462"/>
      <c r="D198" s="462"/>
      <c r="E198" s="462"/>
      <c r="F198" s="462"/>
      <c r="G198" s="463"/>
      <c r="H198" s="468"/>
      <c r="I198" s="595"/>
      <c r="J198" s="596"/>
      <c r="K198" s="596"/>
      <c r="L198" s="596"/>
      <c r="M198" s="596"/>
      <c r="N198" s="596"/>
      <c r="O198" s="596"/>
      <c r="P198" s="596"/>
      <c r="Q198" s="596"/>
      <c r="R198" s="596"/>
      <c r="S198" s="596"/>
      <c r="T198" s="596"/>
      <c r="U198" s="597"/>
      <c r="V198" s="468"/>
    </row>
    <row r="199" spans="1:22" s="40" customFormat="1" ht="32.25" customHeight="1" thickBot="1">
      <c r="A199" s="471"/>
      <c r="B199" s="464"/>
      <c r="C199" s="465"/>
      <c r="D199" s="465"/>
      <c r="E199" s="465"/>
      <c r="F199" s="465"/>
      <c r="G199" s="466"/>
      <c r="H199" s="469"/>
      <c r="I199" s="598"/>
      <c r="J199" s="599"/>
      <c r="K199" s="599"/>
      <c r="L199" s="599"/>
      <c r="M199" s="599"/>
      <c r="N199" s="599"/>
      <c r="O199" s="599"/>
      <c r="P199" s="599"/>
      <c r="Q199" s="599"/>
      <c r="R199" s="599"/>
      <c r="S199" s="599"/>
      <c r="T199" s="599"/>
      <c r="U199" s="600"/>
      <c r="V199" s="469"/>
    </row>
    <row r="200" spans="1:22" s="86" customFormat="1" ht="6.75" customHeight="1">
      <c r="A200" s="81"/>
      <c r="B200" s="82"/>
      <c r="C200" s="79"/>
      <c r="D200" s="79"/>
      <c r="E200" s="79"/>
      <c r="F200" s="79"/>
      <c r="G200" s="79"/>
      <c r="H200" s="83"/>
      <c r="I200" s="84"/>
      <c r="J200" s="79"/>
      <c r="K200" s="79"/>
      <c r="L200" s="79"/>
      <c r="M200" s="79"/>
      <c r="N200" s="79"/>
      <c r="O200" s="79"/>
      <c r="P200" s="79"/>
      <c r="Q200" s="79"/>
      <c r="R200" s="79"/>
      <c r="S200" s="79"/>
      <c r="T200" s="79"/>
      <c r="U200" s="79"/>
      <c r="V200" s="85"/>
    </row>
    <row r="201" spans="1:22" ht="23.25" customHeight="1" thickBot="1">
      <c r="A201" s="423" t="s">
        <v>148</v>
      </c>
      <c r="B201" s="423"/>
      <c r="C201" s="423"/>
      <c r="D201" s="423"/>
      <c r="E201" s="423"/>
      <c r="F201" s="423"/>
      <c r="G201" s="423"/>
      <c r="H201" s="423"/>
      <c r="I201" s="423"/>
      <c r="J201" s="423"/>
      <c r="K201" s="423"/>
      <c r="L201" s="423"/>
      <c r="M201" s="423"/>
      <c r="N201" s="423"/>
      <c r="O201" s="423"/>
      <c r="P201" s="423"/>
      <c r="Q201" s="423"/>
      <c r="R201" s="423"/>
      <c r="S201" s="423"/>
      <c r="T201" s="423"/>
      <c r="U201" s="423"/>
      <c r="V201" s="423"/>
    </row>
    <row r="202" spans="1:34" ht="22.5">
      <c r="A202" s="18" t="s">
        <v>3</v>
      </c>
      <c r="B202" s="139" t="s">
        <v>89</v>
      </c>
      <c r="C202" s="139"/>
      <c r="D202" s="139"/>
      <c r="E202" s="139"/>
      <c r="F202" s="139"/>
      <c r="G202" s="140"/>
      <c r="H202" s="19" t="s">
        <v>32</v>
      </c>
      <c r="I202" s="424" t="s">
        <v>88</v>
      </c>
      <c r="J202" s="425"/>
      <c r="K202" s="425"/>
      <c r="L202" s="425"/>
      <c r="M202" s="425"/>
      <c r="N202" s="425"/>
      <c r="O202" s="425"/>
      <c r="P202" s="425"/>
      <c r="Q202" s="425"/>
      <c r="R202" s="425"/>
      <c r="S202" s="425"/>
      <c r="T202" s="425"/>
      <c r="U202" s="426"/>
      <c r="V202" s="20" t="s">
        <v>32</v>
      </c>
      <c r="W202" s="16"/>
      <c r="X202" s="17"/>
      <c r="Y202" s="451"/>
      <c r="Z202" s="452"/>
      <c r="AC202" s="17"/>
      <c r="AH202" s="17"/>
    </row>
    <row r="203" spans="1:34" ht="13.5" thickBot="1">
      <c r="A203" s="21"/>
      <c r="B203" s="22" t="s">
        <v>64</v>
      </c>
      <c r="C203" s="22"/>
      <c r="D203" s="22"/>
      <c r="E203" s="22"/>
      <c r="F203" s="22"/>
      <c r="G203" s="23"/>
      <c r="H203" s="24" t="s">
        <v>65</v>
      </c>
      <c r="I203" s="427"/>
      <c r="J203" s="428"/>
      <c r="K203" s="428"/>
      <c r="L203" s="428"/>
      <c r="M203" s="428"/>
      <c r="N203" s="428"/>
      <c r="O203" s="428"/>
      <c r="P203" s="428"/>
      <c r="Q203" s="428"/>
      <c r="R203" s="428"/>
      <c r="S203" s="428"/>
      <c r="T203" s="428"/>
      <c r="U203" s="429"/>
      <c r="V203" s="25" t="s">
        <v>66</v>
      </c>
      <c r="W203" s="16"/>
      <c r="X203" s="17"/>
      <c r="Y203" s="451"/>
      <c r="Z203" s="452"/>
      <c r="AC203" s="17"/>
      <c r="AH203" s="17"/>
    </row>
    <row r="204" spans="1:22" ht="24.75" customHeight="1">
      <c r="A204" s="87" t="s">
        <v>37</v>
      </c>
      <c r="B204" s="403" t="s">
        <v>158</v>
      </c>
      <c r="C204" s="404"/>
      <c r="D204" s="404"/>
      <c r="E204" s="404"/>
      <c r="F204" s="404"/>
      <c r="G204" s="405"/>
      <c r="H204" s="54">
        <f>100+110</f>
        <v>210</v>
      </c>
      <c r="I204" s="575" t="s">
        <v>159</v>
      </c>
      <c r="J204" s="576"/>
      <c r="K204" s="576"/>
      <c r="L204" s="576"/>
      <c r="M204" s="576"/>
      <c r="N204" s="576"/>
      <c r="O204" s="576"/>
      <c r="P204" s="576"/>
      <c r="Q204" s="576"/>
      <c r="R204" s="576"/>
      <c r="S204" s="576"/>
      <c r="T204" s="576"/>
      <c r="U204" s="577"/>
      <c r="V204" s="88">
        <v>300</v>
      </c>
    </row>
    <row r="205" spans="1:22" s="40" customFormat="1" ht="12.75" customHeight="1">
      <c r="A205" s="141" t="s">
        <v>91</v>
      </c>
      <c r="B205" s="578"/>
      <c r="C205" s="579"/>
      <c r="D205" s="579"/>
      <c r="E205" s="579"/>
      <c r="F205" s="579"/>
      <c r="G205" s="580"/>
      <c r="H205" s="70">
        <v>0</v>
      </c>
      <c r="I205" s="583" t="s">
        <v>170</v>
      </c>
      <c r="J205" s="584"/>
      <c r="K205" s="584"/>
      <c r="L205" s="584"/>
      <c r="M205" s="584"/>
      <c r="N205" s="584"/>
      <c r="O205" s="584"/>
      <c r="P205" s="584"/>
      <c r="Q205" s="584"/>
      <c r="R205" s="584"/>
      <c r="S205" s="584"/>
      <c r="T205" s="584"/>
      <c r="U205" s="585"/>
      <c r="V205" s="147">
        <f>100+400</f>
        <v>500</v>
      </c>
    </row>
    <row r="206" spans="1:22" s="40" customFormat="1" ht="37.5" customHeight="1">
      <c r="A206" s="141" t="s">
        <v>92</v>
      </c>
      <c r="B206" s="406"/>
      <c r="C206" s="438"/>
      <c r="D206" s="438"/>
      <c r="E206" s="438"/>
      <c r="F206" s="438"/>
      <c r="G206" s="439"/>
      <c r="H206" s="38">
        <v>0</v>
      </c>
      <c r="I206" s="36"/>
      <c r="J206" s="37"/>
      <c r="K206" s="37"/>
      <c r="L206" s="37"/>
      <c r="M206" s="37"/>
      <c r="N206" s="37"/>
      <c r="O206" s="37"/>
      <c r="P206" s="37"/>
      <c r="Q206" s="37"/>
      <c r="R206" s="37"/>
      <c r="S206" s="37"/>
      <c r="T206" s="37"/>
      <c r="U206" s="37"/>
      <c r="V206" s="39">
        <v>0</v>
      </c>
    </row>
    <row r="207" spans="1:22" s="92" customFormat="1" ht="24.75" customHeight="1">
      <c r="A207" s="89" t="s">
        <v>38</v>
      </c>
      <c r="B207" s="509" t="s">
        <v>161</v>
      </c>
      <c r="C207" s="581"/>
      <c r="D207" s="581"/>
      <c r="E207" s="581"/>
      <c r="F207" s="581"/>
      <c r="G207" s="582"/>
      <c r="H207" s="90">
        <v>846</v>
      </c>
      <c r="I207" s="509"/>
      <c r="J207" s="510"/>
      <c r="K207" s="510"/>
      <c r="L207" s="510"/>
      <c r="M207" s="510"/>
      <c r="N207" s="510"/>
      <c r="O207" s="510"/>
      <c r="P207" s="510"/>
      <c r="Q207" s="510"/>
      <c r="R207" s="510"/>
      <c r="S207" s="510"/>
      <c r="T207" s="510"/>
      <c r="U207" s="511"/>
      <c r="V207" s="91">
        <v>0</v>
      </c>
    </row>
    <row r="208" spans="1:22" s="40" customFormat="1" ht="12.75" customHeight="1">
      <c r="A208" s="31" t="s">
        <v>39</v>
      </c>
      <c r="B208" s="36"/>
      <c r="C208" s="37"/>
      <c r="D208" s="37"/>
      <c r="E208" s="37"/>
      <c r="F208" s="37"/>
      <c r="G208" s="37"/>
      <c r="H208" s="38">
        <v>0</v>
      </c>
      <c r="I208" s="36" t="s">
        <v>162</v>
      </c>
      <c r="J208" s="37"/>
      <c r="K208" s="37"/>
      <c r="L208" s="37"/>
      <c r="M208" s="37"/>
      <c r="N208" s="37"/>
      <c r="O208" s="37"/>
      <c r="P208" s="37"/>
      <c r="Q208" s="37"/>
      <c r="R208" s="37"/>
      <c r="S208" s="37"/>
      <c r="T208" s="37"/>
      <c r="U208" s="37"/>
      <c r="V208" s="39">
        <f>480+320</f>
        <v>800</v>
      </c>
    </row>
    <row r="209" spans="1:22" s="40" customFormat="1" ht="65.25" customHeight="1">
      <c r="A209" s="31" t="s">
        <v>40</v>
      </c>
      <c r="B209" s="406" t="s">
        <v>163</v>
      </c>
      <c r="C209" s="438"/>
      <c r="D209" s="438"/>
      <c r="E209" s="438"/>
      <c r="F209" s="438"/>
      <c r="G209" s="439"/>
      <c r="H209" s="38">
        <f>100+150+150+100+600+600</f>
        <v>1700</v>
      </c>
      <c r="I209" s="406" t="s">
        <v>233</v>
      </c>
      <c r="J209" s="601"/>
      <c r="K209" s="601"/>
      <c r="L209" s="601"/>
      <c r="M209" s="601"/>
      <c r="N209" s="601"/>
      <c r="O209" s="601"/>
      <c r="P209" s="601"/>
      <c r="Q209" s="601"/>
      <c r="R209" s="601"/>
      <c r="S209" s="601"/>
      <c r="T209" s="601"/>
      <c r="U209" s="602"/>
      <c r="V209" s="39">
        <f>350+250</f>
        <v>600</v>
      </c>
    </row>
    <row r="210" spans="1:22" s="40" customFormat="1" ht="24" customHeight="1">
      <c r="A210" s="31" t="s">
        <v>93</v>
      </c>
      <c r="B210" s="406" t="s">
        <v>164</v>
      </c>
      <c r="C210" s="407"/>
      <c r="D210" s="407"/>
      <c r="E210" s="407"/>
      <c r="F210" s="407"/>
      <c r="G210" s="408"/>
      <c r="H210" s="38">
        <f>250+350</f>
        <v>600</v>
      </c>
      <c r="I210" s="32"/>
      <c r="J210" s="37"/>
      <c r="K210" s="37"/>
      <c r="L210" s="37"/>
      <c r="M210" s="37"/>
      <c r="N210" s="37"/>
      <c r="O210" s="37"/>
      <c r="P210" s="37"/>
      <c r="Q210" s="37"/>
      <c r="R210" s="37"/>
      <c r="S210" s="37"/>
      <c r="T210" s="37"/>
      <c r="U210" s="37"/>
      <c r="V210" s="39">
        <v>0</v>
      </c>
    </row>
    <row r="211" spans="1:22" s="40" customFormat="1" ht="22.5" customHeight="1">
      <c r="A211" s="148" t="s">
        <v>41</v>
      </c>
      <c r="B211" s="509" t="s">
        <v>250</v>
      </c>
      <c r="C211" s="510"/>
      <c r="D211" s="510"/>
      <c r="E211" s="510"/>
      <c r="F211" s="510"/>
      <c r="G211" s="511"/>
      <c r="H211" s="90">
        <v>202</v>
      </c>
      <c r="I211" s="36"/>
      <c r="J211" s="37"/>
      <c r="K211" s="37"/>
      <c r="L211" s="37"/>
      <c r="M211" s="37"/>
      <c r="N211" s="37"/>
      <c r="O211" s="37"/>
      <c r="P211" s="37"/>
      <c r="Q211" s="37"/>
      <c r="R211" s="37"/>
      <c r="S211" s="37"/>
      <c r="T211" s="37"/>
      <c r="U211" s="37"/>
      <c r="V211" s="39">
        <v>0</v>
      </c>
    </row>
    <row r="212" spans="1:22" s="40" customFormat="1" ht="33.75" customHeight="1">
      <c r="A212" s="55" t="s">
        <v>73</v>
      </c>
      <c r="B212" s="36"/>
      <c r="C212" s="37"/>
      <c r="D212" s="37"/>
      <c r="E212" s="37"/>
      <c r="F212" s="37"/>
      <c r="G212" s="37"/>
      <c r="H212" s="38">
        <v>0</v>
      </c>
      <c r="I212" s="555" t="s">
        <v>228</v>
      </c>
      <c r="J212" s="556"/>
      <c r="K212" s="556"/>
      <c r="L212" s="556"/>
      <c r="M212" s="556"/>
      <c r="N212" s="556"/>
      <c r="O212" s="556"/>
      <c r="P212" s="556"/>
      <c r="Q212" s="556"/>
      <c r="R212" s="556"/>
      <c r="S212" s="556"/>
      <c r="T212" s="556"/>
      <c r="U212" s="557"/>
      <c r="V212" s="39">
        <f>400+3461+50+100</f>
        <v>4011</v>
      </c>
    </row>
    <row r="213" spans="1:22" s="40" customFormat="1" ht="12.75" customHeight="1">
      <c r="A213" s="55" t="s">
        <v>42</v>
      </c>
      <c r="B213" s="36"/>
      <c r="C213" s="37"/>
      <c r="D213" s="37"/>
      <c r="E213" s="37"/>
      <c r="F213" s="37"/>
      <c r="G213" s="37"/>
      <c r="H213" s="38">
        <v>0</v>
      </c>
      <c r="I213" s="572" t="s">
        <v>166</v>
      </c>
      <c r="J213" s="573"/>
      <c r="K213" s="573"/>
      <c r="L213" s="573"/>
      <c r="M213" s="573"/>
      <c r="N213" s="573"/>
      <c r="O213" s="573"/>
      <c r="P213" s="573"/>
      <c r="Q213" s="573"/>
      <c r="R213" s="573"/>
      <c r="S213" s="573"/>
      <c r="T213" s="573"/>
      <c r="U213" s="574"/>
      <c r="V213" s="39">
        <f>235+75</f>
        <v>310</v>
      </c>
    </row>
    <row r="214" spans="1:22" s="40" customFormat="1" ht="12.75" customHeight="1">
      <c r="A214" s="412" t="s">
        <v>43</v>
      </c>
      <c r="B214" s="397"/>
      <c r="C214" s="459"/>
      <c r="D214" s="459"/>
      <c r="E214" s="459"/>
      <c r="F214" s="459"/>
      <c r="G214" s="460"/>
      <c r="H214" s="449">
        <v>0</v>
      </c>
      <c r="I214" s="561" t="s">
        <v>229</v>
      </c>
      <c r="J214" s="562"/>
      <c r="K214" s="562"/>
      <c r="L214" s="562"/>
      <c r="M214" s="562"/>
      <c r="N214" s="562"/>
      <c r="O214" s="562"/>
      <c r="P214" s="562"/>
      <c r="Q214" s="562"/>
      <c r="R214" s="562"/>
      <c r="S214" s="562"/>
      <c r="T214" s="562"/>
      <c r="U214" s="563"/>
      <c r="V214" s="449">
        <f>100+200+80+380</f>
        <v>760</v>
      </c>
    </row>
    <row r="215" spans="1:22" s="40" customFormat="1" ht="12.75" customHeight="1">
      <c r="A215" s="413"/>
      <c r="B215" s="481"/>
      <c r="C215" s="482"/>
      <c r="D215" s="482"/>
      <c r="E215" s="482"/>
      <c r="F215" s="482"/>
      <c r="G215" s="483"/>
      <c r="H215" s="450"/>
      <c r="I215" s="564"/>
      <c r="J215" s="565"/>
      <c r="K215" s="565"/>
      <c r="L215" s="565"/>
      <c r="M215" s="565"/>
      <c r="N215" s="565"/>
      <c r="O215" s="565"/>
      <c r="P215" s="565"/>
      <c r="Q215" s="565"/>
      <c r="R215" s="565"/>
      <c r="S215" s="565"/>
      <c r="T215" s="565"/>
      <c r="U215" s="566"/>
      <c r="V215" s="450"/>
    </row>
    <row r="216" spans="1:22" s="40" customFormat="1" ht="36.75" customHeight="1">
      <c r="A216" s="142" t="s">
        <v>95</v>
      </c>
      <c r="B216" s="406" t="s">
        <v>167</v>
      </c>
      <c r="C216" s="438"/>
      <c r="D216" s="438"/>
      <c r="E216" s="438"/>
      <c r="F216" s="438"/>
      <c r="G216" s="439"/>
      <c r="H216" s="38">
        <f>200+100+200+240</f>
        <v>740</v>
      </c>
      <c r="I216" s="406" t="s">
        <v>168</v>
      </c>
      <c r="J216" s="438"/>
      <c r="K216" s="438"/>
      <c r="L216" s="438"/>
      <c r="M216" s="438"/>
      <c r="N216" s="438"/>
      <c r="O216" s="438"/>
      <c r="P216" s="438"/>
      <c r="Q216" s="438"/>
      <c r="R216" s="438"/>
      <c r="S216" s="438"/>
      <c r="T216" s="438"/>
      <c r="U216" s="439"/>
      <c r="V216" s="39">
        <f>900+150+250+315</f>
        <v>1615</v>
      </c>
    </row>
    <row r="217" spans="1:22" s="40" customFormat="1" ht="21" customHeight="1" thickBot="1">
      <c r="A217" s="187" t="s">
        <v>96</v>
      </c>
      <c r="B217" s="567"/>
      <c r="C217" s="568"/>
      <c r="D217" s="568"/>
      <c r="E217" s="568"/>
      <c r="F217" s="568"/>
      <c r="G217" s="569"/>
      <c r="H217" s="38">
        <v>0</v>
      </c>
      <c r="I217" s="400" t="s">
        <v>169</v>
      </c>
      <c r="J217" s="570"/>
      <c r="K217" s="570"/>
      <c r="L217" s="570"/>
      <c r="M217" s="570"/>
      <c r="N217" s="570"/>
      <c r="O217" s="570"/>
      <c r="P217" s="570"/>
      <c r="Q217" s="570"/>
      <c r="R217" s="570"/>
      <c r="S217" s="570"/>
      <c r="T217" s="570"/>
      <c r="U217" s="571"/>
      <c r="V217" s="39">
        <f>130+135+135+60</f>
        <v>460</v>
      </c>
    </row>
    <row r="218" spans="1:22" s="40" customFormat="1" ht="12.75" customHeight="1" thickBot="1">
      <c r="A218" s="26" t="s">
        <v>44</v>
      </c>
      <c r="B218" s="93"/>
      <c r="C218" s="94"/>
      <c r="D218" s="94"/>
      <c r="E218" s="94"/>
      <c r="F218" s="94"/>
      <c r="G218" s="94"/>
      <c r="H218" s="29">
        <f>SUM(H219)</f>
        <v>0</v>
      </c>
      <c r="I218" s="93"/>
      <c r="J218" s="94"/>
      <c r="K218" s="94"/>
      <c r="L218" s="94"/>
      <c r="M218" s="94"/>
      <c r="N218" s="94"/>
      <c r="O218" s="94"/>
      <c r="P218" s="94"/>
      <c r="Q218" s="94"/>
      <c r="R218" s="94"/>
      <c r="S218" s="94"/>
      <c r="T218" s="94"/>
      <c r="U218" s="95"/>
      <c r="V218" s="29">
        <f>SUM(V219)</f>
        <v>210</v>
      </c>
    </row>
    <row r="219" spans="1:22" s="40" customFormat="1" ht="23.25" customHeight="1" thickBot="1">
      <c r="A219" s="96" t="s">
        <v>134</v>
      </c>
      <c r="B219" s="97"/>
      <c r="C219" s="98"/>
      <c r="D219" s="98"/>
      <c r="E219" s="98"/>
      <c r="F219" s="98"/>
      <c r="G219" s="98"/>
      <c r="H219" s="99">
        <v>0</v>
      </c>
      <c r="I219" s="100" t="s">
        <v>173</v>
      </c>
      <c r="J219" s="98"/>
      <c r="K219" s="98"/>
      <c r="L219" s="98"/>
      <c r="M219" s="98"/>
      <c r="N219" s="98"/>
      <c r="O219" s="98"/>
      <c r="P219" s="98"/>
      <c r="Q219" s="98"/>
      <c r="R219" s="98"/>
      <c r="S219" s="98"/>
      <c r="T219" s="98"/>
      <c r="U219" s="98"/>
      <c r="V219" s="99">
        <v>210</v>
      </c>
    </row>
    <row r="220" spans="1:22" ht="12.75" customHeight="1" thickBot="1">
      <c r="A220" s="101" t="s">
        <v>22</v>
      </c>
      <c r="B220" s="97"/>
      <c r="C220" s="98"/>
      <c r="D220" s="98"/>
      <c r="E220" s="98"/>
      <c r="F220" s="98"/>
      <c r="G220" s="98"/>
      <c r="H220" s="102">
        <f>SUM(H221+H223)</f>
        <v>2500</v>
      </c>
      <c r="I220" s="97"/>
      <c r="J220" s="98"/>
      <c r="K220" s="98"/>
      <c r="L220" s="98"/>
      <c r="M220" s="98"/>
      <c r="N220" s="98"/>
      <c r="O220" s="98"/>
      <c r="P220" s="98"/>
      <c r="Q220" s="98"/>
      <c r="R220" s="98"/>
      <c r="S220" s="98"/>
      <c r="T220" s="98"/>
      <c r="U220" s="98"/>
      <c r="V220" s="102">
        <f>SUM(V221)</f>
        <v>9180</v>
      </c>
    </row>
    <row r="221" spans="1:22" ht="12.75" customHeight="1">
      <c r="A221" s="516" t="s">
        <v>74</v>
      </c>
      <c r="B221" s="529" t="s">
        <v>236</v>
      </c>
      <c r="C221" s="530"/>
      <c r="D221" s="530"/>
      <c r="E221" s="530"/>
      <c r="F221" s="530"/>
      <c r="G221" s="531"/>
      <c r="H221" s="558">
        <v>2500</v>
      </c>
      <c r="I221" s="519" t="s">
        <v>237</v>
      </c>
      <c r="J221" s="520"/>
      <c r="K221" s="520"/>
      <c r="L221" s="520"/>
      <c r="M221" s="520"/>
      <c r="N221" s="520"/>
      <c r="O221" s="520"/>
      <c r="P221" s="520"/>
      <c r="Q221" s="520"/>
      <c r="R221" s="520"/>
      <c r="S221" s="520"/>
      <c r="T221" s="520"/>
      <c r="U221" s="521"/>
      <c r="V221" s="514">
        <v>9180</v>
      </c>
    </row>
    <row r="222" spans="1:22" ht="12.75" customHeight="1" hidden="1">
      <c r="A222" s="517"/>
      <c r="B222" s="532"/>
      <c r="C222" s="533"/>
      <c r="D222" s="533"/>
      <c r="E222" s="533"/>
      <c r="F222" s="533"/>
      <c r="G222" s="534"/>
      <c r="H222" s="559"/>
      <c r="I222" s="522"/>
      <c r="J222" s="523"/>
      <c r="K222" s="523"/>
      <c r="L222" s="523"/>
      <c r="M222" s="523"/>
      <c r="N222" s="523"/>
      <c r="O222" s="523"/>
      <c r="P222" s="523"/>
      <c r="Q222" s="523"/>
      <c r="R222" s="523"/>
      <c r="S222" s="523"/>
      <c r="T222" s="523"/>
      <c r="U222" s="524"/>
      <c r="V222" s="528"/>
    </row>
    <row r="223" spans="1:22" ht="65.25" customHeight="1" thickBot="1">
      <c r="A223" s="518"/>
      <c r="B223" s="535"/>
      <c r="C223" s="536"/>
      <c r="D223" s="536"/>
      <c r="E223" s="536"/>
      <c r="F223" s="536"/>
      <c r="G223" s="537"/>
      <c r="H223" s="560"/>
      <c r="I223" s="525"/>
      <c r="J223" s="526"/>
      <c r="K223" s="526"/>
      <c r="L223" s="526"/>
      <c r="M223" s="526"/>
      <c r="N223" s="526"/>
      <c r="O223" s="526"/>
      <c r="P223" s="526"/>
      <c r="Q223" s="526"/>
      <c r="R223" s="526"/>
      <c r="S223" s="526"/>
      <c r="T223" s="526"/>
      <c r="U223" s="527"/>
      <c r="V223" s="450"/>
    </row>
    <row r="224" spans="1:22" ht="12.75" customHeight="1" thickBot="1">
      <c r="A224" s="26" t="s">
        <v>75</v>
      </c>
      <c r="B224" s="27"/>
      <c r="C224" s="28"/>
      <c r="D224" s="28"/>
      <c r="E224" s="28"/>
      <c r="F224" s="28"/>
      <c r="G224" s="28"/>
      <c r="H224" s="29">
        <f>SUM(H225+H226+H227+H228+H229)</f>
        <v>0</v>
      </c>
      <c r="I224" s="28"/>
      <c r="J224" s="28"/>
      <c r="K224" s="28"/>
      <c r="L224" s="28"/>
      <c r="M224" s="28"/>
      <c r="N224" s="28"/>
      <c r="O224" s="28"/>
      <c r="P224" s="28"/>
      <c r="Q224" s="28"/>
      <c r="R224" s="28"/>
      <c r="S224" s="28"/>
      <c r="T224" s="28"/>
      <c r="U224" s="28"/>
      <c r="V224" s="29">
        <f>SUM(V225+V226+V227+V228+V229)</f>
        <v>0</v>
      </c>
    </row>
    <row r="225" spans="1:22" ht="12.75" customHeight="1">
      <c r="A225" s="105" t="s">
        <v>136</v>
      </c>
      <c r="B225" s="106"/>
      <c r="C225" s="106"/>
      <c r="D225" s="106"/>
      <c r="E225" s="106"/>
      <c r="F225" s="106"/>
      <c r="G225" s="106"/>
      <c r="H225" s="107">
        <v>0</v>
      </c>
      <c r="I225" s="106"/>
      <c r="J225" s="106"/>
      <c r="K225" s="106"/>
      <c r="L225" s="106"/>
      <c r="M225" s="106"/>
      <c r="N225" s="106"/>
      <c r="O225" s="106"/>
      <c r="P225" s="106"/>
      <c r="Q225" s="106"/>
      <c r="R225" s="106"/>
      <c r="S225" s="106"/>
      <c r="T225" s="106"/>
      <c r="U225" s="106"/>
      <c r="V225" s="88">
        <v>0</v>
      </c>
    </row>
    <row r="226" spans="1:22" ht="12.75">
      <c r="A226" s="108" t="s">
        <v>24</v>
      </c>
      <c r="B226" s="109"/>
      <c r="C226" s="110"/>
      <c r="D226" s="110"/>
      <c r="E226" s="110"/>
      <c r="F226" s="110"/>
      <c r="G226" s="110"/>
      <c r="H226" s="35">
        <v>0</v>
      </c>
      <c r="I226" s="111"/>
      <c r="J226" s="112"/>
      <c r="K226" s="112"/>
      <c r="L226" s="112"/>
      <c r="M226" s="112"/>
      <c r="N226" s="112"/>
      <c r="O226" s="112"/>
      <c r="P226" s="112"/>
      <c r="Q226" s="112"/>
      <c r="R226" s="112"/>
      <c r="S226" s="112"/>
      <c r="T226" s="112"/>
      <c r="U226" s="112"/>
      <c r="V226" s="113">
        <v>0</v>
      </c>
    </row>
    <row r="227" spans="1:22" s="86" customFormat="1" ht="12.75" customHeight="1">
      <c r="A227" s="114" t="s">
        <v>25</v>
      </c>
      <c r="B227" s="115"/>
      <c r="C227" s="116"/>
      <c r="D227" s="116"/>
      <c r="E227" s="116"/>
      <c r="F227" s="116"/>
      <c r="G227" s="116"/>
      <c r="H227" s="70">
        <v>0</v>
      </c>
      <c r="I227" s="117"/>
      <c r="J227" s="118"/>
      <c r="K227" s="118"/>
      <c r="L227" s="118"/>
      <c r="M227" s="118"/>
      <c r="N227" s="118"/>
      <c r="O227" s="118"/>
      <c r="P227" s="118"/>
      <c r="Q227" s="118"/>
      <c r="R227" s="118"/>
      <c r="S227" s="118"/>
      <c r="T227" s="118"/>
      <c r="U227" s="118"/>
      <c r="V227" s="59">
        <v>0</v>
      </c>
    </row>
    <row r="228" spans="1:22" ht="12.75">
      <c r="A228" s="119" t="s">
        <v>26</v>
      </c>
      <c r="B228" s="120"/>
      <c r="C228" s="77"/>
      <c r="D228" s="77"/>
      <c r="E228" s="77"/>
      <c r="F228" s="77"/>
      <c r="G228" s="77"/>
      <c r="H228" s="78">
        <v>0</v>
      </c>
      <c r="I228" s="68"/>
      <c r="J228" s="77"/>
      <c r="K228" s="77"/>
      <c r="L228" s="77"/>
      <c r="M228" s="77"/>
      <c r="N228" s="77"/>
      <c r="O228" s="77"/>
      <c r="P228" s="77"/>
      <c r="Q228" s="77"/>
      <c r="R228" s="77"/>
      <c r="S228" s="77"/>
      <c r="T228" s="77"/>
      <c r="U228" s="77"/>
      <c r="V228" s="72">
        <v>0</v>
      </c>
    </row>
    <row r="229" spans="1:22" ht="13.5" thickBot="1">
      <c r="A229" s="121" t="s">
        <v>36</v>
      </c>
      <c r="B229" s="103"/>
      <c r="C229" s="104"/>
      <c r="D229" s="104"/>
      <c r="E229" s="104"/>
      <c r="F229" s="104"/>
      <c r="G229" s="104"/>
      <c r="H229" s="122">
        <v>0</v>
      </c>
      <c r="I229" s="123"/>
      <c r="J229" s="104"/>
      <c r="K229" s="104"/>
      <c r="L229" s="104"/>
      <c r="M229" s="104"/>
      <c r="N229" s="104"/>
      <c r="O229" s="104"/>
      <c r="P229" s="104"/>
      <c r="Q229" s="104"/>
      <c r="R229" s="104"/>
      <c r="S229" s="104"/>
      <c r="T229" s="104"/>
      <c r="U229" s="104"/>
      <c r="V229" s="80">
        <v>0</v>
      </c>
    </row>
    <row r="230" spans="1:22" ht="13.5" thickBot="1">
      <c r="A230" s="26" t="s">
        <v>27</v>
      </c>
      <c r="B230" s="27"/>
      <c r="C230" s="28"/>
      <c r="D230" s="28"/>
      <c r="E230" s="28"/>
      <c r="F230" s="28"/>
      <c r="G230" s="28"/>
      <c r="H230" s="29">
        <f>SUM(H231:H231)</f>
        <v>227</v>
      </c>
      <c r="I230" s="27"/>
      <c r="J230" s="28"/>
      <c r="K230" s="28"/>
      <c r="L230" s="28"/>
      <c r="M230" s="28"/>
      <c r="N230" s="28"/>
      <c r="O230" s="28"/>
      <c r="P230" s="28"/>
      <c r="Q230" s="28"/>
      <c r="R230" s="28"/>
      <c r="S230" s="28"/>
      <c r="T230" s="28"/>
      <c r="U230" s="28"/>
      <c r="V230" s="29">
        <f>SUM(V231:V231)</f>
        <v>0</v>
      </c>
    </row>
    <row r="231" spans="1:22" ht="12.75">
      <c r="A231" s="516" t="s">
        <v>132</v>
      </c>
      <c r="B231" s="541" t="s">
        <v>194</v>
      </c>
      <c r="C231" s="542"/>
      <c r="D231" s="542"/>
      <c r="E231" s="542"/>
      <c r="F231" s="542"/>
      <c r="G231" s="543"/>
      <c r="H231" s="514">
        <v>227</v>
      </c>
      <c r="I231" s="541"/>
      <c r="J231" s="442"/>
      <c r="K231" s="442"/>
      <c r="L231" s="442"/>
      <c r="M231" s="442"/>
      <c r="N231" s="442"/>
      <c r="O231" s="442"/>
      <c r="P231" s="442"/>
      <c r="Q231" s="442"/>
      <c r="R231" s="442"/>
      <c r="S231" s="442"/>
      <c r="T231" s="442"/>
      <c r="U231" s="443"/>
      <c r="V231" s="586">
        <v>0</v>
      </c>
    </row>
    <row r="232" spans="1:22" ht="34.5" customHeight="1" thickBot="1">
      <c r="A232" s="518"/>
      <c r="B232" s="544"/>
      <c r="C232" s="545"/>
      <c r="D232" s="545"/>
      <c r="E232" s="545"/>
      <c r="F232" s="545"/>
      <c r="G232" s="546"/>
      <c r="H232" s="515"/>
      <c r="I232" s="548"/>
      <c r="J232" s="549"/>
      <c r="K232" s="549"/>
      <c r="L232" s="549"/>
      <c r="M232" s="549"/>
      <c r="N232" s="549"/>
      <c r="O232" s="549"/>
      <c r="P232" s="549"/>
      <c r="Q232" s="549"/>
      <c r="R232" s="549"/>
      <c r="S232" s="549"/>
      <c r="T232" s="549"/>
      <c r="U232" s="550"/>
      <c r="V232" s="513"/>
    </row>
    <row r="233" spans="1:22" ht="13.5" thickBot="1">
      <c r="A233" s="26" t="s">
        <v>76</v>
      </c>
      <c r="B233" s="27"/>
      <c r="C233" s="28"/>
      <c r="D233" s="28"/>
      <c r="E233" s="28"/>
      <c r="F233" s="28"/>
      <c r="G233" s="28"/>
      <c r="H233" s="29">
        <f>SUM(H234:H236)</f>
        <v>0</v>
      </c>
      <c r="I233" s="27"/>
      <c r="J233" s="28"/>
      <c r="K233" s="28"/>
      <c r="L233" s="28"/>
      <c r="M233" s="28"/>
      <c r="N233" s="28"/>
      <c r="O233" s="28"/>
      <c r="P233" s="28"/>
      <c r="Q233" s="28"/>
      <c r="R233" s="28"/>
      <c r="S233" s="28"/>
      <c r="T233" s="28"/>
      <c r="U233" s="28"/>
      <c r="V233" s="29">
        <f>SUM(V234:V236)</f>
        <v>0</v>
      </c>
    </row>
    <row r="234" spans="1:22" ht="12.75">
      <c r="A234" s="126" t="s">
        <v>10</v>
      </c>
      <c r="B234" s="120"/>
      <c r="C234" s="77"/>
      <c r="D234" s="77"/>
      <c r="E234" s="77"/>
      <c r="F234" s="77"/>
      <c r="G234" s="77"/>
      <c r="H234" s="78">
        <v>0</v>
      </c>
      <c r="I234" s="120"/>
      <c r="J234" s="77"/>
      <c r="K234" s="77"/>
      <c r="L234" s="77"/>
      <c r="M234" s="77"/>
      <c r="N234" s="77"/>
      <c r="O234" s="77"/>
      <c r="P234" s="77"/>
      <c r="Q234" s="77"/>
      <c r="R234" s="77"/>
      <c r="S234" s="77"/>
      <c r="T234" s="77"/>
      <c r="U234" s="77"/>
      <c r="V234" s="72">
        <v>0</v>
      </c>
    </row>
    <row r="235" spans="1:22" s="40" customFormat="1" ht="12.75" customHeight="1">
      <c r="A235" s="553" t="s">
        <v>58</v>
      </c>
      <c r="B235" s="547"/>
      <c r="C235" s="398"/>
      <c r="D235" s="398"/>
      <c r="E235" s="398"/>
      <c r="F235" s="398"/>
      <c r="G235" s="399"/>
      <c r="H235" s="551">
        <v>0</v>
      </c>
      <c r="I235" s="547"/>
      <c r="J235" s="398"/>
      <c r="K235" s="398"/>
      <c r="L235" s="398"/>
      <c r="M235" s="398"/>
      <c r="N235" s="398"/>
      <c r="O235" s="398"/>
      <c r="P235" s="398"/>
      <c r="Q235" s="398"/>
      <c r="R235" s="398"/>
      <c r="S235" s="398"/>
      <c r="T235" s="398"/>
      <c r="U235" s="399"/>
      <c r="V235" s="512">
        <v>0</v>
      </c>
    </row>
    <row r="236" spans="1:22" s="40" customFormat="1" ht="13.5" thickBot="1">
      <c r="A236" s="554"/>
      <c r="B236" s="548"/>
      <c r="C236" s="549"/>
      <c r="D236" s="549"/>
      <c r="E236" s="549"/>
      <c r="F236" s="549"/>
      <c r="G236" s="550"/>
      <c r="H236" s="552"/>
      <c r="I236" s="548"/>
      <c r="J236" s="549"/>
      <c r="K236" s="549"/>
      <c r="L236" s="549"/>
      <c r="M236" s="549"/>
      <c r="N236" s="549"/>
      <c r="O236" s="549"/>
      <c r="P236" s="549"/>
      <c r="Q236" s="549"/>
      <c r="R236" s="549"/>
      <c r="S236" s="549"/>
      <c r="T236" s="549"/>
      <c r="U236" s="550"/>
      <c r="V236" s="513"/>
    </row>
    <row r="237" spans="1:22" s="40" customFormat="1" ht="12.75">
      <c r="A237" s="127"/>
      <c r="B237" s="104"/>
      <c r="C237" s="104"/>
      <c r="D237" s="104"/>
      <c r="E237" s="104"/>
      <c r="F237" s="104"/>
      <c r="G237" s="104"/>
      <c r="H237" s="128"/>
      <c r="I237" s="104"/>
      <c r="J237" s="104"/>
      <c r="K237" s="104"/>
      <c r="L237" s="104"/>
      <c r="M237" s="104"/>
      <c r="N237" s="104"/>
      <c r="O237" s="104"/>
      <c r="P237" s="104"/>
      <c r="Q237" s="104"/>
      <c r="R237" s="104"/>
      <c r="S237" s="104"/>
      <c r="T237" s="104"/>
      <c r="U237" s="104"/>
      <c r="V237" s="85"/>
    </row>
    <row r="238" spans="1:34" ht="18.75" thickBot="1">
      <c r="A238" s="423" t="s">
        <v>148</v>
      </c>
      <c r="B238" s="423"/>
      <c r="C238" s="423"/>
      <c r="D238" s="423"/>
      <c r="E238" s="423"/>
      <c r="F238" s="423"/>
      <c r="G238" s="423"/>
      <c r="H238" s="423"/>
      <c r="I238" s="423"/>
      <c r="J238" s="423"/>
      <c r="K238" s="423"/>
      <c r="L238" s="423"/>
      <c r="M238" s="423"/>
      <c r="N238" s="423"/>
      <c r="O238" s="423"/>
      <c r="P238" s="423"/>
      <c r="Q238" s="423"/>
      <c r="R238" s="423"/>
      <c r="S238" s="423"/>
      <c r="T238" s="423"/>
      <c r="U238" s="423"/>
      <c r="V238" s="423"/>
      <c r="W238" s="16"/>
      <c r="X238" s="17"/>
      <c r="Y238" s="451"/>
      <c r="Z238" s="452"/>
      <c r="AC238" s="17"/>
      <c r="AH238" s="17"/>
    </row>
    <row r="239" spans="1:34" ht="22.5">
      <c r="A239" s="18" t="s">
        <v>3</v>
      </c>
      <c r="B239" s="139" t="s">
        <v>89</v>
      </c>
      <c r="C239" s="139"/>
      <c r="D239" s="139"/>
      <c r="E239" s="139"/>
      <c r="F239" s="139"/>
      <c r="G239" s="140"/>
      <c r="H239" s="19" t="s">
        <v>32</v>
      </c>
      <c r="I239" s="424" t="s">
        <v>88</v>
      </c>
      <c r="J239" s="425"/>
      <c r="K239" s="425"/>
      <c r="L239" s="425"/>
      <c r="M239" s="425"/>
      <c r="N239" s="425"/>
      <c r="O239" s="425"/>
      <c r="P239" s="425"/>
      <c r="Q239" s="425"/>
      <c r="R239" s="425"/>
      <c r="S239" s="425"/>
      <c r="T239" s="425"/>
      <c r="U239" s="426"/>
      <c r="V239" s="20" t="s">
        <v>32</v>
      </c>
      <c r="W239" s="16"/>
      <c r="X239" s="17"/>
      <c r="Y239" s="451"/>
      <c r="Z239" s="452"/>
      <c r="AC239" s="17"/>
      <c r="AH239" s="17"/>
    </row>
    <row r="240" spans="1:34" ht="13.5" thickBot="1">
      <c r="A240" s="21"/>
      <c r="B240" s="22" t="s">
        <v>64</v>
      </c>
      <c r="C240" s="22"/>
      <c r="D240" s="22"/>
      <c r="E240" s="22"/>
      <c r="F240" s="22"/>
      <c r="G240" s="23"/>
      <c r="H240" s="24" t="s">
        <v>65</v>
      </c>
      <c r="I240" s="427"/>
      <c r="J240" s="428"/>
      <c r="K240" s="428"/>
      <c r="L240" s="428"/>
      <c r="M240" s="428"/>
      <c r="N240" s="428"/>
      <c r="O240" s="428"/>
      <c r="P240" s="428"/>
      <c r="Q240" s="428"/>
      <c r="R240" s="428"/>
      <c r="S240" s="428"/>
      <c r="T240" s="428"/>
      <c r="U240" s="429"/>
      <c r="V240" s="25" t="s">
        <v>66</v>
      </c>
      <c r="W240" s="16"/>
      <c r="X240" s="17"/>
      <c r="Y240" s="451"/>
      <c r="Z240" s="452"/>
      <c r="AC240" s="17"/>
      <c r="AH240" s="17"/>
    </row>
    <row r="241" spans="1:22" ht="13.5" thickBot="1">
      <c r="A241" s="26" t="s">
        <v>77</v>
      </c>
      <c r="B241" s="27"/>
      <c r="C241" s="28"/>
      <c r="D241" s="28"/>
      <c r="E241" s="28"/>
      <c r="F241" s="28"/>
      <c r="G241" s="28"/>
      <c r="H241" s="29">
        <f>SUM(H242:H242)</f>
        <v>100</v>
      </c>
      <c r="I241" s="27"/>
      <c r="J241" s="28"/>
      <c r="K241" s="28"/>
      <c r="L241" s="28"/>
      <c r="M241" s="28"/>
      <c r="N241" s="28"/>
      <c r="O241" s="28"/>
      <c r="P241" s="28"/>
      <c r="Q241" s="28"/>
      <c r="R241" s="28"/>
      <c r="S241" s="28"/>
      <c r="T241" s="28"/>
      <c r="U241" s="28"/>
      <c r="V241" s="29">
        <f>SUM(V242:V242)</f>
        <v>150</v>
      </c>
    </row>
    <row r="242" spans="1:22" s="40" customFormat="1" ht="13.5" thickBot="1">
      <c r="A242" s="244" t="s">
        <v>116</v>
      </c>
      <c r="B242" s="68" t="s">
        <v>213</v>
      </c>
      <c r="C242" s="69"/>
      <c r="D242" s="69"/>
      <c r="E242" s="69"/>
      <c r="F242" s="69"/>
      <c r="G242" s="69"/>
      <c r="H242" s="70">
        <v>100</v>
      </c>
      <c r="I242" s="68" t="s">
        <v>230</v>
      </c>
      <c r="J242" s="69"/>
      <c r="K242" s="69"/>
      <c r="L242" s="69"/>
      <c r="M242" s="69"/>
      <c r="N242" s="69"/>
      <c r="O242" s="69"/>
      <c r="P242" s="69"/>
      <c r="Q242" s="69"/>
      <c r="R242" s="69"/>
      <c r="S242" s="69"/>
      <c r="T242" s="69"/>
      <c r="U242" s="69"/>
      <c r="V242" s="59">
        <f>45+105</f>
        <v>150</v>
      </c>
    </row>
    <row r="243" spans="1:22" s="40" customFormat="1" ht="13.5" thickBot="1">
      <c r="A243" s="132" t="s">
        <v>78</v>
      </c>
      <c r="B243" s="133"/>
      <c r="C243" s="134"/>
      <c r="D243" s="134"/>
      <c r="E243" s="134"/>
      <c r="F243" s="134"/>
      <c r="G243" s="134"/>
      <c r="H243" s="102">
        <f>SUM(H244)</f>
        <v>0</v>
      </c>
      <c r="I243" s="133"/>
      <c r="J243" s="134"/>
      <c r="K243" s="134"/>
      <c r="L243" s="134"/>
      <c r="M243" s="134"/>
      <c r="N243" s="134"/>
      <c r="O243" s="134"/>
      <c r="P243" s="134"/>
      <c r="Q243" s="134"/>
      <c r="R243" s="134"/>
      <c r="S243" s="134"/>
      <c r="T243" s="134"/>
      <c r="U243" s="134"/>
      <c r="V243" s="102">
        <f>SUM(V244)</f>
        <v>0</v>
      </c>
    </row>
    <row r="244" spans="1:22" s="40" customFormat="1" ht="13.5" thickBot="1">
      <c r="A244" s="121" t="s">
        <v>133</v>
      </c>
      <c r="B244" s="75"/>
      <c r="C244" s="76"/>
      <c r="D244" s="76"/>
      <c r="E244" s="76"/>
      <c r="F244" s="76"/>
      <c r="G244" s="76"/>
      <c r="H244" s="124">
        <v>0</v>
      </c>
      <c r="I244" s="75"/>
      <c r="J244" s="76"/>
      <c r="K244" s="76"/>
      <c r="L244" s="76"/>
      <c r="M244" s="76"/>
      <c r="N244" s="76"/>
      <c r="O244" s="76"/>
      <c r="P244" s="76"/>
      <c r="Q244" s="76"/>
      <c r="R244" s="76"/>
      <c r="S244" s="76"/>
      <c r="T244" s="76"/>
      <c r="U244" s="76"/>
      <c r="V244" s="125">
        <v>0</v>
      </c>
    </row>
    <row r="245" spans="1:22" ht="13.5" thickBot="1">
      <c r="A245" s="132" t="s">
        <v>79</v>
      </c>
      <c r="B245" s="27"/>
      <c r="C245" s="28"/>
      <c r="D245" s="28"/>
      <c r="E245" s="28"/>
      <c r="F245" s="28"/>
      <c r="G245" s="28"/>
      <c r="H245" s="29">
        <f>SUM(H246:H246)</f>
        <v>250</v>
      </c>
      <c r="I245" s="27"/>
      <c r="J245" s="28"/>
      <c r="K245" s="28"/>
      <c r="L245" s="28"/>
      <c r="M245" s="28"/>
      <c r="N245" s="28"/>
      <c r="O245" s="28"/>
      <c r="P245" s="28"/>
      <c r="Q245" s="28"/>
      <c r="R245" s="28"/>
      <c r="S245" s="28"/>
      <c r="T245" s="28"/>
      <c r="U245" s="28"/>
      <c r="V245" s="29">
        <f>SUM(V246:V246)</f>
        <v>0</v>
      </c>
    </row>
    <row r="246" spans="1:22" s="40" customFormat="1" ht="59.25" customHeight="1" thickBot="1">
      <c r="A246" s="245" t="s">
        <v>9</v>
      </c>
      <c r="B246" s="406" t="s">
        <v>214</v>
      </c>
      <c r="C246" s="407"/>
      <c r="D246" s="407"/>
      <c r="E246" s="407"/>
      <c r="F246" s="407"/>
      <c r="G246" s="408"/>
      <c r="H246" s="38">
        <f>30+80+30+70+40</f>
        <v>250</v>
      </c>
      <c r="I246" s="538"/>
      <c r="J246" s="539"/>
      <c r="K246" s="539"/>
      <c r="L246" s="539"/>
      <c r="M246" s="539"/>
      <c r="N246" s="539"/>
      <c r="O246" s="539"/>
      <c r="P246" s="539"/>
      <c r="Q246" s="539"/>
      <c r="R246" s="539"/>
      <c r="S246" s="539"/>
      <c r="T246" s="539"/>
      <c r="U246" s="540"/>
      <c r="V246" s="39">
        <v>0</v>
      </c>
    </row>
    <row r="247" spans="1:22" ht="13.5" thickBot="1">
      <c r="A247" s="132" t="s">
        <v>80</v>
      </c>
      <c r="B247" s="27"/>
      <c r="C247" s="28"/>
      <c r="D247" s="28"/>
      <c r="E247" s="28"/>
      <c r="F247" s="28"/>
      <c r="G247" s="28"/>
      <c r="H247" s="29">
        <f>SUM(H248:H256)</f>
        <v>877</v>
      </c>
      <c r="I247" s="136"/>
      <c r="J247" s="28"/>
      <c r="K247" s="28"/>
      <c r="L247" s="28"/>
      <c r="M247" s="28"/>
      <c r="N247" s="28"/>
      <c r="O247" s="28"/>
      <c r="P247" s="28"/>
      <c r="Q247" s="28"/>
      <c r="R247" s="28"/>
      <c r="S247" s="28"/>
      <c r="T247" s="28"/>
      <c r="U247" s="28"/>
      <c r="V247" s="29">
        <f>SUM(V248:V256)</f>
        <v>590</v>
      </c>
    </row>
    <row r="248" spans="1:22" s="40" customFormat="1" ht="24.75" customHeight="1">
      <c r="A248" s="129" t="s">
        <v>137</v>
      </c>
      <c r="B248" s="403"/>
      <c r="C248" s="404"/>
      <c r="D248" s="404"/>
      <c r="E248" s="404"/>
      <c r="F248" s="404"/>
      <c r="G248" s="405"/>
      <c r="H248" s="70">
        <v>0</v>
      </c>
      <c r="I248" s="68" t="s">
        <v>231</v>
      </c>
      <c r="J248" s="69"/>
      <c r="K248" s="69"/>
      <c r="L248" s="69"/>
      <c r="M248" s="69"/>
      <c r="N248" s="69"/>
      <c r="O248" s="69"/>
      <c r="P248" s="69"/>
      <c r="Q248" s="69"/>
      <c r="R248" s="69"/>
      <c r="S248" s="69"/>
      <c r="T248" s="69"/>
      <c r="U248" s="69"/>
      <c r="V248" s="59">
        <v>300</v>
      </c>
    </row>
    <row r="249" spans="1:22" s="40" customFormat="1" ht="12.75">
      <c r="A249" s="130" t="s">
        <v>138</v>
      </c>
      <c r="B249" s="36"/>
      <c r="C249" s="37"/>
      <c r="D249" s="37"/>
      <c r="E249" s="37"/>
      <c r="F249" s="37"/>
      <c r="G249" s="37"/>
      <c r="H249" s="38">
        <v>0</v>
      </c>
      <c r="I249" s="36"/>
      <c r="J249" s="37"/>
      <c r="K249" s="37"/>
      <c r="L249" s="37"/>
      <c r="M249" s="37"/>
      <c r="N249" s="37"/>
      <c r="O249" s="37"/>
      <c r="P249" s="37"/>
      <c r="Q249" s="37"/>
      <c r="R249" s="37"/>
      <c r="S249" s="37"/>
      <c r="T249" s="37"/>
      <c r="U249" s="37"/>
      <c r="V249" s="39">
        <v>0</v>
      </c>
    </row>
    <row r="250" spans="1:22" s="40" customFormat="1" ht="12.75">
      <c r="A250" s="31" t="s">
        <v>139</v>
      </c>
      <c r="B250" s="68"/>
      <c r="C250" s="69"/>
      <c r="D250" s="69"/>
      <c r="E250" s="69"/>
      <c r="F250" s="69"/>
      <c r="G250" s="69"/>
      <c r="H250" s="70">
        <v>0</v>
      </c>
      <c r="I250" s="68"/>
      <c r="J250" s="69"/>
      <c r="K250" s="69"/>
      <c r="L250" s="69"/>
      <c r="M250" s="69"/>
      <c r="N250" s="69"/>
      <c r="O250" s="69"/>
      <c r="P250" s="69"/>
      <c r="Q250" s="69"/>
      <c r="R250" s="69"/>
      <c r="S250" s="69"/>
      <c r="T250" s="69"/>
      <c r="U250" s="69"/>
      <c r="V250" s="59">
        <v>0</v>
      </c>
    </row>
    <row r="251" spans="1:22" s="40" customFormat="1" ht="12.75">
      <c r="A251" s="129" t="s">
        <v>140</v>
      </c>
      <c r="B251" s="36"/>
      <c r="C251" s="37"/>
      <c r="D251" s="37"/>
      <c r="E251" s="37"/>
      <c r="F251" s="37"/>
      <c r="G251" s="37"/>
      <c r="H251" s="38">
        <v>0</v>
      </c>
      <c r="I251" s="36" t="s">
        <v>175</v>
      </c>
      <c r="J251" s="37"/>
      <c r="K251" s="37"/>
      <c r="L251" s="37"/>
      <c r="M251" s="37"/>
      <c r="N251" s="37"/>
      <c r="O251" s="37"/>
      <c r="P251" s="37"/>
      <c r="Q251" s="37"/>
      <c r="R251" s="37"/>
      <c r="S251" s="37"/>
      <c r="T251" s="37"/>
      <c r="U251" s="37"/>
      <c r="V251" s="39">
        <v>130</v>
      </c>
    </row>
    <row r="252" spans="1:22" s="40" customFormat="1" ht="25.5" customHeight="1">
      <c r="A252" s="55" t="s">
        <v>141</v>
      </c>
      <c r="B252" s="509" t="s">
        <v>215</v>
      </c>
      <c r="C252" s="510"/>
      <c r="D252" s="510"/>
      <c r="E252" s="510"/>
      <c r="F252" s="510"/>
      <c r="G252" s="511"/>
      <c r="H252" s="71">
        <v>302</v>
      </c>
      <c r="I252" s="48" t="s">
        <v>195</v>
      </c>
      <c r="J252" s="131"/>
      <c r="K252" s="131"/>
      <c r="L252" s="131"/>
      <c r="M252" s="131"/>
      <c r="N252" s="131"/>
      <c r="O252" s="131"/>
      <c r="P252" s="131"/>
      <c r="Q252" s="131"/>
      <c r="R252" s="131"/>
      <c r="S252" s="131"/>
      <c r="T252" s="131"/>
      <c r="U252" s="131"/>
      <c r="V252" s="58">
        <v>160</v>
      </c>
    </row>
    <row r="253" spans="1:22" ht="23.25" customHeight="1">
      <c r="A253" s="130" t="s">
        <v>142</v>
      </c>
      <c r="B253" s="406"/>
      <c r="C253" s="438"/>
      <c r="D253" s="438"/>
      <c r="E253" s="438"/>
      <c r="F253" s="438"/>
      <c r="G253" s="439"/>
      <c r="H253" s="34">
        <v>0</v>
      </c>
      <c r="I253" s="51"/>
      <c r="J253" s="33"/>
      <c r="K253" s="33"/>
      <c r="L253" s="33"/>
      <c r="M253" s="33"/>
      <c r="N253" s="33"/>
      <c r="O253" s="33"/>
      <c r="P253" s="33"/>
      <c r="Q253" s="33"/>
      <c r="R253" s="33"/>
      <c r="S253" s="33"/>
      <c r="T253" s="33"/>
      <c r="U253" s="33"/>
      <c r="V253" s="35">
        <v>0</v>
      </c>
    </row>
    <row r="254" spans="1:22" s="40" customFormat="1" ht="22.5" customHeight="1">
      <c r="A254" s="143" t="s">
        <v>143</v>
      </c>
      <c r="B254" s="406" t="s">
        <v>216</v>
      </c>
      <c r="C254" s="438"/>
      <c r="D254" s="438"/>
      <c r="E254" s="438"/>
      <c r="F254" s="438"/>
      <c r="G254" s="439"/>
      <c r="H254" s="38">
        <v>500</v>
      </c>
      <c r="I254" s="36"/>
      <c r="J254" s="37"/>
      <c r="K254" s="37"/>
      <c r="L254" s="37"/>
      <c r="M254" s="37"/>
      <c r="N254" s="37"/>
      <c r="O254" s="37"/>
      <c r="P254" s="37"/>
      <c r="Q254" s="37"/>
      <c r="R254" s="37"/>
      <c r="S254" s="37"/>
      <c r="T254" s="37"/>
      <c r="U254" s="37"/>
      <c r="V254" s="39">
        <v>0</v>
      </c>
    </row>
    <row r="255" spans="1:22" ht="14.25" customHeight="1">
      <c r="A255" s="144" t="s">
        <v>144</v>
      </c>
      <c r="B255" s="131"/>
      <c r="C255" s="46"/>
      <c r="D255" s="46"/>
      <c r="E255" s="46"/>
      <c r="F255" s="46"/>
      <c r="G255" s="46"/>
      <c r="H255" s="47">
        <v>0</v>
      </c>
      <c r="I255" s="48"/>
      <c r="J255" s="46"/>
      <c r="K255" s="46"/>
      <c r="L255" s="46"/>
      <c r="M255" s="46"/>
      <c r="N255" s="46"/>
      <c r="O255" s="46"/>
      <c r="P255" s="46"/>
      <c r="Q255" s="46"/>
      <c r="R255" s="46"/>
      <c r="S255" s="46"/>
      <c r="T255" s="46"/>
      <c r="U255" s="46"/>
      <c r="V255" s="49">
        <v>0</v>
      </c>
    </row>
    <row r="256" spans="1:22" s="40" customFormat="1" ht="16.5" customHeight="1" thickBot="1">
      <c r="A256" s="137" t="s">
        <v>145</v>
      </c>
      <c r="B256" s="61" t="s">
        <v>217</v>
      </c>
      <c r="C256" s="62"/>
      <c r="D256" s="62"/>
      <c r="E256" s="62"/>
      <c r="F256" s="62"/>
      <c r="G256" s="62"/>
      <c r="H256" s="63">
        <v>75</v>
      </c>
      <c r="I256" s="62"/>
      <c r="J256" s="62"/>
      <c r="K256" s="62"/>
      <c r="L256" s="62"/>
      <c r="M256" s="62"/>
      <c r="N256" s="62"/>
      <c r="O256" s="62"/>
      <c r="P256" s="62"/>
      <c r="Q256" s="62"/>
      <c r="R256" s="62"/>
      <c r="S256" s="62"/>
      <c r="T256" s="62"/>
      <c r="U256" s="62"/>
      <c r="V256" s="64">
        <v>0</v>
      </c>
    </row>
    <row r="257" spans="1:22" ht="12" customHeight="1">
      <c r="A257" s="138"/>
      <c r="B257" s="104"/>
      <c r="C257" s="104"/>
      <c r="E257" s="104"/>
      <c r="F257" s="104"/>
      <c r="G257" s="85"/>
      <c r="H257" s="128"/>
      <c r="I257" s="104"/>
      <c r="J257" s="104"/>
      <c r="K257" s="104"/>
      <c r="L257" s="104"/>
      <c r="M257" s="104"/>
      <c r="N257" s="104"/>
      <c r="O257" s="104"/>
      <c r="P257" s="104"/>
      <c r="Q257" s="104"/>
      <c r="R257" s="104"/>
      <c r="S257" s="104"/>
      <c r="T257" s="104"/>
      <c r="U257" s="104"/>
      <c r="V257" s="128"/>
    </row>
  </sheetData>
  <sheetProtection/>
  <mergeCells count="235">
    <mergeCell ref="B161:G161"/>
    <mergeCell ref="I162:U162"/>
    <mergeCell ref="B145:G145"/>
    <mergeCell ref="I145:U145"/>
    <mergeCell ref="B148:G148"/>
    <mergeCell ref="I149:U149"/>
    <mergeCell ref="I154:U155"/>
    <mergeCell ref="I152:U152"/>
    <mergeCell ref="I148:U148"/>
    <mergeCell ref="B154:G155"/>
    <mergeCell ref="A159:A160"/>
    <mergeCell ref="H181:H182"/>
    <mergeCell ref="A179:A180"/>
    <mergeCell ref="A181:A182"/>
    <mergeCell ref="B179:G180"/>
    <mergeCell ref="B175:G176"/>
    <mergeCell ref="H175:H176"/>
    <mergeCell ref="A164:V164"/>
    <mergeCell ref="I165:U166"/>
    <mergeCell ref="V179:V180"/>
    <mergeCell ref="A184:A185"/>
    <mergeCell ref="B186:G187"/>
    <mergeCell ref="B181:G182"/>
    <mergeCell ref="I216:U216"/>
    <mergeCell ref="A214:A215"/>
    <mergeCell ref="B196:G196"/>
    <mergeCell ref="A186:A187"/>
    <mergeCell ref="A194:A195"/>
    <mergeCell ref="B194:G195"/>
    <mergeCell ref="A190:A191"/>
    <mergeCell ref="A150:A151"/>
    <mergeCell ref="B157:G158"/>
    <mergeCell ref="H157:H158"/>
    <mergeCell ref="A154:A155"/>
    <mergeCell ref="H154:H155"/>
    <mergeCell ref="A157:A158"/>
    <mergeCell ref="B156:G156"/>
    <mergeCell ref="A197:A199"/>
    <mergeCell ref="V197:V199"/>
    <mergeCell ref="V150:V151"/>
    <mergeCell ref="B150:G151"/>
    <mergeCell ref="H150:H151"/>
    <mergeCell ref="Y165:Z165"/>
    <mergeCell ref="B159:G160"/>
    <mergeCell ref="H159:H160"/>
    <mergeCell ref="I159:U160"/>
    <mergeCell ref="V159:V160"/>
    <mergeCell ref="A173:A174"/>
    <mergeCell ref="B173:G174"/>
    <mergeCell ref="H173:H174"/>
    <mergeCell ref="V173:V174"/>
    <mergeCell ref="Y203:Z203"/>
    <mergeCell ref="B197:G199"/>
    <mergeCell ref="H197:H199"/>
    <mergeCell ref="Y202:Z202"/>
    <mergeCell ref="A201:V201"/>
    <mergeCell ref="I202:U203"/>
    <mergeCell ref="H179:H180"/>
    <mergeCell ref="V168:V169"/>
    <mergeCell ref="A168:A169"/>
    <mergeCell ref="I168:U169"/>
    <mergeCell ref="H168:H169"/>
    <mergeCell ref="B168:G169"/>
    <mergeCell ref="I175:U176"/>
    <mergeCell ref="V175:V176"/>
    <mergeCell ref="I173:U174"/>
    <mergeCell ref="A175:A176"/>
    <mergeCell ref="L93:L95"/>
    <mergeCell ref="S93:S95"/>
    <mergeCell ref="R93:R95"/>
    <mergeCell ref="P93:P95"/>
    <mergeCell ref="N93:N95"/>
    <mergeCell ref="O93:O95"/>
    <mergeCell ref="M93:M95"/>
    <mergeCell ref="V93:V95"/>
    <mergeCell ref="A91:V91"/>
    <mergeCell ref="D50:D52"/>
    <mergeCell ref="H94:H95"/>
    <mergeCell ref="J93:J95"/>
    <mergeCell ref="K93:K95"/>
    <mergeCell ref="E94:E95"/>
    <mergeCell ref="F94:F95"/>
    <mergeCell ref="G94:G95"/>
    <mergeCell ref="I50:I52"/>
    <mergeCell ref="T93:T95"/>
    <mergeCell ref="U93:U95"/>
    <mergeCell ref="Q93:Q95"/>
    <mergeCell ref="T6:T8"/>
    <mergeCell ref="U6:U8"/>
    <mergeCell ref="S6:S8"/>
    <mergeCell ref="O49:R49"/>
    <mergeCell ref="U50:U52"/>
    <mergeCell ref="T50:T52"/>
    <mergeCell ref="V6:V8"/>
    <mergeCell ref="C6:C8"/>
    <mergeCell ref="D6:D8"/>
    <mergeCell ref="G7:G8"/>
    <mergeCell ref="I6:I8"/>
    <mergeCell ref="L6:L8"/>
    <mergeCell ref="M6:M8"/>
    <mergeCell ref="N6:N8"/>
    <mergeCell ref="O6:O8"/>
    <mergeCell ref="J6:J8"/>
    <mergeCell ref="I93:I95"/>
    <mergeCell ref="B93:B95"/>
    <mergeCell ref="P6:P8"/>
    <mergeCell ref="S92:V92"/>
    <mergeCell ref="R6:R8"/>
    <mergeCell ref="R50:R52"/>
    <mergeCell ref="O92:R92"/>
    <mergeCell ref="O50:O52"/>
    <mergeCell ref="S50:S52"/>
    <mergeCell ref="S49:V49"/>
    <mergeCell ref="B252:G252"/>
    <mergeCell ref="V235:V236"/>
    <mergeCell ref="H231:H232"/>
    <mergeCell ref="A221:A223"/>
    <mergeCell ref="I221:U223"/>
    <mergeCell ref="V221:V223"/>
    <mergeCell ref="B221:G223"/>
    <mergeCell ref="I246:U246"/>
    <mergeCell ref="B253:G253"/>
    <mergeCell ref="B248:G248"/>
    <mergeCell ref="B190:G191"/>
    <mergeCell ref="B246:G246"/>
    <mergeCell ref="B231:G232"/>
    <mergeCell ref="A238:V238"/>
    <mergeCell ref="B235:G236"/>
    <mergeCell ref="H235:H236"/>
    <mergeCell ref="I235:U236"/>
    <mergeCell ref="A235:A236"/>
    <mergeCell ref="V214:V215"/>
    <mergeCell ref="B216:G216"/>
    <mergeCell ref="B214:G215"/>
    <mergeCell ref="H214:H215"/>
    <mergeCell ref="Y238:Z238"/>
    <mergeCell ref="I239:U240"/>
    <mergeCell ref="Y239:Z239"/>
    <mergeCell ref="Y240:Z240"/>
    <mergeCell ref="B204:G204"/>
    <mergeCell ref="I205:U205"/>
    <mergeCell ref="B211:G211"/>
    <mergeCell ref="I212:U212"/>
    <mergeCell ref="H221:H223"/>
    <mergeCell ref="A231:A232"/>
    <mergeCell ref="I214:U215"/>
    <mergeCell ref="B217:G217"/>
    <mergeCell ref="I217:U217"/>
    <mergeCell ref="I213:U213"/>
    <mergeCell ref="B210:G210"/>
    <mergeCell ref="V194:V195"/>
    <mergeCell ref="I186:U187"/>
    <mergeCell ref="I196:U196"/>
    <mergeCell ref="V186:V187"/>
    <mergeCell ref="H194:H195"/>
    <mergeCell ref="I194:U195"/>
    <mergeCell ref="I197:U199"/>
    <mergeCell ref="I189:U189"/>
    <mergeCell ref="I204:U204"/>
    <mergeCell ref="H184:H185"/>
    <mergeCell ref="B183:G183"/>
    <mergeCell ref="H190:H191"/>
    <mergeCell ref="B188:G188"/>
    <mergeCell ref="H186:H187"/>
    <mergeCell ref="I209:U209"/>
    <mergeCell ref="B205:G205"/>
    <mergeCell ref="B206:G206"/>
    <mergeCell ref="B207:G207"/>
    <mergeCell ref="I207:U207"/>
    <mergeCell ref="I147:U147"/>
    <mergeCell ref="Y129:Z129"/>
    <mergeCell ref="Y130:Z130"/>
    <mergeCell ref="Y131:Z131"/>
    <mergeCell ref="Y132:Z132"/>
    <mergeCell ref="V184:V185"/>
    <mergeCell ref="V181:V182"/>
    <mergeCell ref="I181:U182"/>
    <mergeCell ref="Y166:Z166"/>
    <mergeCell ref="I150:U151"/>
    <mergeCell ref="Y125:Z125"/>
    <mergeCell ref="I126:U127"/>
    <mergeCell ref="Y126:Z126"/>
    <mergeCell ref="Y127:Z127"/>
    <mergeCell ref="Y133:Z133"/>
    <mergeCell ref="Y134:Z134"/>
    <mergeCell ref="R1:V1"/>
    <mergeCell ref="R2:V2"/>
    <mergeCell ref="A3:V3"/>
    <mergeCell ref="E7:E8"/>
    <mergeCell ref="O5:R5"/>
    <mergeCell ref="S5:V5"/>
    <mergeCell ref="B6:B8"/>
    <mergeCell ref="Q6:Q8"/>
    <mergeCell ref="H7:H8"/>
    <mergeCell ref="F7:F8"/>
    <mergeCell ref="M50:M52"/>
    <mergeCell ref="K6:K8"/>
    <mergeCell ref="N50:N52"/>
    <mergeCell ref="J50:J52"/>
    <mergeCell ref="K50:K52"/>
    <mergeCell ref="L50:L52"/>
    <mergeCell ref="A48:V48"/>
    <mergeCell ref="Q50:Q52"/>
    <mergeCell ref="P50:P52"/>
    <mergeCell ref="V50:V52"/>
    <mergeCell ref="B209:G209"/>
    <mergeCell ref="O119:P119"/>
    <mergeCell ref="A125:V125"/>
    <mergeCell ref="O123:P123"/>
    <mergeCell ref="I123:J123"/>
    <mergeCell ref="I120:J120"/>
    <mergeCell ref="O120:P120"/>
    <mergeCell ref="C119:D119"/>
    <mergeCell ref="I183:U183"/>
    <mergeCell ref="I184:U185"/>
    <mergeCell ref="H51:H52"/>
    <mergeCell ref="B254:G254"/>
    <mergeCell ref="V154:V155"/>
    <mergeCell ref="I157:U158"/>
    <mergeCell ref="V157:V158"/>
    <mergeCell ref="I231:U232"/>
    <mergeCell ref="V231:V232"/>
    <mergeCell ref="I190:U191"/>
    <mergeCell ref="V190:V191"/>
    <mergeCell ref="I179:U180"/>
    <mergeCell ref="B178:G178"/>
    <mergeCell ref="B189:G189"/>
    <mergeCell ref="C50:C52"/>
    <mergeCell ref="B50:B52"/>
    <mergeCell ref="B184:G185"/>
    <mergeCell ref="C93:C95"/>
    <mergeCell ref="D93:D95"/>
    <mergeCell ref="E51:E52"/>
    <mergeCell ref="F51:F52"/>
    <mergeCell ref="G51:G52"/>
  </mergeCells>
  <printOptions horizontalCentered="1" verticalCentered="1"/>
  <pageMargins left="0.2755905511811024" right="0.2755905511811024" top="0.3937007874015748" bottom="0.35433070866141736" header="0.11811023622047245" footer="0.11811023622047245"/>
  <pageSetup firstPageNumber="1" useFirstPageNumber="1" horizontalDpi="600" verticalDpi="600" orientation="landscape" paperSize="9" scale="64" r:id="rId1"/>
  <headerFooter alignWithMargins="0">
    <oddFooter>&amp;C&amp;P</oddFooter>
  </headerFooter>
  <rowBreaks count="6" manualBreakCount="6">
    <brk id="47" max="21" man="1"/>
    <brk id="90" max="255" man="1"/>
    <brk id="124" max="21" man="1"/>
    <brk id="163" max="21" man="1"/>
    <brk id="200" max="21" man="1"/>
    <brk id="236" max="21" man="1"/>
  </rowBreaks>
</worksheet>
</file>

<file path=xl/worksheets/sheet3.xml><?xml version="1.0" encoding="utf-8"?>
<worksheet xmlns="http://schemas.openxmlformats.org/spreadsheetml/2006/main" xmlns:r="http://schemas.openxmlformats.org/officeDocument/2006/relationships">
  <sheetPr>
    <pageSetUpPr fitToPage="1"/>
  </sheetPr>
  <dimension ref="A1:IV257"/>
  <sheetViews>
    <sheetView showGridLines="0" zoomScalePageLayoutView="0" workbookViewId="0" topLeftCell="A1">
      <pane xSplit="1" ySplit="8" topLeftCell="B71" activePane="bottomRight" state="frozen"/>
      <selection pane="topLeft" activeCell="A1" sqref="A1"/>
      <selection pane="topRight" activeCell="B1" sqref="B1"/>
      <selection pane="bottomLeft" activeCell="A9" sqref="A9"/>
      <selection pane="bottomRight" activeCell="A1" sqref="A1:IV16384"/>
    </sheetView>
  </sheetViews>
  <sheetFormatPr defaultColWidth="9.00390625" defaultRowHeight="12.75"/>
  <cols>
    <col min="1" max="1" width="59.75390625" style="8" customWidth="1"/>
    <col min="2" max="22" width="7.25390625" style="8" customWidth="1"/>
    <col min="23" max="16384" width="9.125" style="8" customWidth="1"/>
  </cols>
  <sheetData>
    <row r="1" spans="1:22" s="367" customFormat="1" ht="12.75" customHeight="1">
      <c r="A1" s="369"/>
      <c r="B1" s="371"/>
      <c r="C1" s="371"/>
      <c r="D1" s="371"/>
      <c r="E1" s="370"/>
      <c r="F1" s="371"/>
      <c r="G1" s="370"/>
      <c r="H1" s="370"/>
      <c r="I1" s="370"/>
      <c r="J1" s="371"/>
      <c r="K1" s="370"/>
      <c r="L1" s="370"/>
      <c r="M1" s="370" t="s">
        <v>19</v>
      </c>
      <c r="N1" s="370"/>
      <c r="O1" s="371"/>
      <c r="P1" s="370"/>
      <c r="Q1" s="370"/>
      <c r="R1" s="642" t="s">
        <v>154</v>
      </c>
      <c r="S1" s="642"/>
      <c r="T1" s="642"/>
      <c r="U1" s="642"/>
      <c r="V1" s="642"/>
    </row>
    <row r="2" spans="1:22" ht="12.75" customHeight="1">
      <c r="A2" s="157" t="s">
        <v>19</v>
      </c>
      <c r="B2" s="158" t="s">
        <v>19</v>
      </c>
      <c r="C2" s="158" t="s">
        <v>19</v>
      </c>
      <c r="D2" s="158"/>
      <c r="E2" s="158"/>
      <c r="F2" s="159"/>
      <c r="G2" s="158"/>
      <c r="H2" s="158"/>
      <c r="I2" s="158"/>
      <c r="J2" s="158"/>
      <c r="K2" s="158"/>
      <c r="L2" s="158"/>
      <c r="M2" s="158"/>
      <c r="N2" s="158"/>
      <c r="O2" s="158"/>
      <c r="P2" s="158"/>
      <c r="Q2" s="158"/>
      <c r="R2" s="618" t="s">
        <v>105</v>
      </c>
      <c r="S2" s="618"/>
      <c r="T2" s="618"/>
      <c r="U2" s="618"/>
      <c r="V2" s="618"/>
    </row>
    <row r="3" spans="1:22" ht="16.5" customHeight="1">
      <c r="A3" s="619" t="s">
        <v>147</v>
      </c>
      <c r="B3" s="619"/>
      <c r="C3" s="619"/>
      <c r="D3" s="619"/>
      <c r="E3" s="619"/>
      <c r="F3" s="619"/>
      <c r="G3" s="619"/>
      <c r="H3" s="619"/>
      <c r="I3" s="619"/>
      <c r="J3" s="619"/>
      <c r="K3" s="619"/>
      <c r="L3" s="619"/>
      <c r="M3" s="619"/>
      <c r="N3" s="619"/>
      <c r="O3" s="619"/>
      <c r="P3" s="619"/>
      <c r="Q3" s="619"/>
      <c r="R3" s="619"/>
      <c r="S3" s="619"/>
      <c r="T3" s="619"/>
      <c r="U3" s="619"/>
      <c r="V3" s="619"/>
    </row>
    <row r="4" spans="1:22" ht="15" customHeight="1" thickBot="1">
      <c r="A4" s="160" t="s">
        <v>54</v>
      </c>
      <c r="B4" s="161"/>
      <c r="C4" s="161"/>
      <c r="D4" s="162"/>
      <c r="E4" s="162"/>
      <c r="F4" s="162"/>
      <c r="G4" s="162"/>
      <c r="H4" s="162"/>
      <c r="I4" s="162"/>
      <c r="J4" s="162"/>
      <c r="K4" s="162"/>
      <c r="L4" s="162"/>
      <c r="M4" s="162"/>
      <c r="N4" s="162"/>
      <c r="O4" s="162"/>
      <c r="P4" s="162"/>
      <c r="Q4" s="162"/>
      <c r="R4" s="162"/>
      <c r="S4" s="162"/>
      <c r="T4" s="162"/>
      <c r="U4" s="162"/>
      <c r="V4" s="163" t="s">
        <v>11</v>
      </c>
    </row>
    <row r="5" spans="1:22" ht="12.75">
      <c r="A5" s="3"/>
      <c r="B5" s="4" t="s">
        <v>12</v>
      </c>
      <c r="C5" s="5"/>
      <c r="D5" s="5"/>
      <c r="E5" s="5"/>
      <c r="F5" s="5"/>
      <c r="G5" s="5"/>
      <c r="H5" s="5"/>
      <c r="I5" s="6"/>
      <c r="J5" s="4" t="s">
        <v>13</v>
      </c>
      <c r="K5" s="5"/>
      <c r="L5" s="7"/>
      <c r="M5" s="5"/>
      <c r="N5" s="6"/>
      <c r="O5" s="504" t="s">
        <v>14</v>
      </c>
      <c r="P5" s="505"/>
      <c r="Q5" s="505"/>
      <c r="R5" s="506"/>
      <c r="S5" s="504" t="s">
        <v>15</v>
      </c>
      <c r="T5" s="507"/>
      <c r="U5" s="507"/>
      <c r="V5" s="508"/>
    </row>
    <row r="6" spans="1:23" s="13" customFormat="1" ht="14.25" customHeight="1">
      <c r="A6" s="9" t="s">
        <v>3</v>
      </c>
      <c r="B6" s="487" t="s">
        <v>149</v>
      </c>
      <c r="C6" s="499" t="s">
        <v>150</v>
      </c>
      <c r="D6" s="484" t="s">
        <v>81</v>
      </c>
      <c r="E6" s="10" t="s">
        <v>16</v>
      </c>
      <c r="F6" s="10"/>
      <c r="G6" s="10"/>
      <c r="H6" s="11"/>
      <c r="I6" s="490" t="s">
        <v>196</v>
      </c>
      <c r="J6" s="487" t="s">
        <v>149</v>
      </c>
      <c r="K6" s="499" t="s">
        <v>197</v>
      </c>
      <c r="L6" s="484" t="s">
        <v>83</v>
      </c>
      <c r="M6" s="496" t="s">
        <v>84</v>
      </c>
      <c r="N6" s="490" t="s">
        <v>151</v>
      </c>
      <c r="O6" s="487" t="s">
        <v>152</v>
      </c>
      <c r="P6" s="493" t="s">
        <v>153</v>
      </c>
      <c r="Q6" s="496" t="s">
        <v>84</v>
      </c>
      <c r="R6" s="490" t="s">
        <v>196</v>
      </c>
      <c r="S6" s="487" t="s">
        <v>152</v>
      </c>
      <c r="T6" s="493" t="s">
        <v>153</v>
      </c>
      <c r="U6" s="496" t="s">
        <v>84</v>
      </c>
      <c r="V6" s="490" t="s">
        <v>196</v>
      </c>
      <c r="W6" s="12" t="s">
        <v>19</v>
      </c>
    </row>
    <row r="7" spans="1:22" ht="12.75" customHeight="1">
      <c r="A7" s="14"/>
      <c r="B7" s="488"/>
      <c r="C7" s="500" t="s">
        <v>33</v>
      </c>
      <c r="D7" s="485"/>
      <c r="E7" s="502" t="s">
        <v>90</v>
      </c>
      <c r="F7" s="502" t="s">
        <v>62</v>
      </c>
      <c r="G7" s="502" t="s">
        <v>63</v>
      </c>
      <c r="H7" s="496" t="s">
        <v>82</v>
      </c>
      <c r="I7" s="491"/>
      <c r="J7" s="488"/>
      <c r="K7" s="500" t="s">
        <v>33</v>
      </c>
      <c r="L7" s="485"/>
      <c r="M7" s="497"/>
      <c r="N7" s="491"/>
      <c r="O7" s="488"/>
      <c r="P7" s="494"/>
      <c r="Q7" s="497"/>
      <c r="R7" s="491"/>
      <c r="S7" s="488"/>
      <c r="T7" s="494"/>
      <c r="U7" s="497"/>
      <c r="V7" s="491"/>
    </row>
    <row r="8" spans="1:22" ht="53.25" customHeight="1" thickBot="1">
      <c r="A8" s="15" t="s">
        <v>19</v>
      </c>
      <c r="B8" s="489"/>
      <c r="C8" s="501" t="s">
        <v>61</v>
      </c>
      <c r="D8" s="486"/>
      <c r="E8" s="503"/>
      <c r="F8" s="503"/>
      <c r="G8" s="503"/>
      <c r="H8" s="498"/>
      <c r="I8" s="492"/>
      <c r="J8" s="489"/>
      <c r="K8" s="501" t="s">
        <v>61</v>
      </c>
      <c r="L8" s="486"/>
      <c r="M8" s="498"/>
      <c r="N8" s="492"/>
      <c r="O8" s="489"/>
      <c r="P8" s="495"/>
      <c r="Q8" s="498"/>
      <c r="R8" s="492"/>
      <c r="S8" s="489"/>
      <c r="T8" s="495"/>
      <c r="U8" s="498"/>
      <c r="V8" s="492"/>
    </row>
    <row r="9" spans="1:22" s="42" customFormat="1" ht="13.5" thickBot="1">
      <c r="A9" s="164" t="s">
        <v>248</v>
      </c>
      <c r="B9" s="165">
        <f aca="true" t="shared" si="0" ref="B9:V9">SUM(B10+B25+B40+B64+B81+B83+B85+B96+B98+B101+B103+B105+B107)</f>
        <v>47128</v>
      </c>
      <c r="C9" s="165">
        <f t="shared" si="0"/>
        <v>38813</v>
      </c>
      <c r="D9" s="165">
        <f t="shared" si="0"/>
        <v>74052</v>
      </c>
      <c r="E9" s="165">
        <f t="shared" si="0"/>
        <v>29119</v>
      </c>
      <c r="F9" s="165">
        <f t="shared" si="0"/>
        <v>4660</v>
      </c>
      <c r="G9" s="165">
        <f t="shared" si="0"/>
        <v>7032</v>
      </c>
      <c r="H9" s="165">
        <f t="shared" si="0"/>
        <v>71983</v>
      </c>
      <c r="I9" s="165">
        <f t="shared" si="0"/>
        <v>49197</v>
      </c>
      <c r="J9" s="165">
        <f t="shared" si="0"/>
        <v>38802</v>
      </c>
      <c r="K9" s="165">
        <f t="shared" si="0"/>
        <v>31250</v>
      </c>
      <c r="L9" s="165">
        <f t="shared" si="0"/>
        <v>10272</v>
      </c>
      <c r="M9" s="165">
        <f t="shared" si="0"/>
        <v>22630</v>
      </c>
      <c r="N9" s="165">
        <f t="shared" si="0"/>
        <v>26444</v>
      </c>
      <c r="O9" s="165">
        <f t="shared" si="0"/>
        <v>26619</v>
      </c>
      <c r="P9" s="165">
        <f t="shared" si="0"/>
        <v>24723</v>
      </c>
      <c r="Q9" s="165">
        <f t="shared" si="0"/>
        <v>17940</v>
      </c>
      <c r="R9" s="165">
        <f t="shared" si="0"/>
        <v>8679</v>
      </c>
      <c r="S9" s="165">
        <f t="shared" si="0"/>
        <v>11914</v>
      </c>
      <c r="T9" s="165">
        <f t="shared" si="0"/>
        <v>11884</v>
      </c>
      <c r="U9" s="165">
        <f t="shared" si="0"/>
        <v>4233</v>
      </c>
      <c r="V9" s="165">
        <f t="shared" si="0"/>
        <v>7681</v>
      </c>
    </row>
    <row r="10" spans="1:22" s="86" customFormat="1" ht="13.5" thickBot="1">
      <c r="A10" s="166" t="s">
        <v>17</v>
      </c>
      <c r="B10" s="167">
        <f aca="true" t="shared" si="1" ref="B10:V10">SUM(B11:B24)</f>
        <v>1988</v>
      </c>
      <c r="C10" s="165">
        <f t="shared" si="1"/>
        <v>1988</v>
      </c>
      <c r="D10" s="165">
        <f t="shared" si="1"/>
        <v>1674</v>
      </c>
      <c r="E10" s="165">
        <f t="shared" si="1"/>
        <v>502</v>
      </c>
      <c r="F10" s="165">
        <f t="shared" si="1"/>
        <v>0</v>
      </c>
      <c r="G10" s="165">
        <f t="shared" si="1"/>
        <v>0</v>
      </c>
      <c r="H10" s="165">
        <f t="shared" si="1"/>
        <v>1000</v>
      </c>
      <c r="I10" s="29">
        <f t="shared" si="1"/>
        <v>2662</v>
      </c>
      <c r="J10" s="167">
        <f t="shared" si="1"/>
        <v>1399</v>
      </c>
      <c r="K10" s="165">
        <f t="shared" si="1"/>
        <v>1399</v>
      </c>
      <c r="L10" s="165">
        <f t="shared" si="1"/>
        <v>361</v>
      </c>
      <c r="M10" s="165">
        <f t="shared" si="1"/>
        <v>892</v>
      </c>
      <c r="N10" s="29">
        <f t="shared" si="1"/>
        <v>868</v>
      </c>
      <c r="O10" s="167">
        <f t="shared" si="1"/>
        <v>1570</v>
      </c>
      <c r="P10" s="165">
        <f t="shared" si="1"/>
        <v>1543</v>
      </c>
      <c r="Q10" s="165">
        <f t="shared" si="1"/>
        <v>1069</v>
      </c>
      <c r="R10" s="29">
        <f t="shared" si="1"/>
        <v>501</v>
      </c>
      <c r="S10" s="167">
        <f t="shared" si="1"/>
        <v>152</v>
      </c>
      <c r="T10" s="165">
        <f t="shared" si="1"/>
        <v>127</v>
      </c>
      <c r="U10" s="165">
        <f t="shared" si="1"/>
        <v>30</v>
      </c>
      <c r="V10" s="29">
        <f t="shared" si="1"/>
        <v>122</v>
      </c>
    </row>
    <row r="11" spans="1:22" s="40" customFormat="1" ht="12.75">
      <c r="A11" s="141" t="s">
        <v>107</v>
      </c>
      <c r="B11" s="168">
        <v>58</v>
      </c>
      <c r="C11" s="169">
        <v>58</v>
      </c>
      <c r="D11" s="169">
        <v>6</v>
      </c>
      <c r="E11" s="170">
        <v>0</v>
      </c>
      <c r="F11" s="170">
        <v>0</v>
      </c>
      <c r="G11" s="170">
        <v>0</v>
      </c>
      <c r="H11" s="171">
        <v>0</v>
      </c>
      <c r="I11" s="38">
        <f>B11+D11-H11</f>
        <v>64</v>
      </c>
      <c r="J11" s="168">
        <v>44</v>
      </c>
      <c r="K11" s="169">
        <v>44</v>
      </c>
      <c r="L11" s="169">
        <v>39</v>
      </c>
      <c r="M11" s="170">
        <v>0</v>
      </c>
      <c r="N11" s="171">
        <f>J11+L11-M11</f>
        <v>83</v>
      </c>
      <c r="O11" s="168">
        <f>46+29</f>
        <v>75</v>
      </c>
      <c r="P11" s="169">
        <f>42+29</f>
        <v>71</v>
      </c>
      <c r="Q11" s="170">
        <v>75</v>
      </c>
      <c r="R11" s="38">
        <f>O11-Q11</f>
        <v>0</v>
      </c>
      <c r="S11" s="168">
        <f>14+9</f>
        <v>23</v>
      </c>
      <c r="T11" s="169">
        <f>14+9</f>
        <v>23</v>
      </c>
      <c r="U11" s="170">
        <v>0</v>
      </c>
      <c r="V11" s="38">
        <f>S11-U11</f>
        <v>23</v>
      </c>
    </row>
    <row r="12" spans="1:23" s="40" customFormat="1" ht="12.75">
      <c r="A12" s="141" t="s">
        <v>117</v>
      </c>
      <c r="B12" s="168">
        <v>257</v>
      </c>
      <c r="C12" s="169">
        <v>257</v>
      </c>
      <c r="D12" s="169">
        <v>155</v>
      </c>
      <c r="E12" s="170">
        <v>0</v>
      </c>
      <c r="F12" s="170">
        <v>0</v>
      </c>
      <c r="G12" s="170">
        <v>0</v>
      </c>
      <c r="H12" s="171">
        <v>46</v>
      </c>
      <c r="I12" s="38">
        <f aca="true" t="shared" si="2" ref="I12:I24">B12+D12-H12</f>
        <v>366</v>
      </c>
      <c r="J12" s="168">
        <v>137</v>
      </c>
      <c r="K12" s="169">
        <v>137</v>
      </c>
      <c r="L12" s="169">
        <v>1</v>
      </c>
      <c r="M12" s="170">
        <v>0</v>
      </c>
      <c r="N12" s="171">
        <f aca="true" t="shared" si="3" ref="N12:N24">J12+L12-M12</f>
        <v>138</v>
      </c>
      <c r="O12" s="168">
        <f>14+80</f>
        <v>94</v>
      </c>
      <c r="P12" s="169">
        <v>94</v>
      </c>
      <c r="Q12" s="170">
        <v>94</v>
      </c>
      <c r="R12" s="38">
        <f aca="true" t="shared" si="4" ref="R12:R24">O12-Q12</f>
        <v>0</v>
      </c>
      <c r="S12" s="168">
        <v>0</v>
      </c>
      <c r="T12" s="169">
        <v>0</v>
      </c>
      <c r="U12" s="170">
        <v>0</v>
      </c>
      <c r="V12" s="38">
        <f aca="true" t="shared" si="5" ref="V12:V24">S12-U12</f>
        <v>0</v>
      </c>
      <c r="W12" s="172"/>
    </row>
    <row r="13" spans="1:23" ht="12.75">
      <c r="A13" s="173" t="s">
        <v>45</v>
      </c>
      <c r="B13" s="168">
        <v>337</v>
      </c>
      <c r="C13" s="169">
        <v>337</v>
      </c>
      <c r="D13" s="169">
        <v>34</v>
      </c>
      <c r="E13" s="170">
        <v>0</v>
      </c>
      <c r="F13" s="170">
        <v>0</v>
      </c>
      <c r="G13" s="170">
        <v>0</v>
      </c>
      <c r="H13" s="171">
        <v>0</v>
      </c>
      <c r="I13" s="38">
        <f t="shared" si="2"/>
        <v>371</v>
      </c>
      <c r="J13" s="168">
        <v>3</v>
      </c>
      <c r="K13" s="169">
        <v>3</v>
      </c>
      <c r="L13" s="169">
        <v>2</v>
      </c>
      <c r="M13" s="170">
        <v>0</v>
      </c>
      <c r="N13" s="171">
        <f t="shared" si="3"/>
        <v>5</v>
      </c>
      <c r="O13" s="168">
        <f>82+55</f>
        <v>137</v>
      </c>
      <c r="P13" s="169">
        <v>137</v>
      </c>
      <c r="Q13" s="170">
        <v>90</v>
      </c>
      <c r="R13" s="38">
        <f t="shared" si="4"/>
        <v>47</v>
      </c>
      <c r="S13" s="168">
        <v>0</v>
      </c>
      <c r="T13" s="169">
        <v>0</v>
      </c>
      <c r="U13" s="170">
        <v>0</v>
      </c>
      <c r="V13" s="38">
        <f t="shared" si="5"/>
        <v>0</v>
      </c>
      <c r="W13" s="40"/>
    </row>
    <row r="14" spans="1:23" s="40" customFormat="1" ht="12.75">
      <c r="A14" s="141" t="s">
        <v>108</v>
      </c>
      <c r="B14" s="168">
        <v>18</v>
      </c>
      <c r="C14" s="169">
        <v>18</v>
      </c>
      <c r="D14" s="169">
        <v>80</v>
      </c>
      <c r="E14" s="170">
        <v>0</v>
      </c>
      <c r="F14" s="170">
        <v>0</v>
      </c>
      <c r="G14" s="170">
        <v>0</v>
      </c>
      <c r="H14" s="171">
        <v>70</v>
      </c>
      <c r="I14" s="38">
        <f t="shared" si="2"/>
        <v>28</v>
      </c>
      <c r="J14" s="168">
        <v>2</v>
      </c>
      <c r="K14" s="169">
        <v>2</v>
      </c>
      <c r="L14" s="169">
        <v>173</v>
      </c>
      <c r="M14" s="170">
        <v>80</v>
      </c>
      <c r="N14" s="171">
        <f t="shared" si="3"/>
        <v>95</v>
      </c>
      <c r="O14" s="168">
        <f>218+111</f>
        <v>329</v>
      </c>
      <c r="P14" s="169">
        <v>329</v>
      </c>
      <c r="Q14" s="170">
        <v>100</v>
      </c>
      <c r="R14" s="38">
        <f t="shared" si="4"/>
        <v>229</v>
      </c>
      <c r="S14" s="168">
        <v>0</v>
      </c>
      <c r="T14" s="169">
        <v>0</v>
      </c>
      <c r="U14" s="170">
        <v>0</v>
      </c>
      <c r="V14" s="38">
        <f t="shared" si="5"/>
        <v>0</v>
      </c>
      <c r="W14" s="172"/>
    </row>
    <row r="15" spans="1:22" s="40" customFormat="1" ht="12.75">
      <c r="A15" s="141" t="s">
        <v>60</v>
      </c>
      <c r="B15" s="168">
        <v>0</v>
      </c>
      <c r="C15" s="169">
        <v>0</v>
      </c>
      <c r="D15" s="169">
        <v>0</v>
      </c>
      <c r="E15" s="170">
        <v>0</v>
      </c>
      <c r="F15" s="170">
        <v>0</v>
      </c>
      <c r="G15" s="170">
        <v>0</v>
      </c>
      <c r="H15" s="171">
        <v>0</v>
      </c>
      <c r="I15" s="38">
        <f t="shared" si="2"/>
        <v>0</v>
      </c>
      <c r="J15" s="168">
        <v>281</v>
      </c>
      <c r="K15" s="169">
        <v>281</v>
      </c>
      <c r="L15" s="169">
        <v>0</v>
      </c>
      <c r="M15" s="170">
        <v>281</v>
      </c>
      <c r="N15" s="171">
        <f t="shared" si="3"/>
        <v>0</v>
      </c>
      <c r="O15" s="168">
        <f>57+52</f>
        <v>109</v>
      </c>
      <c r="P15" s="169">
        <v>109</v>
      </c>
      <c r="Q15" s="170">
        <v>65</v>
      </c>
      <c r="R15" s="38">
        <f t="shared" si="4"/>
        <v>44</v>
      </c>
      <c r="S15" s="168">
        <v>0</v>
      </c>
      <c r="T15" s="169">
        <v>0</v>
      </c>
      <c r="U15" s="170">
        <v>0</v>
      </c>
      <c r="V15" s="38">
        <f t="shared" si="5"/>
        <v>0</v>
      </c>
    </row>
    <row r="16" spans="1:22" s="40" customFormat="1" ht="12.75">
      <c r="A16" s="141" t="s">
        <v>109</v>
      </c>
      <c r="B16" s="168">
        <v>64</v>
      </c>
      <c r="C16" s="169">
        <v>64</v>
      </c>
      <c r="D16" s="169">
        <v>20</v>
      </c>
      <c r="E16" s="170">
        <v>0</v>
      </c>
      <c r="F16" s="170">
        <v>0</v>
      </c>
      <c r="G16" s="170">
        <v>0</v>
      </c>
      <c r="H16" s="171">
        <v>0</v>
      </c>
      <c r="I16" s="38">
        <f t="shared" si="2"/>
        <v>84</v>
      </c>
      <c r="J16" s="168">
        <v>2</v>
      </c>
      <c r="K16" s="169">
        <v>2</v>
      </c>
      <c r="L16" s="169">
        <v>1</v>
      </c>
      <c r="M16" s="170">
        <v>0</v>
      </c>
      <c r="N16" s="171">
        <f t="shared" si="3"/>
        <v>3</v>
      </c>
      <c r="O16" s="168">
        <f>63+56</f>
        <v>119</v>
      </c>
      <c r="P16" s="169">
        <v>119</v>
      </c>
      <c r="Q16" s="170">
        <v>72</v>
      </c>
      <c r="R16" s="38">
        <f t="shared" si="4"/>
        <v>47</v>
      </c>
      <c r="S16" s="168">
        <v>0</v>
      </c>
      <c r="T16" s="169">
        <v>0</v>
      </c>
      <c r="U16" s="170">
        <v>0</v>
      </c>
      <c r="V16" s="38">
        <f t="shared" si="5"/>
        <v>0</v>
      </c>
    </row>
    <row r="17" spans="1:23" s="40" customFormat="1" ht="12.75">
      <c r="A17" s="141" t="s">
        <v>106</v>
      </c>
      <c r="B17" s="168">
        <v>91</v>
      </c>
      <c r="C17" s="169">
        <v>91</v>
      </c>
      <c r="D17" s="169">
        <v>16</v>
      </c>
      <c r="E17" s="170">
        <v>0</v>
      </c>
      <c r="F17" s="170">
        <v>0</v>
      </c>
      <c r="G17" s="170">
        <v>0</v>
      </c>
      <c r="H17" s="171">
        <v>0</v>
      </c>
      <c r="I17" s="38">
        <f t="shared" si="2"/>
        <v>107</v>
      </c>
      <c r="J17" s="168">
        <v>41</v>
      </c>
      <c r="K17" s="169">
        <v>41</v>
      </c>
      <c r="L17" s="169">
        <v>1</v>
      </c>
      <c r="M17" s="170">
        <v>20</v>
      </c>
      <c r="N17" s="171">
        <f t="shared" si="3"/>
        <v>22</v>
      </c>
      <c r="O17" s="168">
        <f>44+70</f>
        <v>114</v>
      </c>
      <c r="P17" s="169">
        <v>114</v>
      </c>
      <c r="Q17" s="170">
        <v>80</v>
      </c>
      <c r="R17" s="38">
        <f t="shared" si="4"/>
        <v>34</v>
      </c>
      <c r="S17" s="168">
        <v>0</v>
      </c>
      <c r="T17" s="169">
        <v>0</v>
      </c>
      <c r="U17" s="170">
        <v>0</v>
      </c>
      <c r="V17" s="38">
        <f t="shared" si="5"/>
        <v>0</v>
      </c>
      <c r="W17" s="174"/>
    </row>
    <row r="18" spans="1:23" s="40" customFormat="1" ht="12.75">
      <c r="A18" s="141" t="s">
        <v>114</v>
      </c>
      <c r="B18" s="168">
        <v>183</v>
      </c>
      <c r="C18" s="169">
        <v>183</v>
      </c>
      <c r="D18" s="169">
        <v>121</v>
      </c>
      <c r="E18" s="170">
        <v>67</v>
      </c>
      <c r="F18" s="170">
        <v>0</v>
      </c>
      <c r="G18" s="170">
        <v>0</v>
      </c>
      <c r="H18" s="171">
        <v>84</v>
      </c>
      <c r="I18" s="38">
        <f t="shared" si="2"/>
        <v>220</v>
      </c>
      <c r="J18" s="168">
        <v>8</v>
      </c>
      <c r="K18" s="169">
        <v>8</v>
      </c>
      <c r="L18" s="169">
        <v>35</v>
      </c>
      <c r="M18" s="170">
        <v>0</v>
      </c>
      <c r="N18" s="171">
        <f t="shared" si="3"/>
        <v>43</v>
      </c>
      <c r="O18" s="168">
        <f>60+114</f>
        <v>174</v>
      </c>
      <c r="P18" s="169">
        <v>174</v>
      </c>
      <c r="Q18" s="170">
        <v>174</v>
      </c>
      <c r="R18" s="38">
        <f t="shared" si="4"/>
        <v>0</v>
      </c>
      <c r="S18" s="168">
        <v>25</v>
      </c>
      <c r="T18" s="169">
        <v>0</v>
      </c>
      <c r="U18" s="170">
        <v>0</v>
      </c>
      <c r="V18" s="38">
        <f t="shared" si="5"/>
        <v>25</v>
      </c>
      <c r="W18" s="172"/>
    </row>
    <row r="19" spans="1:22" s="40" customFormat="1" ht="12.75">
      <c r="A19" s="141" t="s">
        <v>115</v>
      </c>
      <c r="B19" s="168">
        <v>105</v>
      </c>
      <c r="C19" s="169">
        <v>105</v>
      </c>
      <c r="D19" s="169">
        <v>278</v>
      </c>
      <c r="E19" s="170">
        <v>235</v>
      </c>
      <c r="F19" s="170">
        <v>0</v>
      </c>
      <c r="G19" s="170">
        <v>0</v>
      </c>
      <c r="H19" s="171">
        <v>235</v>
      </c>
      <c r="I19" s="38">
        <f t="shared" si="2"/>
        <v>148</v>
      </c>
      <c r="J19" s="168">
        <f>21+435</f>
        <v>456</v>
      </c>
      <c r="K19" s="169">
        <v>456</v>
      </c>
      <c r="L19" s="169">
        <f>26+10</f>
        <v>36</v>
      </c>
      <c r="M19" s="170">
        <f>20+445</f>
        <v>465</v>
      </c>
      <c r="N19" s="171">
        <f t="shared" si="3"/>
        <v>27</v>
      </c>
      <c r="O19" s="168">
        <f>47+55</f>
        <v>102</v>
      </c>
      <c r="P19" s="169">
        <v>102</v>
      </c>
      <c r="Q19" s="170">
        <v>60</v>
      </c>
      <c r="R19" s="38">
        <f t="shared" si="4"/>
        <v>42</v>
      </c>
      <c r="S19" s="168">
        <v>10</v>
      </c>
      <c r="T19" s="169">
        <v>10</v>
      </c>
      <c r="U19" s="170">
        <v>0</v>
      </c>
      <c r="V19" s="38">
        <f t="shared" si="5"/>
        <v>10</v>
      </c>
    </row>
    <row r="20" spans="1:22" s="40" customFormat="1" ht="12.75">
      <c r="A20" s="141" t="s">
        <v>171</v>
      </c>
      <c r="B20" s="168">
        <v>99</v>
      </c>
      <c r="C20" s="170">
        <v>99</v>
      </c>
      <c r="D20" s="170">
        <v>19</v>
      </c>
      <c r="E20" s="170">
        <v>0</v>
      </c>
      <c r="F20" s="170">
        <v>0</v>
      </c>
      <c r="G20" s="170">
        <v>0</v>
      </c>
      <c r="H20" s="170">
        <v>0</v>
      </c>
      <c r="I20" s="38">
        <f t="shared" si="2"/>
        <v>118</v>
      </c>
      <c r="J20" s="169">
        <v>317</v>
      </c>
      <c r="K20" s="169">
        <v>317</v>
      </c>
      <c r="L20" s="169">
        <v>38</v>
      </c>
      <c r="M20" s="170">
        <v>38</v>
      </c>
      <c r="N20" s="171">
        <f t="shared" si="3"/>
        <v>317</v>
      </c>
      <c r="O20" s="168">
        <f>33+33</f>
        <v>66</v>
      </c>
      <c r="P20" s="169">
        <v>66</v>
      </c>
      <c r="Q20" s="170">
        <v>50</v>
      </c>
      <c r="R20" s="38">
        <f t="shared" si="4"/>
        <v>16</v>
      </c>
      <c r="S20" s="168">
        <f>57+9</f>
        <v>66</v>
      </c>
      <c r="T20" s="170">
        <v>66</v>
      </c>
      <c r="U20" s="170">
        <v>30</v>
      </c>
      <c r="V20" s="38">
        <f t="shared" si="5"/>
        <v>36</v>
      </c>
    </row>
    <row r="21" spans="1:22" s="40" customFormat="1" ht="12.75">
      <c r="A21" s="141" t="s">
        <v>110</v>
      </c>
      <c r="B21" s="168">
        <v>716</v>
      </c>
      <c r="C21" s="170">
        <v>716</v>
      </c>
      <c r="D21" s="170">
        <v>348</v>
      </c>
      <c r="E21" s="170">
        <v>0</v>
      </c>
      <c r="F21" s="170">
        <v>0</v>
      </c>
      <c r="G21" s="170">
        <v>0</v>
      </c>
      <c r="H21" s="170">
        <v>1</v>
      </c>
      <c r="I21" s="171">
        <f t="shared" si="2"/>
        <v>1063</v>
      </c>
      <c r="J21" s="168">
        <v>21</v>
      </c>
      <c r="K21" s="170">
        <v>21</v>
      </c>
      <c r="L21" s="170">
        <v>0</v>
      </c>
      <c r="M21" s="170">
        <v>0</v>
      </c>
      <c r="N21" s="171">
        <f t="shared" si="3"/>
        <v>21</v>
      </c>
      <c r="O21" s="168">
        <f>10+22</f>
        <v>32</v>
      </c>
      <c r="P21" s="170">
        <v>32</v>
      </c>
      <c r="Q21" s="170">
        <v>30</v>
      </c>
      <c r="R21" s="38">
        <f t="shared" si="4"/>
        <v>2</v>
      </c>
      <c r="S21" s="168">
        <v>8</v>
      </c>
      <c r="T21" s="170">
        <v>8</v>
      </c>
      <c r="U21" s="170">
        <v>0</v>
      </c>
      <c r="V21" s="38">
        <f t="shared" si="5"/>
        <v>8</v>
      </c>
    </row>
    <row r="22" spans="1:22" s="40" customFormat="1" ht="12.75">
      <c r="A22" s="141" t="s">
        <v>111</v>
      </c>
      <c r="B22" s="175">
        <v>0</v>
      </c>
      <c r="C22" s="176">
        <v>0</v>
      </c>
      <c r="D22" s="176">
        <v>0</v>
      </c>
      <c r="E22" s="177">
        <v>0</v>
      </c>
      <c r="F22" s="177">
        <v>0</v>
      </c>
      <c r="G22" s="177">
        <v>0</v>
      </c>
      <c r="H22" s="178">
        <v>0</v>
      </c>
      <c r="I22" s="70">
        <f t="shared" si="2"/>
        <v>0</v>
      </c>
      <c r="J22" s="175">
        <v>0</v>
      </c>
      <c r="K22" s="176">
        <v>0</v>
      </c>
      <c r="L22" s="176">
        <v>0</v>
      </c>
      <c r="M22" s="177">
        <v>0</v>
      </c>
      <c r="N22" s="178">
        <f t="shared" si="3"/>
        <v>0</v>
      </c>
      <c r="O22" s="175">
        <v>30</v>
      </c>
      <c r="P22" s="176">
        <v>30</v>
      </c>
      <c r="Q22" s="177">
        <v>30</v>
      </c>
      <c r="R22" s="38">
        <f t="shared" si="4"/>
        <v>0</v>
      </c>
      <c r="S22" s="175">
        <v>0</v>
      </c>
      <c r="T22" s="176">
        <v>0</v>
      </c>
      <c r="U22" s="177">
        <v>0</v>
      </c>
      <c r="V22" s="70">
        <f t="shared" si="5"/>
        <v>0</v>
      </c>
    </row>
    <row r="23" spans="1:54" s="179" customFormat="1" ht="12.75">
      <c r="A23" s="141" t="s">
        <v>112</v>
      </c>
      <c r="B23" s="168">
        <v>8</v>
      </c>
      <c r="C23" s="169">
        <v>8</v>
      </c>
      <c r="D23" s="169">
        <v>3</v>
      </c>
      <c r="E23" s="170">
        <v>0</v>
      </c>
      <c r="F23" s="170">
        <v>0</v>
      </c>
      <c r="G23" s="170">
        <v>0</v>
      </c>
      <c r="H23" s="171">
        <v>0</v>
      </c>
      <c r="I23" s="38">
        <f t="shared" si="2"/>
        <v>11</v>
      </c>
      <c r="J23" s="168">
        <v>5</v>
      </c>
      <c r="K23" s="169">
        <v>5</v>
      </c>
      <c r="L23" s="169">
        <v>5</v>
      </c>
      <c r="M23" s="170">
        <v>8</v>
      </c>
      <c r="N23" s="171">
        <f t="shared" si="3"/>
        <v>2</v>
      </c>
      <c r="O23" s="168">
        <f>8+25</f>
        <v>33</v>
      </c>
      <c r="P23" s="169">
        <v>27</v>
      </c>
      <c r="Q23" s="170">
        <v>27</v>
      </c>
      <c r="R23" s="38">
        <f t="shared" si="4"/>
        <v>6</v>
      </c>
      <c r="S23" s="168">
        <v>5</v>
      </c>
      <c r="T23" s="169">
        <v>5</v>
      </c>
      <c r="U23" s="170">
        <v>0</v>
      </c>
      <c r="V23" s="38">
        <f t="shared" si="5"/>
        <v>5</v>
      </c>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row>
    <row r="24" spans="1:22" s="179" customFormat="1" ht="13.5" thickBot="1">
      <c r="A24" s="180" t="s">
        <v>113</v>
      </c>
      <c r="B24" s="175">
        <v>52</v>
      </c>
      <c r="C24" s="176">
        <v>52</v>
      </c>
      <c r="D24" s="177">
        <v>594</v>
      </c>
      <c r="E24" s="177">
        <v>200</v>
      </c>
      <c r="F24" s="177">
        <v>0</v>
      </c>
      <c r="G24" s="177">
        <v>0</v>
      </c>
      <c r="H24" s="177">
        <v>564</v>
      </c>
      <c r="I24" s="70">
        <f t="shared" si="2"/>
        <v>82</v>
      </c>
      <c r="J24" s="175">
        <v>82</v>
      </c>
      <c r="K24" s="176">
        <v>82</v>
      </c>
      <c r="L24" s="177">
        <v>30</v>
      </c>
      <c r="M24" s="177">
        <v>0</v>
      </c>
      <c r="N24" s="70">
        <f t="shared" si="3"/>
        <v>112</v>
      </c>
      <c r="O24" s="175">
        <v>156</v>
      </c>
      <c r="P24" s="176">
        <v>139</v>
      </c>
      <c r="Q24" s="177">
        <v>122</v>
      </c>
      <c r="R24" s="38">
        <f t="shared" si="4"/>
        <v>34</v>
      </c>
      <c r="S24" s="175">
        <v>15</v>
      </c>
      <c r="T24" s="176">
        <v>15</v>
      </c>
      <c r="U24" s="177">
        <v>0</v>
      </c>
      <c r="V24" s="70">
        <f t="shared" si="5"/>
        <v>15</v>
      </c>
    </row>
    <row r="25" spans="1:54" ht="13.5" thickBot="1">
      <c r="A25" s="164" t="s">
        <v>18</v>
      </c>
      <c r="B25" s="167">
        <f>SUM(B26:B39)</f>
        <v>9883</v>
      </c>
      <c r="C25" s="165">
        <f aca="true" t="shared" si="6" ref="C25:V25">SUM(C26:C39)</f>
        <v>9883</v>
      </c>
      <c r="D25" s="165">
        <f t="shared" si="6"/>
        <v>12214</v>
      </c>
      <c r="E25" s="165">
        <f t="shared" si="6"/>
        <v>1840</v>
      </c>
      <c r="F25" s="165">
        <f t="shared" si="6"/>
        <v>220</v>
      </c>
      <c r="G25" s="165">
        <f t="shared" si="6"/>
        <v>827</v>
      </c>
      <c r="H25" s="165">
        <f t="shared" si="6"/>
        <v>10562</v>
      </c>
      <c r="I25" s="29">
        <f t="shared" si="6"/>
        <v>11535</v>
      </c>
      <c r="J25" s="167">
        <f t="shared" si="6"/>
        <v>3283</v>
      </c>
      <c r="K25" s="165">
        <f t="shared" si="6"/>
        <v>3283</v>
      </c>
      <c r="L25" s="165">
        <f t="shared" si="6"/>
        <v>767</v>
      </c>
      <c r="M25" s="165">
        <f t="shared" si="6"/>
        <v>885</v>
      </c>
      <c r="N25" s="29">
        <f t="shared" si="6"/>
        <v>3165</v>
      </c>
      <c r="O25" s="167">
        <f t="shared" si="6"/>
        <v>4863</v>
      </c>
      <c r="P25" s="165">
        <f t="shared" si="6"/>
        <v>4455</v>
      </c>
      <c r="Q25" s="165">
        <f t="shared" si="6"/>
        <v>3331</v>
      </c>
      <c r="R25" s="29">
        <f t="shared" si="6"/>
        <v>1532</v>
      </c>
      <c r="S25" s="167">
        <f t="shared" si="6"/>
        <v>823</v>
      </c>
      <c r="T25" s="165">
        <f t="shared" si="6"/>
        <v>823</v>
      </c>
      <c r="U25" s="165">
        <f t="shared" si="6"/>
        <v>224</v>
      </c>
      <c r="V25" s="29">
        <f t="shared" si="6"/>
        <v>599</v>
      </c>
      <c r="W25" s="181"/>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row>
    <row r="26" spans="1:54" s="324" customFormat="1" ht="12.75">
      <c r="A26" s="316" t="s">
        <v>68</v>
      </c>
      <c r="B26" s="317">
        <v>101</v>
      </c>
      <c r="C26" s="318">
        <v>101</v>
      </c>
      <c r="D26" s="318">
        <v>516</v>
      </c>
      <c r="E26" s="319">
        <v>150</v>
      </c>
      <c r="F26" s="319">
        <v>0</v>
      </c>
      <c r="G26" s="319">
        <v>80</v>
      </c>
      <c r="H26" s="320">
        <v>560</v>
      </c>
      <c r="I26" s="321">
        <f aca="true" t="shared" si="7" ref="I26:I39">B26+D26-H26</f>
        <v>57</v>
      </c>
      <c r="J26" s="317">
        <v>126</v>
      </c>
      <c r="K26" s="318">
        <v>126</v>
      </c>
      <c r="L26" s="318">
        <v>33</v>
      </c>
      <c r="M26" s="319">
        <v>159</v>
      </c>
      <c r="N26" s="320">
        <f aca="true" t="shared" si="8" ref="N26:N39">J26+L26-M26</f>
        <v>0</v>
      </c>
      <c r="O26" s="317">
        <f>130+150</f>
        <v>280</v>
      </c>
      <c r="P26" s="318">
        <v>130</v>
      </c>
      <c r="Q26" s="319">
        <v>240</v>
      </c>
      <c r="R26" s="321">
        <f aca="true" t="shared" si="9" ref="R26:R39">O26-Q26</f>
        <v>40</v>
      </c>
      <c r="S26" s="317">
        <v>0</v>
      </c>
      <c r="T26" s="318">
        <v>0</v>
      </c>
      <c r="U26" s="319">
        <v>0</v>
      </c>
      <c r="V26" s="321">
        <f aca="true" t="shared" si="10" ref="V26:V39">S26-U26</f>
        <v>0</v>
      </c>
      <c r="W26" s="322"/>
      <c r="X26" s="323"/>
      <c r="Y26" s="323"/>
      <c r="Z26" s="323"/>
      <c r="AA26" s="323"/>
      <c r="AB26" s="323"/>
      <c r="AC26" s="323"/>
      <c r="AD26" s="323"/>
      <c r="AE26" s="323"/>
      <c r="AF26" s="323"/>
      <c r="AG26" s="323"/>
      <c r="AH26" s="323"/>
      <c r="AI26" s="323"/>
      <c r="AJ26" s="323"/>
      <c r="AK26" s="323"/>
      <c r="AL26" s="323"/>
      <c r="AM26" s="323"/>
      <c r="AN26" s="323"/>
      <c r="AO26" s="323"/>
      <c r="AP26" s="323"/>
      <c r="AQ26" s="323"/>
      <c r="AR26" s="323"/>
      <c r="AS26" s="323"/>
      <c r="AT26" s="323"/>
      <c r="AU26" s="323"/>
      <c r="AV26" s="323"/>
      <c r="AW26" s="323"/>
      <c r="AX26" s="323"/>
      <c r="AY26" s="323"/>
      <c r="AZ26" s="323"/>
      <c r="BA26" s="323"/>
      <c r="BB26" s="323"/>
    </row>
    <row r="27" spans="1:54" s="324" customFormat="1" ht="12.75">
      <c r="A27" s="325" t="s">
        <v>4</v>
      </c>
      <c r="B27" s="326">
        <v>111</v>
      </c>
      <c r="C27" s="327">
        <v>111</v>
      </c>
      <c r="D27" s="327">
        <v>1372</v>
      </c>
      <c r="E27" s="328">
        <v>0</v>
      </c>
      <c r="F27" s="328">
        <v>0</v>
      </c>
      <c r="G27" s="328">
        <v>0</v>
      </c>
      <c r="H27" s="329">
        <v>1119</v>
      </c>
      <c r="I27" s="330">
        <f t="shared" si="7"/>
        <v>364</v>
      </c>
      <c r="J27" s="326">
        <v>49</v>
      </c>
      <c r="K27" s="327">
        <v>49</v>
      </c>
      <c r="L27" s="327">
        <v>35</v>
      </c>
      <c r="M27" s="328">
        <v>0</v>
      </c>
      <c r="N27" s="329">
        <f t="shared" si="8"/>
        <v>84</v>
      </c>
      <c r="O27" s="326">
        <f>105+57</f>
        <v>162</v>
      </c>
      <c r="P27" s="327">
        <f>105+62</f>
        <v>167</v>
      </c>
      <c r="Q27" s="328">
        <v>134</v>
      </c>
      <c r="R27" s="330">
        <f t="shared" si="9"/>
        <v>28</v>
      </c>
      <c r="S27" s="326">
        <v>7</v>
      </c>
      <c r="T27" s="327">
        <v>7</v>
      </c>
      <c r="U27" s="328">
        <v>0</v>
      </c>
      <c r="V27" s="330">
        <f t="shared" si="10"/>
        <v>7</v>
      </c>
      <c r="W27" s="323"/>
      <c r="X27" s="323"/>
      <c r="Y27" s="323"/>
      <c r="Z27" s="323"/>
      <c r="AA27" s="323"/>
      <c r="AB27" s="323"/>
      <c r="AC27" s="323"/>
      <c r="AD27" s="323"/>
      <c r="AE27" s="323"/>
      <c r="AF27" s="323"/>
      <c r="AG27" s="323"/>
      <c r="AH27" s="323"/>
      <c r="AI27" s="323"/>
      <c r="AJ27" s="323"/>
      <c r="AK27" s="323"/>
      <c r="AL27" s="323"/>
      <c r="AM27" s="323"/>
      <c r="AN27" s="323"/>
      <c r="AO27" s="323"/>
      <c r="AP27" s="323"/>
      <c r="AQ27" s="323"/>
      <c r="AR27" s="323"/>
      <c r="AS27" s="323"/>
      <c r="AT27" s="323"/>
      <c r="AU27" s="323"/>
      <c r="AV27" s="323"/>
      <c r="AW27" s="323"/>
      <c r="AX27" s="323"/>
      <c r="AY27" s="323"/>
      <c r="AZ27" s="323"/>
      <c r="BA27" s="323"/>
      <c r="BB27" s="323"/>
    </row>
    <row r="28" spans="1:54" s="324" customFormat="1" ht="12.75">
      <c r="A28" s="325" t="s">
        <v>146</v>
      </c>
      <c r="B28" s="326">
        <v>1101</v>
      </c>
      <c r="C28" s="327">
        <v>1101</v>
      </c>
      <c r="D28" s="327">
        <v>1904</v>
      </c>
      <c r="E28" s="328">
        <f>1030-140-130</f>
        <v>760</v>
      </c>
      <c r="F28" s="328">
        <v>0</v>
      </c>
      <c r="G28" s="328">
        <v>0</v>
      </c>
      <c r="H28" s="329">
        <f>760+887</f>
        <v>1647</v>
      </c>
      <c r="I28" s="330">
        <f t="shared" si="7"/>
        <v>1358</v>
      </c>
      <c r="J28" s="326">
        <v>166</v>
      </c>
      <c r="K28" s="327">
        <v>166</v>
      </c>
      <c r="L28" s="327">
        <v>9</v>
      </c>
      <c r="M28" s="328">
        <v>0</v>
      </c>
      <c r="N28" s="329">
        <f t="shared" si="8"/>
        <v>175</v>
      </c>
      <c r="O28" s="326">
        <f>220+387</f>
        <v>607</v>
      </c>
      <c r="P28" s="327">
        <f>220+355</f>
        <v>575</v>
      </c>
      <c r="Q28" s="328">
        <v>447</v>
      </c>
      <c r="R28" s="330">
        <f t="shared" si="9"/>
        <v>160</v>
      </c>
      <c r="S28" s="326">
        <v>52</v>
      </c>
      <c r="T28" s="327">
        <v>52</v>
      </c>
      <c r="U28" s="328">
        <v>0</v>
      </c>
      <c r="V28" s="330">
        <f t="shared" si="10"/>
        <v>52</v>
      </c>
      <c r="W28" s="323"/>
      <c r="X28" s="323"/>
      <c r="Y28" s="323"/>
      <c r="Z28" s="323"/>
      <c r="AA28" s="323"/>
      <c r="AB28" s="323"/>
      <c r="AC28" s="323"/>
      <c r="AD28" s="323"/>
      <c r="AE28" s="323"/>
      <c r="AF28" s="323"/>
      <c r="AG28" s="323"/>
      <c r="AH28" s="323"/>
      <c r="AI28" s="323"/>
      <c r="AJ28" s="323"/>
      <c r="AK28" s="323"/>
      <c r="AL28" s="323"/>
      <c r="AM28" s="323"/>
      <c r="AN28" s="323"/>
      <c r="AO28" s="323"/>
      <c r="AP28" s="323"/>
      <c r="AQ28" s="323"/>
      <c r="AR28" s="323"/>
      <c r="AS28" s="323"/>
      <c r="AT28" s="323"/>
      <c r="AU28" s="323"/>
      <c r="AV28" s="323"/>
      <c r="AW28" s="323"/>
      <c r="AX28" s="323"/>
      <c r="AY28" s="323"/>
      <c r="AZ28" s="323"/>
      <c r="BA28" s="323"/>
      <c r="BB28" s="323"/>
    </row>
    <row r="29" spans="1:54" s="324" customFormat="1" ht="12.75">
      <c r="A29" s="325" t="s">
        <v>5</v>
      </c>
      <c r="B29" s="331">
        <v>745</v>
      </c>
      <c r="C29" s="332">
        <v>745</v>
      </c>
      <c r="D29" s="332">
        <v>735</v>
      </c>
      <c r="E29" s="333">
        <v>110</v>
      </c>
      <c r="F29" s="333">
        <v>0</v>
      </c>
      <c r="G29" s="333">
        <v>0</v>
      </c>
      <c r="H29" s="334">
        <v>670</v>
      </c>
      <c r="I29" s="335">
        <f t="shared" si="7"/>
        <v>810</v>
      </c>
      <c r="J29" s="326">
        <v>69</v>
      </c>
      <c r="K29" s="327">
        <v>69</v>
      </c>
      <c r="L29" s="327">
        <v>43</v>
      </c>
      <c r="M29" s="328">
        <v>2</v>
      </c>
      <c r="N29" s="329">
        <f t="shared" si="8"/>
        <v>110</v>
      </c>
      <c r="O29" s="326">
        <v>250</v>
      </c>
      <c r="P29" s="327">
        <v>250</v>
      </c>
      <c r="Q29" s="328">
        <v>247</v>
      </c>
      <c r="R29" s="330">
        <f t="shared" si="9"/>
        <v>3</v>
      </c>
      <c r="S29" s="326">
        <v>6</v>
      </c>
      <c r="T29" s="327">
        <v>6</v>
      </c>
      <c r="U29" s="328">
        <v>0</v>
      </c>
      <c r="V29" s="330">
        <f t="shared" si="10"/>
        <v>6</v>
      </c>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3"/>
      <c r="AY29" s="323"/>
      <c r="AZ29" s="323"/>
      <c r="BA29" s="323"/>
      <c r="BB29" s="323"/>
    </row>
    <row r="30" spans="1:54" s="324" customFormat="1" ht="12.75">
      <c r="A30" s="325" t="s">
        <v>99</v>
      </c>
      <c r="B30" s="326">
        <v>6296</v>
      </c>
      <c r="C30" s="327">
        <v>6296</v>
      </c>
      <c r="D30" s="327">
        <v>2157</v>
      </c>
      <c r="E30" s="328">
        <v>170</v>
      </c>
      <c r="F30" s="328">
        <v>0</v>
      </c>
      <c r="G30" s="328">
        <v>0</v>
      </c>
      <c r="H30" s="329">
        <v>1023</v>
      </c>
      <c r="I30" s="330">
        <f t="shared" si="7"/>
        <v>7430</v>
      </c>
      <c r="J30" s="326">
        <v>1279</v>
      </c>
      <c r="K30" s="327">
        <v>1279</v>
      </c>
      <c r="L30" s="327">
        <v>254</v>
      </c>
      <c r="M30" s="328">
        <v>0</v>
      </c>
      <c r="N30" s="329">
        <f t="shared" si="8"/>
        <v>1533</v>
      </c>
      <c r="O30" s="326">
        <f>148+433</f>
        <v>581</v>
      </c>
      <c r="P30" s="327">
        <f>148+433</f>
        <v>581</v>
      </c>
      <c r="Q30" s="328">
        <v>250</v>
      </c>
      <c r="R30" s="330">
        <f t="shared" si="9"/>
        <v>331</v>
      </c>
      <c r="S30" s="326">
        <f>85+313</f>
        <v>398</v>
      </c>
      <c r="T30" s="327">
        <f>85+313</f>
        <v>398</v>
      </c>
      <c r="U30" s="328">
        <v>0</v>
      </c>
      <c r="V30" s="330">
        <f t="shared" si="10"/>
        <v>398</v>
      </c>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323"/>
      <c r="AY30" s="323"/>
      <c r="AZ30" s="323"/>
      <c r="BA30" s="323"/>
      <c r="BB30" s="323"/>
    </row>
    <row r="31" spans="1:54" s="324" customFormat="1" ht="12.75" customHeight="1">
      <c r="A31" s="325" t="s">
        <v>101</v>
      </c>
      <c r="B31" s="326">
        <v>172</v>
      </c>
      <c r="C31" s="327">
        <v>172</v>
      </c>
      <c r="D31" s="327">
        <v>724</v>
      </c>
      <c r="E31" s="328">
        <v>430</v>
      </c>
      <c r="F31" s="328">
        <v>0</v>
      </c>
      <c r="G31" s="328">
        <v>0</v>
      </c>
      <c r="H31" s="329">
        <f>430+345</f>
        <v>775</v>
      </c>
      <c r="I31" s="330">
        <f t="shared" si="7"/>
        <v>121</v>
      </c>
      <c r="J31" s="326">
        <f>98+270</f>
        <v>368</v>
      </c>
      <c r="K31" s="327">
        <v>368</v>
      </c>
      <c r="L31" s="327">
        <v>71</v>
      </c>
      <c r="M31" s="328">
        <v>80</v>
      </c>
      <c r="N31" s="329">
        <f t="shared" si="8"/>
        <v>359</v>
      </c>
      <c r="O31" s="326">
        <f>95+180</f>
        <v>275</v>
      </c>
      <c r="P31" s="327">
        <v>275</v>
      </c>
      <c r="Q31" s="328">
        <v>250</v>
      </c>
      <c r="R31" s="330">
        <f t="shared" si="9"/>
        <v>25</v>
      </c>
      <c r="S31" s="326">
        <f>9+46</f>
        <v>55</v>
      </c>
      <c r="T31" s="327">
        <v>55</v>
      </c>
      <c r="U31" s="328">
        <v>0</v>
      </c>
      <c r="V31" s="330">
        <f t="shared" si="10"/>
        <v>55</v>
      </c>
      <c r="W31" s="323"/>
      <c r="X31" s="323"/>
      <c r="Y31" s="323"/>
      <c r="Z31" s="323"/>
      <c r="AA31" s="323"/>
      <c r="AB31" s="323"/>
      <c r="AC31" s="323"/>
      <c r="AD31" s="323"/>
      <c r="AE31" s="323"/>
      <c r="AF31" s="323"/>
      <c r="AG31" s="323"/>
      <c r="AH31" s="323"/>
      <c r="AI31" s="323"/>
      <c r="AJ31" s="323"/>
      <c r="AK31" s="323"/>
      <c r="AL31" s="323"/>
      <c r="AM31" s="323"/>
      <c r="AN31" s="323"/>
      <c r="AO31" s="323"/>
      <c r="AP31" s="323"/>
      <c r="AQ31" s="323"/>
      <c r="AR31" s="323"/>
      <c r="AS31" s="323"/>
      <c r="AT31" s="323"/>
      <c r="AU31" s="323"/>
      <c r="AV31" s="323"/>
      <c r="AW31" s="323"/>
      <c r="AX31" s="323"/>
      <c r="AY31" s="323"/>
      <c r="AZ31" s="323"/>
      <c r="BA31" s="323"/>
      <c r="BB31" s="323"/>
    </row>
    <row r="32" spans="1:54" s="324" customFormat="1" ht="12" customHeight="1">
      <c r="A32" s="339" t="s">
        <v>6</v>
      </c>
      <c r="B32" s="336">
        <v>121</v>
      </c>
      <c r="C32" s="337">
        <v>121</v>
      </c>
      <c r="D32" s="327">
        <v>608</v>
      </c>
      <c r="E32" s="328">
        <v>70</v>
      </c>
      <c r="F32" s="328">
        <v>0</v>
      </c>
      <c r="G32" s="328">
        <v>0</v>
      </c>
      <c r="H32" s="329">
        <v>545</v>
      </c>
      <c r="I32" s="330">
        <f t="shared" si="7"/>
        <v>184</v>
      </c>
      <c r="J32" s="326">
        <v>156</v>
      </c>
      <c r="K32" s="327">
        <v>156</v>
      </c>
      <c r="L32" s="327">
        <v>2</v>
      </c>
      <c r="M32" s="328">
        <v>158</v>
      </c>
      <c r="N32" s="329">
        <f t="shared" si="8"/>
        <v>0</v>
      </c>
      <c r="O32" s="326">
        <f>41+165</f>
        <v>206</v>
      </c>
      <c r="P32" s="327">
        <f>41+168</f>
        <v>209</v>
      </c>
      <c r="Q32" s="328">
        <v>41</v>
      </c>
      <c r="R32" s="330">
        <f t="shared" si="9"/>
        <v>165</v>
      </c>
      <c r="S32" s="326">
        <v>14</v>
      </c>
      <c r="T32" s="327">
        <v>14</v>
      </c>
      <c r="U32" s="328">
        <v>14</v>
      </c>
      <c r="V32" s="330">
        <f t="shared" si="10"/>
        <v>0</v>
      </c>
      <c r="W32" s="338"/>
      <c r="X32" s="323"/>
      <c r="Y32" s="323"/>
      <c r="Z32" s="323"/>
      <c r="AA32" s="323"/>
      <c r="AB32" s="323"/>
      <c r="AC32" s="323"/>
      <c r="AD32" s="323"/>
      <c r="AE32" s="323"/>
      <c r="AF32" s="323"/>
      <c r="AG32" s="323"/>
      <c r="AH32" s="323"/>
      <c r="AI32" s="323"/>
      <c r="AJ32" s="323"/>
      <c r="AK32" s="323"/>
      <c r="AL32" s="323"/>
      <c r="AM32" s="323"/>
      <c r="AN32" s="323"/>
      <c r="AO32" s="323"/>
      <c r="AP32" s="323"/>
      <c r="AQ32" s="323"/>
      <c r="AR32" s="323"/>
      <c r="AS32" s="323"/>
      <c r="AT32" s="323"/>
      <c r="AU32" s="323"/>
      <c r="AV32" s="323"/>
      <c r="AW32" s="323"/>
      <c r="AX32" s="323"/>
      <c r="AY32" s="323"/>
      <c r="AZ32" s="323"/>
      <c r="BA32" s="323"/>
      <c r="BB32" s="323"/>
    </row>
    <row r="33" spans="1:54" s="324" customFormat="1" ht="12.75">
      <c r="A33" s="339" t="s">
        <v>7</v>
      </c>
      <c r="B33" s="326">
        <v>101</v>
      </c>
      <c r="C33" s="327">
        <v>101</v>
      </c>
      <c r="D33" s="328">
        <v>309</v>
      </c>
      <c r="E33" s="328">
        <v>0</v>
      </c>
      <c r="F33" s="328">
        <v>0</v>
      </c>
      <c r="G33" s="328">
        <v>0</v>
      </c>
      <c r="H33" s="328">
        <v>176</v>
      </c>
      <c r="I33" s="330">
        <f t="shared" si="7"/>
        <v>234</v>
      </c>
      <c r="J33" s="326">
        <v>80</v>
      </c>
      <c r="K33" s="327">
        <v>80</v>
      </c>
      <c r="L33" s="328">
        <v>63</v>
      </c>
      <c r="M33" s="328">
        <v>0</v>
      </c>
      <c r="N33" s="330">
        <f t="shared" si="8"/>
        <v>143</v>
      </c>
      <c r="O33" s="326">
        <f>136+105</f>
        <v>241</v>
      </c>
      <c r="P33" s="327">
        <v>241</v>
      </c>
      <c r="Q33" s="328">
        <v>150</v>
      </c>
      <c r="R33" s="330">
        <f t="shared" si="9"/>
        <v>91</v>
      </c>
      <c r="S33" s="326">
        <v>4</v>
      </c>
      <c r="T33" s="327">
        <v>4</v>
      </c>
      <c r="U33" s="328">
        <v>0</v>
      </c>
      <c r="V33" s="330">
        <f t="shared" si="10"/>
        <v>4</v>
      </c>
      <c r="W33" s="338"/>
      <c r="X33" s="323"/>
      <c r="Y33" s="323"/>
      <c r="Z33" s="323"/>
      <c r="AA33" s="323"/>
      <c r="AB33" s="323"/>
      <c r="AC33" s="323"/>
      <c r="AD33" s="323"/>
      <c r="AE33" s="323"/>
      <c r="AF33" s="323"/>
      <c r="AG33" s="323"/>
      <c r="AH33" s="323"/>
      <c r="AI33" s="323"/>
      <c r="AJ33" s="323"/>
      <c r="AK33" s="323"/>
      <c r="AL33" s="323"/>
      <c r="AM33" s="323"/>
      <c r="AN33" s="323"/>
      <c r="AO33" s="323"/>
      <c r="AP33" s="323"/>
      <c r="AQ33" s="323"/>
      <c r="AR33" s="323"/>
      <c r="AS33" s="323"/>
      <c r="AT33" s="323"/>
      <c r="AU33" s="323"/>
      <c r="AV33" s="323"/>
      <c r="AW33" s="323"/>
      <c r="AX33" s="323"/>
      <c r="AY33" s="323"/>
      <c r="AZ33" s="323"/>
      <c r="BA33" s="323"/>
      <c r="BB33" s="323"/>
    </row>
    <row r="34" spans="1:54" s="324" customFormat="1" ht="12.75">
      <c r="A34" s="340" t="s">
        <v>102</v>
      </c>
      <c r="B34" s="341">
        <v>208</v>
      </c>
      <c r="C34" s="328">
        <v>208</v>
      </c>
      <c r="D34" s="342">
        <v>1023</v>
      </c>
      <c r="E34" s="343">
        <v>0</v>
      </c>
      <c r="F34" s="343">
        <v>120</v>
      </c>
      <c r="G34" s="343">
        <v>412</v>
      </c>
      <c r="H34" s="343">
        <v>1231</v>
      </c>
      <c r="I34" s="344">
        <f t="shared" si="7"/>
        <v>0</v>
      </c>
      <c r="J34" s="342">
        <v>159</v>
      </c>
      <c r="K34" s="342">
        <v>159</v>
      </c>
      <c r="L34" s="342">
        <v>15</v>
      </c>
      <c r="M34" s="343">
        <f>55+119</f>
        <v>174</v>
      </c>
      <c r="N34" s="345">
        <f t="shared" si="8"/>
        <v>0</v>
      </c>
      <c r="O34" s="317">
        <f>133+45</f>
        <v>178</v>
      </c>
      <c r="P34" s="342">
        <v>178</v>
      </c>
      <c r="Q34" s="343">
        <v>178</v>
      </c>
      <c r="R34" s="344">
        <f t="shared" si="9"/>
        <v>0</v>
      </c>
      <c r="S34" s="317">
        <v>50</v>
      </c>
      <c r="T34" s="342">
        <v>50</v>
      </c>
      <c r="U34" s="343">
        <v>50</v>
      </c>
      <c r="V34" s="344">
        <f t="shared" si="10"/>
        <v>0</v>
      </c>
      <c r="W34" s="323"/>
      <c r="X34" s="323"/>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3"/>
      <c r="AY34" s="323"/>
      <c r="AZ34" s="323"/>
      <c r="BA34" s="323"/>
      <c r="BB34" s="323"/>
    </row>
    <row r="35" spans="1:54" s="324" customFormat="1" ht="12.75">
      <c r="A35" s="346" t="s">
        <v>8</v>
      </c>
      <c r="B35" s="347">
        <v>322</v>
      </c>
      <c r="C35" s="342">
        <v>322</v>
      </c>
      <c r="D35" s="348">
        <v>567</v>
      </c>
      <c r="E35" s="349">
        <v>0</v>
      </c>
      <c r="F35" s="349">
        <v>0</v>
      </c>
      <c r="G35" s="349">
        <v>200</v>
      </c>
      <c r="H35" s="350">
        <v>560</v>
      </c>
      <c r="I35" s="351">
        <f t="shared" si="7"/>
        <v>329</v>
      </c>
      <c r="J35" s="347">
        <v>3</v>
      </c>
      <c r="K35" s="348">
        <v>3</v>
      </c>
      <c r="L35" s="348">
        <v>22</v>
      </c>
      <c r="M35" s="349">
        <v>25</v>
      </c>
      <c r="N35" s="350">
        <f t="shared" si="8"/>
        <v>0</v>
      </c>
      <c r="O35" s="347">
        <f>167+530</f>
        <v>697</v>
      </c>
      <c r="P35" s="348">
        <v>697</v>
      </c>
      <c r="Q35" s="349">
        <v>300</v>
      </c>
      <c r="R35" s="351">
        <f t="shared" si="9"/>
        <v>397</v>
      </c>
      <c r="S35" s="347">
        <v>2</v>
      </c>
      <c r="T35" s="348">
        <v>2</v>
      </c>
      <c r="U35" s="349">
        <v>0</v>
      </c>
      <c r="V35" s="351">
        <f t="shared" si="10"/>
        <v>2</v>
      </c>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23"/>
      <c r="AW35" s="323"/>
      <c r="AX35" s="323"/>
      <c r="AY35" s="323"/>
      <c r="AZ35" s="323"/>
      <c r="BA35" s="323"/>
      <c r="BB35" s="323"/>
    </row>
    <row r="36" spans="1:22" s="324" customFormat="1" ht="12.75">
      <c r="A36" s="352" t="s">
        <v>85</v>
      </c>
      <c r="B36" s="347">
        <v>113</v>
      </c>
      <c r="C36" s="348">
        <v>113</v>
      </c>
      <c r="D36" s="349">
        <v>928</v>
      </c>
      <c r="E36" s="349">
        <v>0</v>
      </c>
      <c r="F36" s="349">
        <v>0</v>
      </c>
      <c r="G36" s="349">
        <v>35</v>
      </c>
      <c r="H36" s="349">
        <f>816+35</f>
        <v>851</v>
      </c>
      <c r="I36" s="351">
        <f t="shared" si="7"/>
        <v>190</v>
      </c>
      <c r="J36" s="347">
        <v>42</v>
      </c>
      <c r="K36" s="348">
        <v>42</v>
      </c>
      <c r="L36" s="349">
        <v>19</v>
      </c>
      <c r="M36" s="349">
        <f>27+34</f>
        <v>61</v>
      </c>
      <c r="N36" s="351">
        <f t="shared" si="8"/>
        <v>0</v>
      </c>
      <c r="O36" s="347">
        <f>100+324</f>
        <v>424</v>
      </c>
      <c r="P36" s="348">
        <f>100+90</f>
        <v>190</v>
      </c>
      <c r="Q36" s="349">
        <v>300</v>
      </c>
      <c r="R36" s="351">
        <f t="shared" si="9"/>
        <v>124</v>
      </c>
      <c r="S36" s="347">
        <v>10</v>
      </c>
      <c r="T36" s="348">
        <v>10</v>
      </c>
      <c r="U36" s="349">
        <v>10</v>
      </c>
      <c r="V36" s="351">
        <f t="shared" si="10"/>
        <v>0</v>
      </c>
    </row>
    <row r="37" spans="1:22" s="324" customFormat="1" ht="22.5" customHeight="1">
      <c r="A37" s="353" t="s">
        <v>103</v>
      </c>
      <c r="B37" s="326">
        <v>154</v>
      </c>
      <c r="C37" s="327">
        <v>154</v>
      </c>
      <c r="D37" s="327">
        <v>542</v>
      </c>
      <c r="E37" s="328">
        <v>0</v>
      </c>
      <c r="F37" s="328">
        <v>100</v>
      </c>
      <c r="G37" s="328">
        <v>50</v>
      </c>
      <c r="H37" s="329">
        <v>540</v>
      </c>
      <c r="I37" s="330">
        <f t="shared" si="7"/>
        <v>156</v>
      </c>
      <c r="J37" s="326">
        <f>117+222</f>
        <v>339</v>
      </c>
      <c r="K37" s="327">
        <v>339</v>
      </c>
      <c r="L37" s="327">
        <v>78</v>
      </c>
      <c r="M37" s="328">
        <v>153</v>
      </c>
      <c r="N37" s="329">
        <f t="shared" si="8"/>
        <v>264</v>
      </c>
      <c r="O37" s="326">
        <f>113+275</f>
        <v>388</v>
      </c>
      <c r="P37" s="327">
        <v>388</v>
      </c>
      <c r="Q37" s="328">
        <v>354</v>
      </c>
      <c r="R37" s="330">
        <f t="shared" si="9"/>
        <v>34</v>
      </c>
      <c r="S37" s="326">
        <f>28+184</f>
        <v>212</v>
      </c>
      <c r="T37" s="327">
        <v>212</v>
      </c>
      <c r="U37" s="328">
        <v>150</v>
      </c>
      <c r="V37" s="330">
        <f t="shared" si="10"/>
        <v>62</v>
      </c>
    </row>
    <row r="38" spans="1:22" s="324" customFormat="1" ht="12.75">
      <c r="A38" s="325" t="s">
        <v>34</v>
      </c>
      <c r="B38" s="347">
        <v>206</v>
      </c>
      <c r="C38" s="348">
        <v>206</v>
      </c>
      <c r="D38" s="348">
        <v>149</v>
      </c>
      <c r="E38" s="349">
        <v>0</v>
      </c>
      <c r="F38" s="349">
        <v>0</v>
      </c>
      <c r="G38" s="349">
        <v>50</v>
      </c>
      <c r="H38" s="350">
        <v>107</v>
      </c>
      <c r="I38" s="351">
        <f t="shared" si="7"/>
        <v>248</v>
      </c>
      <c r="J38" s="347">
        <v>52</v>
      </c>
      <c r="K38" s="348">
        <v>52</v>
      </c>
      <c r="L38" s="348">
        <v>103</v>
      </c>
      <c r="M38" s="349">
        <v>23</v>
      </c>
      <c r="N38" s="350">
        <f t="shared" si="8"/>
        <v>132</v>
      </c>
      <c r="O38" s="347">
        <f>95+208</f>
        <v>303</v>
      </c>
      <c r="P38" s="348">
        <v>303</v>
      </c>
      <c r="Q38" s="349">
        <v>170</v>
      </c>
      <c r="R38" s="351">
        <f t="shared" si="9"/>
        <v>133</v>
      </c>
      <c r="S38" s="347">
        <v>3</v>
      </c>
      <c r="T38" s="348">
        <v>3</v>
      </c>
      <c r="U38" s="349">
        <v>0</v>
      </c>
      <c r="V38" s="351">
        <f t="shared" si="10"/>
        <v>3</v>
      </c>
    </row>
    <row r="39" spans="1:22" s="324" customFormat="1" ht="13.5" thickBot="1">
      <c r="A39" s="346" t="s">
        <v>35</v>
      </c>
      <c r="B39" s="347">
        <v>132</v>
      </c>
      <c r="C39" s="348">
        <v>132</v>
      </c>
      <c r="D39" s="348">
        <v>680</v>
      </c>
      <c r="E39" s="349">
        <v>150</v>
      </c>
      <c r="F39" s="349">
        <v>0</v>
      </c>
      <c r="G39" s="349">
        <v>0</v>
      </c>
      <c r="H39" s="350">
        <v>758</v>
      </c>
      <c r="I39" s="351">
        <f t="shared" si="7"/>
        <v>54</v>
      </c>
      <c r="J39" s="347">
        <v>395</v>
      </c>
      <c r="K39" s="348">
        <v>395</v>
      </c>
      <c r="L39" s="348">
        <v>20</v>
      </c>
      <c r="M39" s="349">
        <v>50</v>
      </c>
      <c r="N39" s="350">
        <f t="shared" si="8"/>
        <v>365</v>
      </c>
      <c r="O39" s="347">
        <v>271</v>
      </c>
      <c r="P39" s="348">
        <v>271</v>
      </c>
      <c r="Q39" s="349">
        <v>270</v>
      </c>
      <c r="R39" s="351">
        <f t="shared" si="9"/>
        <v>1</v>
      </c>
      <c r="S39" s="347">
        <v>10</v>
      </c>
      <c r="T39" s="348">
        <v>10</v>
      </c>
      <c r="U39" s="349">
        <v>0</v>
      </c>
      <c r="V39" s="351">
        <f t="shared" si="10"/>
        <v>10</v>
      </c>
    </row>
    <row r="40" spans="1:23" s="86" customFormat="1" ht="13.5" thickBot="1">
      <c r="A40" s="166" t="s">
        <v>20</v>
      </c>
      <c r="B40" s="167">
        <f aca="true" t="shared" si="11" ref="B40:V40">SUM(B41+B42+B43+B44+B45+B46+B53+B54+B55+B56+B57+B58+B59+B60+B61+B62+B63)</f>
        <v>8223</v>
      </c>
      <c r="C40" s="165">
        <f t="shared" si="11"/>
        <v>8149</v>
      </c>
      <c r="D40" s="165">
        <f t="shared" si="11"/>
        <v>23799</v>
      </c>
      <c r="E40" s="165">
        <f t="shared" si="11"/>
        <v>5956</v>
      </c>
      <c r="F40" s="165">
        <f t="shared" si="11"/>
        <v>3220</v>
      </c>
      <c r="G40" s="165">
        <f t="shared" si="11"/>
        <v>3139</v>
      </c>
      <c r="H40" s="192">
        <f t="shared" si="11"/>
        <v>22478</v>
      </c>
      <c r="I40" s="29">
        <f t="shared" si="11"/>
        <v>9544</v>
      </c>
      <c r="J40" s="167">
        <f t="shared" si="11"/>
        <v>8489</v>
      </c>
      <c r="K40" s="165">
        <f t="shared" si="11"/>
        <v>7099</v>
      </c>
      <c r="L40" s="165">
        <f t="shared" si="11"/>
        <v>2701</v>
      </c>
      <c r="M40" s="165">
        <f t="shared" si="11"/>
        <v>8432</v>
      </c>
      <c r="N40" s="29">
        <f t="shared" si="11"/>
        <v>2758</v>
      </c>
      <c r="O40" s="167">
        <f t="shared" si="11"/>
        <v>7414</v>
      </c>
      <c r="P40" s="167">
        <f t="shared" si="11"/>
        <v>6888</v>
      </c>
      <c r="Q40" s="165">
        <f t="shared" si="11"/>
        <v>4908</v>
      </c>
      <c r="R40" s="29">
        <f t="shared" si="11"/>
        <v>2506</v>
      </c>
      <c r="S40" s="167">
        <f t="shared" si="11"/>
        <v>4146</v>
      </c>
      <c r="T40" s="165">
        <f t="shared" si="11"/>
        <v>4146</v>
      </c>
      <c r="U40" s="165">
        <f t="shared" si="11"/>
        <v>1885</v>
      </c>
      <c r="V40" s="29">
        <f t="shared" si="11"/>
        <v>2261</v>
      </c>
      <c r="W40" s="193"/>
    </row>
    <row r="41" spans="1:22" s="40" customFormat="1" ht="24" customHeight="1">
      <c r="A41" s="146" t="s">
        <v>118</v>
      </c>
      <c r="B41" s="188">
        <v>41</v>
      </c>
      <c r="C41" s="189">
        <v>41</v>
      </c>
      <c r="D41" s="189">
        <v>741</v>
      </c>
      <c r="E41" s="190">
        <v>0</v>
      </c>
      <c r="F41" s="190">
        <v>370</v>
      </c>
      <c r="G41" s="190">
        <v>45</v>
      </c>
      <c r="H41" s="191">
        <v>655</v>
      </c>
      <c r="I41" s="71">
        <f aca="true" t="shared" si="12" ref="I41:I46">B41+D41-H41</f>
        <v>127</v>
      </c>
      <c r="J41" s="168">
        <v>33</v>
      </c>
      <c r="K41" s="170">
        <v>33</v>
      </c>
      <c r="L41" s="170">
        <f>395+2</f>
        <v>397</v>
      </c>
      <c r="M41" s="170">
        <v>395</v>
      </c>
      <c r="N41" s="38">
        <f aca="true" t="shared" si="13" ref="N41:N46">J41+L41-M41</f>
        <v>35</v>
      </c>
      <c r="O41" s="188">
        <v>116</v>
      </c>
      <c r="P41" s="194">
        <v>116</v>
      </c>
      <c r="Q41" s="195">
        <v>116</v>
      </c>
      <c r="R41" s="71">
        <f aca="true" t="shared" si="14" ref="R41:R46">O41-Q41</f>
        <v>0</v>
      </c>
      <c r="S41" s="188">
        <f>1+5</f>
        <v>6</v>
      </c>
      <c r="T41" s="189">
        <f>1+5</f>
        <v>6</v>
      </c>
      <c r="U41" s="190">
        <v>0</v>
      </c>
      <c r="V41" s="71">
        <f aca="true" t="shared" si="15" ref="V41:V46">S41-U41</f>
        <v>6</v>
      </c>
    </row>
    <row r="42" spans="1:22" s="40" customFormat="1" ht="22.5">
      <c r="A42" s="57" t="s">
        <v>119</v>
      </c>
      <c r="B42" s="196">
        <v>41</v>
      </c>
      <c r="C42" s="197">
        <v>41</v>
      </c>
      <c r="D42" s="197">
        <v>1493</v>
      </c>
      <c r="E42" s="198">
        <v>400</v>
      </c>
      <c r="F42" s="198">
        <v>0</v>
      </c>
      <c r="G42" s="198">
        <v>200</v>
      </c>
      <c r="H42" s="199">
        <f>527+E42+F42+G42</f>
        <v>1127</v>
      </c>
      <c r="I42" s="47">
        <f>B42+D42-H42</f>
        <v>407</v>
      </c>
      <c r="J42" s="188">
        <f>31+356</f>
        <v>387</v>
      </c>
      <c r="K42" s="189">
        <v>31</v>
      </c>
      <c r="L42" s="189">
        <v>167</v>
      </c>
      <c r="M42" s="190">
        <f>100+356</f>
        <v>456</v>
      </c>
      <c r="N42" s="191">
        <f t="shared" si="13"/>
        <v>98</v>
      </c>
      <c r="O42" s="188">
        <f>95+86</f>
        <v>181</v>
      </c>
      <c r="P42" s="189">
        <v>181</v>
      </c>
      <c r="Q42" s="190">
        <v>140</v>
      </c>
      <c r="R42" s="71">
        <f t="shared" si="14"/>
        <v>41</v>
      </c>
      <c r="S42" s="188">
        <v>79</v>
      </c>
      <c r="T42" s="189">
        <v>79</v>
      </c>
      <c r="U42" s="190">
        <v>0</v>
      </c>
      <c r="V42" s="71">
        <f t="shared" si="15"/>
        <v>79</v>
      </c>
    </row>
    <row r="43" spans="1:22" s="40" customFormat="1" ht="23.25" customHeight="1">
      <c r="A43" s="31" t="s">
        <v>120</v>
      </c>
      <c r="B43" s="196">
        <v>74</v>
      </c>
      <c r="C43" s="197">
        <v>0</v>
      </c>
      <c r="D43" s="197">
        <v>446</v>
      </c>
      <c r="E43" s="198">
        <v>60</v>
      </c>
      <c r="F43" s="198">
        <v>0</v>
      </c>
      <c r="G43" s="198">
        <v>0</v>
      </c>
      <c r="H43" s="199">
        <v>318</v>
      </c>
      <c r="I43" s="47">
        <f t="shared" si="12"/>
        <v>202</v>
      </c>
      <c r="J43" s="188">
        <v>70</v>
      </c>
      <c r="K43" s="189">
        <v>70</v>
      </c>
      <c r="L43" s="189">
        <v>80</v>
      </c>
      <c r="M43" s="190">
        <v>60</v>
      </c>
      <c r="N43" s="191">
        <f t="shared" si="13"/>
        <v>90</v>
      </c>
      <c r="O43" s="188">
        <f>128+155</f>
        <v>283</v>
      </c>
      <c r="P43" s="189">
        <v>283</v>
      </c>
      <c r="Q43" s="190">
        <v>204</v>
      </c>
      <c r="R43" s="71">
        <f t="shared" si="14"/>
        <v>79</v>
      </c>
      <c r="S43" s="188">
        <f>3+126</f>
        <v>129</v>
      </c>
      <c r="T43" s="189">
        <f>3+126</f>
        <v>129</v>
      </c>
      <c r="U43" s="190">
        <v>0</v>
      </c>
      <c r="V43" s="71">
        <f t="shared" si="15"/>
        <v>129</v>
      </c>
    </row>
    <row r="44" spans="1:22" s="40" customFormat="1" ht="27.75" customHeight="1">
      <c r="A44" s="57" t="s">
        <v>121</v>
      </c>
      <c r="B44" s="196">
        <v>483</v>
      </c>
      <c r="C44" s="197">
        <v>483</v>
      </c>
      <c r="D44" s="197">
        <v>360</v>
      </c>
      <c r="E44" s="198">
        <v>200</v>
      </c>
      <c r="F44" s="198">
        <v>0</v>
      </c>
      <c r="G44" s="198">
        <v>0</v>
      </c>
      <c r="H44" s="199">
        <v>436</v>
      </c>
      <c r="I44" s="47">
        <f t="shared" si="12"/>
        <v>407</v>
      </c>
      <c r="J44" s="188">
        <v>289</v>
      </c>
      <c r="K44" s="189">
        <v>289</v>
      </c>
      <c r="L44" s="189">
        <v>184</v>
      </c>
      <c r="M44" s="190">
        <v>300</v>
      </c>
      <c r="N44" s="191">
        <f t="shared" si="13"/>
        <v>173</v>
      </c>
      <c r="O44" s="188">
        <f>105+93</f>
        <v>198</v>
      </c>
      <c r="P44" s="189">
        <v>198</v>
      </c>
      <c r="Q44" s="190">
        <v>198</v>
      </c>
      <c r="R44" s="71">
        <f t="shared" si="14"/>
        <v>0</v>
      </c>
      <c r="S44" s="188">
        <f>50+54</f>
        <v>104</v>
      </c>
      <c r="T44" s="189">
        <f>50+54</f>
        <v>104</v>
      </c>
      <c r="U44" s="190">
        <v>0</v>
      </c>
      <c r="V44" s="71">
        <f t="shared" si="15"/>
        <v>104</v>
      </c>
    </row>
    <row r="45" spans="1:22" s="40" customFormat="1" ht="15" customHeight="1">
      <c r="A45" s="145" t="s">
        <v>122</v>
      </c>
      <c r="B45" s="196">
        <v>32</v>
      </c>
      <c r="C45" s="197">
        <v>32</v>
      </c>
      <c r="D45" s="197">
        <v>1941</v>
      </c>
      <c r="E45" s="198">
        <v>1164</v>
      </c>
      <c r="F45" s="198">
        <v>0</v>
      </c>
      <c r="G45" s="198">
        <v>484</v>
      </c>
      <c r="H45" s="199">
        <f>185+E45+F45+G45</f>
        <v>1833</v>
      </c>
      <c r="I45" s="47">
        <f>B45+D45-H45</f>
        <v>140</v>
      </c>
      <c r="J45" s="188">
        <v>241</v>
      </c>
      <c r="K45" s="189">
        <v>241</v>
      </c>
      <c r="L45" s="189">
        <v>0</v>
      </c>
      <c r="M45" s="190">
        <v>0</v>
      </c>
      <c r="N45" s="191">
        <f t="shared" si="13"/>
        <v>241</v>
      </c>
      <c r="O45" s="188">
        <f>177+106</f>
        <v>283</v>
      </c>
      <c r="P45" s="189">
        <v>283</v>
      </c>
      <c r="Q45" s="190">
        <v>273</v>
      </c>
      <c r="R45" s="71">
        <f t="shared" si="14"/>
        <v>10</v>
      </c>
      <c r="S45" s="188">
        <f>223+205</f>
        <v>428</v>
      </c>
      <c r="T45" s="189">
        <f>223+205</f>
        <v>428</v>
      </c>
      <c r="U45" s="190">
        <v>428</v>
      </c>
      <c r="V45" s="71">
        <f t="shared" si="15"/>
        <v>0</v>
      </c>
    </row>
    <row r="46" spans="1:22" s="40" customFormat="1" ht="24.75" customHeight="1" thickBot="1">
      <c r="A46" s="142" t="s">
        <v>123</v>
      </c>
      <c r="B46" s="200">
        <v>486</v>
      </c>
      <c r="C46" s="201">
        <v>486</v>
      </c>
      <c r="D46" s="201">
        <v>1782</v>
      </c>
      <c r="E46" s="202">
        <v>284</v>
      </c>
      <c r="F46" s="202">
        <v>750</v>
      </c>
      <c r="G46" s="202">
        <v>0</v>
      </c>
      <c r="H46" s="203">
        <v>1791</v>
      </c>
      <c r="I46" s="204">
        <f t="shared" si="12"/>
        <v>477</v>
      </c>
      <c r="J46" s="205">
        <f>190+356</f>
        <v>546</v>
      </c>
      <c r="K46" s="206">
        <f>190+356</f>
        <v>546</v>
      </c>
      <c r="L46" s="206">
        <v>21</v>
      </c>
      <c r="M46" s="207">
        <f>50+356</f>
        <v>406</v>
      </c>
      <c r="N46" s="208">
        <f t="shared" si="13"/>
        <v>161</v>
      </c>
      <c r="O46" s="205">
        <f>160+592</f>
        <v>752</v>
      </c>
      <c r="P46" s="206">
        <v>752</v>
      </c>
      <c r="Q46" s="207">
        <v>447</v>
      </c>
      <c r="R46" s="63">
        <f t="shared" si="14"/>
        <v>305</v>
      </c>
      <c r="S46" s="205">
        <f>0+1</f>
        <v>1</v>
      </c>
      <c r="T46" s="206">
        <f>1</f>
        <v>1</v>
      </c>
      <c r="U46" s="207">
        <v>0</v>
      </c>
      <c r="V46" s="63">
        <f t="shared" si="15"/>
        <v>1</v>
      </c>
    </row>
    <row r="47" spans="1:22" s="40" customFormat="1" ht="12.75">
      <c r="A47" s="209"/>
      <c r="B47" s="128"/>
      <c r="C47" s="128"/>
      <c r="D47" s="128"/>
      <c r="E47" s="128"/>
      <c r="F47" s="128"/>
      <c r="G47" s="128"/>
      <c r="H47" s="128"/>
      <c r="I47" s="128"/>
      <c r="J47" s="210"/>
      <c r="K47" s="210"/>
      <c r="L47" s="210"/>
      <c r="M47" s="210"/>
      <c r="N47" s="210"/>
      <c r="O47" s="210"/>
      <c r="P47" s="210"/>
      <c r="Q47" s="210"/>
      <c r="R47" s="210"/>
      <c r="S47" s="210"/>
      <c r="T47" s="210"/>
      <c r="U47" s="210"/>
      <c r="V47" s="210"/>
    </row>
    <row r="48" spans="1:23" ht="18" customHeight="1" thickBot="1">
      <c r="A48" s="423" t="s">
        <v>147</v>
      </c>
      <c r="B48" s="423"/>
      <c r="C48" s="423"/>
      <c r="D48" s="423"/>
      <c r="E48" s="423"/>
      <c r="F48" s="423"/>
      <c r="G48" s="423"/>
      <c r="H48" s="423"/>
      <c r="I48" s="423"/>
      <c r="J48" s="423"/>
      <c r="K48" s="423"/>
      <c r="L48" s="423"/>
      <c r="M48" s="423"/>
      <c r="N48" s="423"/>
      <c r="O48" s="423"/>
      <c r="P48" s="423"/>
      <c r="Q48" s="423"/>
      <c r="R48" s="423"/>
      <c r="S48" s="423"/>
      <c r="T48" s="423"/>
      <c r="U48" s="423"/>
      <c r="V48" s="423"/>
      <c r="W48" s="16"/>
    </row>
    <row r="49" spans="1:22" ht="12.75">
      <c r="A49" s="3"/>
      <c r="B49" s="4" t="s">
        <v>12</v>
      </c>
      <c r="C49" s="5"/>
      <c r="D49" s="5"/>
      <c r="E49" s="5"/>
      <c r="F49" s="5"/>
      <c r="G49" s="5"/>
      <c r="H49" s="5"/>
      <c r="I49" s="6"/>
      <c r="J49" s="4" t="s">
        <v>13</v>
      </c>
      <c r="K49" s="5"/>
      <c r="L49" s="7"/>
      <c r="M49" s="5"/>
      <c r="N49" s="6"/>
      <c r="O49" s="504" t="s">
        <v>14</v>
      </c>
      <c r="P49" s="505"/>
      <c r="Q49" s="505"/>
      <c r="R49" s="506"/>
      <c r="S49" s="504" t="s">
        <v>15</v>
      </c>
      <c r="T49" s="507"/>
      <c r="U49" s="507"/>
      <c r="V49" s="508"/>
    </row>
    <row r="50" spans="1:23" s="13" customFormat="1" ht="14.25" customHeight="1">
      <c r="A50" s="9" t="s">
        <v>3</v>
      </c>
      <c r="B50" s="487" t="s">
        <v>149</v>
      </c>
      <c r="C50" s="499" t="s">
        <v>150</v>
      </c>
      <c r="D50" s="484" t="s">
        <v>81</v>
      </c>
      <c r="E50" s="10" t="s">
        <v>16</v>
      </c>
      <c r="F50" s="10"/>
      <c r="G50" s="10"/>
      <c r="H50" s="11"/>
      <c r="I50" s="490" t="s">
        <v>151</v>
      </c>
      <c r="J50" s="487" t="s">
        <v>149</v>
      </c>
      <c r="K50" s="499" t="s">
        <v>150</v>
      </c>
      <c r="L50" s="484" t="s">
        <v>83</v>
      </c>
      <c r="M50" s="496" t="s">
        <v>84</v>
      </c>
      <c r="N50" s="490" t="s">
        <v>151</v>
      </c>
      <c r="O50" s="487" t="s">
        <v>152</v>
      </c>
      <c r="P50" s="493" t="s">
        <v>153</v>
      </c>
      <c r="Q50" s="496" t="s">
        <v>84</v>
      </c>
      <c r="R50" s="490" t="s">
        <v>151</v>
      </c>
      <c r="S50" s="487" t="s">
        <v>152</v>
      </c>
      <c r="T50" s="493" t="s">
        <v>153</v>
      </c>
      <c r="U50" s="496" t="s">
        <v>84</v>
      </c>
      <c r="V50" s="490" t="s">
        <v>151</v>
      </c>
      <c r="W50" s="12" t="s">
        <v>19</v>
      </c>
    </row>
    <row r="51" spans="1:22" ht="12.75" customHeight="1">
      <c r="A51" s="14"/>
      <c r="B51" s="488"/>
      <c r="C51" s="500" t="s">
        <v>33</v>
      </c>
      <c r="D51" s="485"/>
      <c r="E51" s="502" t="s">
        <v>90</v>
      </c>
      <c r="F51" s="502" t="s">
        <v>62</v>
      </c>
      <c r="G51" s="502" t="s">
        <v>63</v>
      </c>
      <c r="H51" s="496" t="s">
        <v>82</v>
      </c>
      <c r="I51" s="491"/>
      <c r="J51" s="488"/>
      <c r="K51" s="500" t="s">
        <v>33</v>
      </c>
      <c r="L51" s="485"/>
      <c r="M51" s="497"/>
      <c r="N51" s="491"/>
      <c r="O51" s="488"/>
      <c r="P51" s="494"/>
      <c r="Q51" s="497"/>
      <c r="R51" s="491"/>
      <c r="S51" s="488"/>
      <c r="T51" s="494"/>
      <c r="U51" s="497"/>
      <c r="V51" s="491"/>
    </row>
    <row r="52" spans="1:22" ht="53.25" customHeight="1" thickBot="1">
      <c r="A52" s="15" t="s">
        <v>19</v>
      </c>
      <c r="B52" s="489"/>
      <c r="C52" s="501" t="s">
        <v>61</v>
      </c>
      <c r="D52" s="486"/>
      <c r="E52" s="503"/>
      <c r="F52" s="503"/>
      <c r="G52" s="503"/>
      <c r="H52" s="498"/>
      <c r="I52" s="492"/>
      <c r="J52" s="489"/>
      <c r="K52" s="501" t="s">
        <v>61</v>
      </c>
      <c r="L52" s="486"/>
      <c r="M52" s="498"/>
      <c r="N52" s="492"/>
      <c r="O52" s="489"/>
      <c r="P52" s="495"/>
      <c r="Q52" s="498"/>
      <c r="R52" s="492"/>
      <c r="S52" s="489"/>
      <c r="T52" s="495"/>
      <c r="U52" s="498"/>
      <c r="V52" s="492"/>
    </row>
    <row r="53" spans="1:22" s="40" customFormat="1" ht="24" customHeight="1">
      <c r="A53" s="31" t="s">
        <v>124</v>
      </c>
      <c r="B53" s="175">
        <v>362</v>
      </c>
      <c r="C53" s="176">
        <v>362</v>
      </c>
      <c r="D53" s="176">
        <v>414</v>
      </c>
      <c r="E53" s="177">
        <v>0</v>
      </c>
      <c r="F53" s="177">
        <v>0</v>
      </c>
      <c r="G53" s="177">
        <v>0</v>
      </c>
      <c r="H53" s="178">
        <v>212</v>
      </c>
      <c r="I53" s="70">
        <f aca="true" t="shared" si="16" ref="I53:I63">B53+D53-H53</f>
        <v>564</v>
      </c>
      <c r="J53" s="175">
        <v>110</v>
      </c>
      <c r="K53" s="176">
        <v>110</v>
      </c>
      <c r="L53" s="176">
        <v>31</v>
      </c>
      <c r="M53" s="177">
        <v>0</v>
      </c>
      <c r="N53" s="178">
        <f aca="true" t="shared" si="17" ref="N53:N63">J53+L53-M53</f>
        <v>141</v>
      </c>
      <c r="O53" s="175">
        <f>92+57</f>
        <v>149</v>
      </c>
      <c r="P53" s="176">
        <f>92+57</f>
        <v>149</v>
      </c>
      <c r="Q53" s="177">
        <v>149</v>
      </c>
      <c r="R53" s="70">
        <f aca="true" t="shared" si="18" ref="R53:R63">O53-Q53</f>
        <v>0</v>
      </c>
      <c r="S53" s="175">
        <v>64</v>
      </c>
      <c r="T53" s="176">
        <v>64</v>
      </c>
      <c r="U53" s="177">
        <v>0</v>
      </c>
      <c r="V53" s="70">
        <f aca="true" t="shared" si="19" ref="V53:V63">S53-U53</f>
        <v>64</v>
      </c>
    </row>
    <row r="54" spans="1:22" s="40" customFormat="1" ht="13.5" customHeight="1">
      <c r="A54" s="31" t="s">
        <v>56</v>
      </c>
      <c r="B54" s="168">
        <v>90</v>
      </c>
      <c r="C54" s="169">
        <v>90</v>
      </c>
      <c r="D54" s="169">
        <v>682</v>
      </c>
      <c r="E54" s="170">
        <v>0</v>
      </c>
      <c r="F54" s="170">
        <v>0</v>
      </c>
      <c r="G54" s="170">
        <v>210</v>
      </c>
      <c r="H54" s="171">
        <f>429+E54+F54+G54</f>
        <v>639</v>
      </c>
      <c r="I54" s="38">
        <f>B54+D54-H54</f>
        <v>133</v>
      </c>
      <c r="J54" s="168">
        <v>93</v>
      </c>
      <c r="K54" s="169">
        <v>93</v>
      </c>
      <c r="L54" s="169">
        <v>27</v>
      </c>
      <c r="M54" s="170">
        <v>120</v>
      </c>
      <c r="N54" s="171">
        <f t="shared" si="17"/>
        <v>0</v>
      </c>
      <c r="O54" s="168">
        <f>96+143</f>
        <v>239</v>
      </c>
      <c r="P54" s="169">
        <f>96+145</f>
        <v>241</v>
      </c>
      <c r="Q54" s="170">
        <v>209</v>
      </c>
      <c r="R54" s="38">
        <f t="shared" si="18"/>
        <v>30</v>
      </c>
      <c r="S54" s="168">
        <f>7+7</f>
        <v>14</v>
      </c>
      <c r="T54" s="169">
        <f>7+7</f>
        <v>14</v>
      </c>
      <c r="U54" s="170">
        <v>14</v>
      </c>
      <c r="V54" s="38">
        <f t="shared" si="19"/>
        <v>0</v>
      </c>
    </row>
    <row r="55" spans="1:23" s="40" customFormat="1" ht="30.75" customHeight="1">
      <c r="A55" s="211" t="s">
        <v>86</v>
      </c>
      <c r="B55" s="168">
        <v>1489</v>
      </c>
      <c r="C55" s="212">
        <v>1489</v>
      </c>
      <c r="D55" s="212">
        <v>3167</v>
      </c>
      <c r="E55" s="213">
        <v>630</v>
      </c>
      <c r="F55" s="213">
        <v>700</v>
      </c>
      <c r="G55" s="213">
        <v>0</v>
      </c>
      <c r="H55" s="214">
        <f>1552+E55+F55+G55</f>
        <v>2882</v>
      </c>
      <c r="I55" s="34">
        <f>B55+D55-H55</f>
        <v>1774</v>
      </c>
      <c r="J55" s="168">
        <f>501+421</f>
        <v>922</v>
      </c>
      <c r="K55" s="169">
        <f>501+421</f>
        <v>922</v>
      </c>
      <c r="L55" s="169">
        <f>562+18</f>
        <v>580</v>
      </c>
      <c r="M55" s="170">
        <f>400+438</f>
        <v>838</v>
      </c>
      <c r="N55" s="171">
        <f t="shared" si="17"/>
        <v>664</v>
      </c>
      <c r="O55" s="168">
        <f>426+700</f>
        <v>1126</v>
      </c>
      <c r="P55" s="169">
        <f>426+452</f>
        <v>878</v>
      </c>
      <c r="Q55" s="170">
        <v>537</v>
      </c>
      <c r="R55" s="38">
        <f t="shared" si="18"/>
        <v>589</v>
      </c>
      <c r="S55" s="168">
        <f>140+507</f>
        <v>647</v>
      </c>
      <c r="T55" s="169">
        <f>140+507</f>
        <v>647</v>
      </c>
      <c r="U55" s="170">
        <v>300</v>
      </c>
      <c r="V55" s="38">
        <f t="shared" si="19"/>
        <v>347</v>
      </c>
      <c r="W55" s="172"/>
    </row>
    <row r="56" spans="1:22" s="40" customFormat="1" ht="31.5" customHeight="1">
      <c r="A56" s="143" t="s">
        <v>130</v>
      </c>
      <c r="B56" s="168">
        <v>478</v>
      </c>
      <c r="C56" s="212">
        <v>478</v>
      </c>
      <c r="D56" s="212">
        <v>447</v>
      </c>
      <c r="E56" s="213">
        <v>130</v>
      </c>
      <c r="F56" s="213">
        <v>0</v>
      </c>
      <c r="G56" s="213">
        <v>0</v>
      </c>
      <c r="H56" s="214">
        <v>446</v>
      </c>
      <c r="I56" s="34">
        <f t="shared" si="16"/>
        <v>479</v>
      </c>
      <c r="J56" s="168">
        <v>331</v>
      </c>
      <c r="K56" s="169">
        <v>0</v>
      </c>
      <c r="L56" s="169">
        <f>130+29</f>
        <v>159</v>
      </c>
      <c r="M56" s="170">
        <f>400+29</f>
        <v>429</v>
      </c>
      <c r="N56" s="171">
        <f t="shared" si="17"/>
        <v>61</v>
      </c>
      <c r="O56" s="168">
        <f>115+49</f>
        <v>164</v>
      </c>
      <c r="P56" s="169">
        <f>115+22</f>
        <v>137</v>
      </c>
      <c r="Q56" s="170">
        <v>130</v>
      </c>
      <c r="R56" s="38">
        <f t="shared" si="18"/>
        <v>34</v>
      </c>
      <c r="S56" s="168">
        <f>34+68</f>
        <v>102</v>
      </c>
      <c r="T56" s="169">
        <f>34+68</f>
        <v>102</v>
      </c>
      <c r="U56" s="170">
        <v>32</v>
      </c>
      <c r="V56" s="38">
        <f t="shared" si="19"/>
        <v>70</v>
      </c>
    </row>
    <row r="57" spans="1:22" s="40" customFormat="1" ht="22.5" customHeight="1">
      <c r="A57" s="57" t="s">
        <v>70</v>
      </c>
      <c r="B57" s="168">
        <v>360</v>
      </c>
      <c r="C57" s="212">
        <v>360</v>
      </c>
      <c r="D57" s="212">
        <v>2536</v>
      </c>
      <c r="E57" s="213">
        <v>350</v>
      </c>
      <c r="F57" s="213">
        <v>1140</v>
      </c>
      <c r="G57" s="213">
        <v>0</v>
      </c>
      <c r="H57" s="214">
        <v>2344</v>
      </c>
      <c r="I57" s="34">
        <f t="shared" si="16"/>
        <v>552</v>
      </c>
      <c r="J57" s="168">
        <f>234+653</f>
        <v>887</v>
      </c>
      <c r="K57" s="169">
        <f>234+653</f>
        <v>887</v>
      </c>
      <c r="L57" s="169">
        <v>129</v>
      </c>
      <c r="M57" s="170">
        <f>250+653</f>
        <v>903</v>
      </c>
      <c r="N57" s="171">
        <f t="shared" si="17"/>
        <v>113</v>
      </c>
      <c r="O57" s="168">
        <f>220+346</f>
        <v>566</v>
      </c>
      <c r="P57" s="169">
        <f>220+341</f>
        <v>561</v>
      </c>
      <c r="Q57" s="170">
        <v>300</v>
      </c>
      <c r="R57" s="38">
        <f t="shared" si="18"/>
        <v>266</v>
      </c>
      <c r="S57" s="168">
        <v>94</v>
      </c>
      <c r="T57" s="169">
        <f>94</f>
        <v>94</v>
      </c>
      <c r="U57" s="170">
        <v>44</v>
      </c>
      <c r="V57" s="38">
        <f t="shared" si="19"/>
        <v>50</v>
      </c>
    </row>
    <row r="58" spans="1:22" s="40" customFormat="1" ht="28.5" customHeight="1">
      <c r="A58" s="143" t="s">
        <v>125</v>
      </c>
      <c r="B58" s="168">
        <v>952</v>
      </c>
      <c r="C58" s="212">
        <v>952</v>
      </c>
      <c r="D58" s="212">
        <v>4417</v>
      </c>
      <c r="E58" s="213">
        <v>363</v>
      </c>
      <c r="F58" s="213">
        <v>260</v>
      </c>
      <c r="G58" s="213">
        <v>2000</v>
      </c>
      <c r="H58" s="214">
        <v>5047</v>
      </c>
      <c r="I58" s="34">
        <f t="shared" si="16"/>
        <v>322</v>
      </c>
      <c r="J58" s="168">
        <f>595+1350</f>
        <v>1945</v>
      </c>
      <c r="K58" s="169">
        <f>595+1350</f>
        <v>1945</v>
      </c>
      <c r="L58" s="169">
        <v>169</v>
      </c>
      <c r="M58" s="170">
        <f>500+1350</f>
        <v>1850</v>
      </c>
      <c r="N58" s="171">
        <f t="shared" si="17"/>
        <v>264</v>
      </c>
      <c r="O58" s="168">
        <f>370+159</f>
        <v>529</v>
      </c>
      <c r="P58" s="169">
        <f>370+159</f>
        <v>529</v>
      </c>
      <c r="Q58" s="170">
        <v>529</v>
      </c>
      <c r="R58" s="38">
        <f t="shared" si="18"/>
        <v>0</v>
      </c>
      <c r="S58" s="168">
        <f>100+1153</f>
        <v>1253</v>
      </c>
      <c r="T58" s="169">
        <f>100+1153</f>
        <v>1253</v>
      </c>
      <c r="U58" s="170">
        <v>500</v>
      </c>
      <c r="V58" s="38">
        <f t="shared" si="19"/>
        <v>753</v>
      </c>
    </row>
    <row r="59" spans="1:23" s="40" customFormat="1" ht="25.5" customHeight="1">
      <c r="A59" s="143" t="s">
        <v>126</v>
      </c>
      <c r="B59" s="168">
        <v>321</v>
      </c>
      <c r="C59" s="212">
        <v>321</v>
      </c>
      <c r="D59" s="212">
        <v>1157</v>
      </c>
      <c r="E59" s="213">
        <v>620</v>
      </c>
      <c r="F59" s="213">
        <v>0</v>
      </c>
      <c r="G59" s="213">
        <v>0</v>
      </c>
      <c r="H59" s="214">
        <v>1228</v>
      </c>
      <c r="I59" s="34">
        <f>B59+D59-H59</f>
        <v>250</v>
      </c>
      <c r="J59" s="168">
        <v>703</v>
      </c>
      <c r="K59" s="169">
        <v>0</v>
      </c>
      <c r="L59" s="169">
        <v>371</v>
      </c>
      <c r="M59" s="170">
        <v>850</v>
      </c>
      <c r="N59" s="171">
        <f t="shared" si="17"/>
        <v>224</v>
      </c>
      <c r="O59" s="168">
        <f>216+980</f>
        <v>1196</v>
      </c>
      <c r="P59" s="169">
        <f>216+919</f>
        <v>1135</v>
      </c>
      <c r="Q59" s="170">
        <f>320</f>
        <v>320</v>
      </c>
      <c r="R59" s="38">
        <f t="shared" si="18"/>
        <v>876</v>
      </c>
      <c r="S59" s="168">
        <f>512</f>
        <v>512</v>
      </c>
      <c r="T59" s="169">
        <f>512</f>
        <v>512</v>
      </c>
      <c r="U59" s="170">
        <v>0</v>
      </c>
      <c r="V59" s="38">
        <f t="shared" si="19"/>
        <v>512</v>
      </c>
      <c r="W59" s="174"/>
    </row>
    <row r="60" spans="1:23" s="40" customFormat="1" ht="27" customHeight="1">
      <c r="A60" s="57" t="s">
        <v>127</v>
      </c>
      <c r="B60" s="168">
        <v>1110</v>
      </c>
      <c r="C60" s="212">
        <v>1110</v>
      </c>
      <c r="D60" s="212">
        <v>877</v>
      </c>
      <c r="E60" s="213">
        <v>835</v>
      </c>
      <c r="F60" s="213">
        <v>0</v>
      </c>
      <c r="G60" s="213">
        <v>0</v>
      </c>
      <c r="H60" s="215">
        <f>452+E60+F60+G60</f>
        <v>1287</v>
      </c>
      <c r="I60" s="34">
        <f t="shared" si="16"/>
        <v>700</v>
      </c>
      <c r="J60" s="168">
        <f>499+79</f>
        <v>578</v>
      </c>
      <c r="K60" s="169">
        <f>499+79</f>
        <v>578</v>
      </c>
      <c r="L60" s="169">
        <v>25</v>
      </c>
      <c r="M60" s="170">
        <f>499+104</f>
        <v>603</v>
      </c>
      <c r="N60" s="171">
        <f t="shared" si="17"/>
        <v>0</v>
      </c>
      <c r="O60" s="168">
        <f>205+230</f>
        <v>435</v>
      </c>
      <c r="P60" s="169">
        <f>205+230</f>
        <v>435</v>
      </c>
      <c r="Q60" s="170">
        <f>400</f>
        <v>400</v>
      </c>
      <c r="R60" s="38">
        <f t="shared" si="18"/>
        <v>35</v>
      </c>
      <c r="S60" s="168">
        <f>28+301</f>
        <v>329</v>
      </c>
      <c r="T60" s="169">
        <f>28+301</f>
        <v>329</v>
      </c>
      <c r="U60" s="170">
        <v>329</v>
      </c>
      <c r="V60" s="38">
        <f t="shared" si="19"/>
        <v>0</v>
      </c>
      <c r="W60" s="174"/>
    </row>
    <row r="61" spans="1:22" s="40" customFormat="1" ht="22.5" customHeight="1">
      <c r="A61" s="31" t="s">
        <v>131</v>
      </c>
      <c r="B61" s="168">
        <v>1267</v>
      </c>
      <c r="C61" s="212">
        <v>1267</v>
      </c>
      <c r="D61" s="212">
        <v>1750</v>
      </c>
      <c r="E61" s="213">
        <v>720</v>
      </c>
      <c r="F61" s="213">
        <v>0</v>
      </c>
      <c r="G61" s="213">
        <v>200</v>
      </c>
      <c r="H61" s="214">
        <v>1400</v>
      </c>
      <c r="I61" s="34">
        <f t="shared" si="16"/>
        <v>1617</v>
      </c>
      <c r="J61" s="168">
        <v>981</v>
      </c>
      <c r="K61" s="169">
        <v>981</v>
      </c>
      <c r="L61" s="169">
        <f>161+50</f>
        <v>211</v>
      </c>
      <c r="M61" s="170">
        <f>161+51+980</f>
        <v>1192</v>
      </c>
      <c r="N61" s="171">
        <f t="shared" si="17"/>
        <v>0</v>
      </c>
      <c r="O61" s="168">
        <f>250+299</f>
        <v>549</v>
      </c>
      <c r="P61" s="169">
        <f>250+165</f>
        <v>415</v>
      </c>
      <c r="Q61" s="170">
        <v>549</v>
      </c>
      <c r="R61" s="38">
        <f t="shared" si="18"/>
        <v>0</v>
      </c>
      <c r="S61" s="168">
        <f>178</f>
        <v>178</v>
      </c>
      <c r="T61" s="169">
        <v>178</v>
      </c>
      <c r="U61" s="170">
        <v>178</v>
      </c>
      <c r="V61" s="38">
        <f t="shared" si="19"/>
        <v>0</v>
      </c>
    </row>
    <row r="62" spans="1:22" s="40" customFormat="1" ht="24" customHeight="1">
      <c r="A62" s="31" t="s">
        <v>128</v>
      </c>
      <c r="B62" s="168">
        <v>333</v>
      </c>
      <c r="C62" s="212">
        <v>333</v>
      </c>
      <c r="D62" s="212">
        <v>1454</v>
      </c>
      <c r="E62" s="213">
        <v>200</v>
      </c>
      <c r="F62" s="213">
        <v>0</v>
      </c>
      <c r="G62" s="213">
        <v>0</v>
      </c>
      <c r="H62" s="214">
        <f>524+E62+F62+G62</f>
        <v>724</v>
      </c>
      <c r="I62" s="34">
        <f t="shared" si="16"/>
        <v>1063</v>
      </c>
      <c r="J62" s="168">
        <v>9</v>
      </c>
      <c r="K62" s="169">
        <v>9</v>
      </c>
      <c r="L62" s="169">
        <v>26</v>
      </c>
      <c r="M62" s="170">
        <v>30</v>
      </c>
      <c r="N62" s="171">
        <f t="shared" si="17"/>
        <v>5</v>
      </c>
      <c r="O62" s="168">
        <f>200+291</f>
        <v>491</v>
      </c>
      <c r="P62" s="169">
        <f>200+238</f>
        <v>438</v>
      </c>
      <c r="Q62" s="170">
        <v>250</v>
      </c>
      <c r="R62" s="38">
        <f t="shared" si="18"/>
        <v>241</v>
      </c>
      <c r="S62" s="168">
        <f>8+22</f>
        <v>30</v>
      </c>
      <c r="T62" s="169">
        <f>8+22</f>
        <v>30</v>
      </c>
      <c r="U62" s="170">
        <v>0</v>
      </c>
      <c r="V62" s="38">
        <f t="shared" si="19"/>
        <v>30</v>
      </c>
    </row>
    <row r="63" spans="1:22" s="40" customFormat="1" ht="25.5" customHeight="1" thickBot="1">
      <c r="A63" s="31" t="s">
        <v>129</v>
      </c>
      <c r="B63" s="168">
        <v>304</v>
      </c>
      <c r="C63" s="212">
        <v>304</v>
      </c>
      <c r="D63" s="212">
        <v>135</v>
      </c>
      <c r="E63" s="213">
        <v>0</v>
      </c>
      <c r="F63" s="213">
        <v>0</v>
      </c>
      <c r="G63" s="213">
        <v>0</v>
      </c>
      <c r="H63" s="214">
        <v>109</v>
      </c>
      <c r="I63" s="34">
        <f t="shared" si="16"/>
        <v>330</v>
      </c>
      <c r="J63" s="168">
        <v>364</v>
      </c>
      <c r="K63" s="169">
        <v>364</v>
      </c>
      <c r="L63" s="169">
        <v>124</v>
      </c>
      <c r="M63" s="170">
        <v>0</v>
      </c>
      <c r="N63" s="171">
        <f t="shared" si="17"/>
        <v>488</v>
      </c>
      <c r="O63" s="168">
        <f>100+57</f>
        <v>157</v>
      </c>
      <c r="P63" s="169">
        <f>100+57</f>
        <v>157</v>
      </c>
      <c r="Q63" s="170">
        <v>157</v>
      </c>
      <c r="R63" s="38">
        <f t="shared" si="18"/>
        <v>0</v>
      </c>
      <c r="S63" s="168">
        <f>44+132</f>
        <v>176</v>
      </c>
      <c r="T63" s="169">
        <f>44+132</f>
        <v>176</v>
      </c>
      <c r="U63" s="170">
        <v>60</v>
      </c>
      <c r="V63" s="38">
        <f t="shared" si="19"/>
        <v>116</v>
      </c>
    </row>
    <row r="64" spans="1:28" s="218" customFormat="1" ht="13.5" thickBot="1">
      <c r="A64" s="166" t="s">
        <v>21</v>
      </c>
      <c r="B64" s="167">
        <f>SUM(B65:B80)</f>
        <v>13290</v>
      </c>
      <c r="C64" s="167">
        <f>SUM(C65:C80)</f>
        <v>13343</v>
      </c>
      <c r="D64" s="165">
        <f aca="true" t="shared" si="20" ref="D64:V64">SUM(D65:D80)</f>
        <v>28121</v>
      </c>
      <c r="E64" s="165">
        <f t="shared" si="20"/>
        <v>10691</v>
      </c>
      <c r="F64" s="165">
        <f t="shared" si="20"/>
        <v>1220</v>
      </c>
      <c r="G64" s="165">
        <f t="shared" si="20"/>
        <v>1612</v>
      </c>
      <c r="H64" s="165">
        <f t="shared" si="20"/>
        <v>24988</v>
      </c>
      <c r="I64" s="29">
        <f t="shared" si="20"/>
        <v>16423</v>
      </c>
      <c r="J64" s="167">
        <f t="shared" si="20"/>
        <v>13564</v>
      </c>
      <c r="K64" s="165">
        <f t="shared" si="20"/>
        <v>13586</v>
      </c>
      <c r="L64" s="165">
        <f t="shared" si="20"/>
        <v>2876</v>
      </c>
      <c r="M64" s="165">
        <f t="shared" si="20"/>
        <v>8847</v>
      </c>
      <c r="N64" s="29">
        <f t="shared" si="20"/>
        <v>7593</v>
      </c>
      <c r="O64" s="167">
        <f t="shared" si="20"/>
        <v>9698</v>
      </c>
      <c r="P64" s="165">
        <f t="shared" si="20"/>
        <v>9115</v>
      </c>
      <c r="Q64" s="165">
        <f t="shared" si="20"/>
        <v>6704</v>
      </c>
      <c r="R64" s="29">
        <f t="shared" si="20"/>
        <v>2994</v>
      </c>
      <c r="S64" s="167">
        <f t="shared" si="20"/>
        <v>5727</v>
      </c>
      <c r="T64" s="165">
        <f t="shared" si="20"/>
        <v>5722</v>
      </c>
      <c r="U64" s="165">
        <f t="shared" si="20"/>
        <v>1619</v>
      </c>
      <c r="V64" s="29">
        <f t="shared" si="20"/>
        <v>4108</v>
      </c>
      <c r="W64" s="216"/>
      <c r="X64" s="217"/>
      <c r="Y64" s="217"/>
      <c r="Z64" s="217"/>
      <c r="AA64" s="217"/>
      <c r="AB64" s="217"/>
    </row>
    <row r="65" spans="1:25" s="219" customFormat="1" ht="12.75">
      <c r="A65" s="180" t="s">
        <v>72</v>
      </c>
      <c r="B65" s="175">
        <v>343</v>
      </c>
      <c r="C65" s="176">
        <v>343</v>
      </c>
      <c r="D65" s="176">
        <v>894</v>
      </c>
      <c r="E65" s="177">
        <v>660</v>
      </c>
      <c r="F65" s="177">
        <v>0</v>
      </c>
      <c r="G65" s="177">
        <v>100</v>
      </c>
      <c r="H65" s="178">
        <f>351+E65+F65+G65</f>
        <v>1111</v>
      </c>
      <c r="I65" s="70">
        <f>B65+D65-H65</f>
        <v>126</v>
      </c>
      <c r="J65" s="175">
        <f>39+85</f>
        <v>124</v>
      </c>
      <c r="K65" s="176">
        <f>39+85</f>
        <v>124</v>
      </c>
      <c r="L65" s="176">
        <v>32</v>
      </c>
      <c r="M65" s="177">
        <v>0</v>
      </c>
      <c r="N65" s="178">
        <f aca="true" t="shared" si="21" ref="N65:N80">J65+L65-M65</f>
        <v>156</v>
      </c>
      <c r="O65" s="175">
        <f>553+125</f>
        <v>678</v>
      </c>
      <c r="P65" s="176">
        <f>462+125</f>
        <v>587</v>
      </c>
      <c r="Q65" s="177">
        <v>520</v>
      </c>
      <c r="R65" s="70">
        <f aca="true" t="shared" si="22" ref="R65:R80">O65-Q65</f>
        <v>158</v>
      </c>
      <c r="S65" s="175">
        <f>8+120</f>
        <v>128</v>
      </c>
      <c r="T65" s="177">
        <f>8+120</f>
        <v>128</v>
      </c>
      <c r="U65" s="177">
        <v>0</v>
      </c>
      <c r="V65" s="70">
        <f aca="true" t="shared" si="23" ref="V65:V80">S65-U65</f>
        <v>128</v>
      </c>
      <c r="Y65" s="219" t="s">
        <v>19</v>
      </c>
    </row>
    <row r="66" spans="1:22" s="40" customFormat="1" ht="12.75">
      <c r="A66" s="141" t="s">
        <v>87</v>
      </c>
      <c r="B66" s="168">
        <v>40</v>
      </c>
      <c r="C66" s="169">
        <v>93</v>
      </c>
      <c r="D66" s="169">
        <v>2075</v>
      </c>
      <c r="E66" s="170">
        <v>590</v>
      </c>
      <c r="F66" s="170">
        <v>0</v>
      </c>
      <c r="G66" s="170">
        <v>550</v>
      </c>
      <c r="H66" s="171">
        <f>969+E66+F66+G66</f>
        <v>2109</v>
      </c>
      <c r="I66" s="38">
        <f aca="true" t="shared" si="24" ref="I66:I80">B66+D66-H66</f>
        <v>6</v>
      </c>
      <c r="J66" s="168">
        <f>777+19</f>
        <v>796</v>
      </c>
      <c r="K66" s="169">
        <f>777+19</f>
        <v>796</v>
      </c>
      <c r="L66" s="169">
        <v>151</v>
      </c>
      <c r="M66" s="170">
        <f>500+19</f>
        <v>519</v>
      </c>
      <c r="N66" s="171">
        <f t="shared" si="21"/>
        <v>428</v>
      </c>
      <c r="O66" s="168">
        <f>89+225</f>
        <v>314</v>
      </c>
      <c r="P66" s="169">
        <f>225+51</f>
        <v>276</v>
      </c>
      <c r="Q66" s="170">
        <v>256</v>
      </c>
      <c r="R66" s="38">
        <f t="shared" si="22"/>
        <v>58</v>
      </c>
      <c r="S66" s="168">
        <f>594+150</f>
        <v>744</v>
      </c>
      <c r="T66" s="170">
        <f>150+594</f>
        <v>744</v>
      </c>
      <c r="U66" s="170">
        <v>400</v>
      </c>
      <c r="V66" s="38">
        <f t="shared" si="23"/>
        <v>344</v>
      </c>
    </row>
    <row r="67" spans="1:22" s="40" customFormat="1" ht="12.75">
      <c r="A67" s="31" t="s">
        <v>135</v>
      </c>
      <c r="B67" s="168">
        <v>1092</v>
      </c>
      <c r="C67" s="169">
        <v>1092</v>
      </c>
      <c r="D67" s="169">
        <v>2260</v>
      </c>
      <c r="E67" s="170">
        <v>380</v>
      </c>
      <c r="F67" s="170">
        <v>220</v>
      </c>
      <c r="G67" s="170">
        <v>150</v>
      </c>
      <c r="H67" s="171">
        <f>960+E67+F67+G67</f>
        <v>1710</v>
      </c>
      <c r="I67" s="38">
        <f t="shared" si="24"/>
        <v>1642</v>
      </c>
      <c r="J67" s="168">
        <f>328+329</f>
        <v>657</v>
      </c>
      <c r="K67" s="169">
        <f>328+329</f>
        <v>657</v>
      </c>
      <c r="L67" s="169">
        <f>24+50</f>
        <v>74</v>
      </c>
      <c r="M67" s="170">
        <v>50</v>
      </c>
      <c r="N67" s="171">
        <f t="shared" si="21"/>
        <v>681</v>
      </c>
      <c r="O67" s="168">
        <f>162+260</f>
        <v>422</v>
      </c>
      <c r="P67" s="169">
        <f>260+50</f>
        <v>310</v>
      </c>
      <c r="Q67" s="170">
        <v>300</v>
      </c>
      <c r="R67" s="38">
        <f t="shared" si="22"/>
        <v>122</v>
      </c>
      <c r="S67" s="168">
        <f>199+10</f>
        <v>209</v>
      </c>
      <c r="T67" s="169">
        <f>10+199</f>
        <v>209</v>
      </c>
      <c r="U67" s="170">
        <v>0</v>
      </c>
      <c r="V67" s="38">
        <f t="shared" si="23"/>
        <v>209</v>
      </c>
    </row>
    <row r="68" spans="1:22" s="40" customFormat="1" ht="12.75">
      <c r="A68" s="141" t="s">
        <v>37</v>
      </c>
      <c r="B68" s="168">
        <v>813</v>
      </c>
      <c r="C68" s="169">
        <v>813</v>
      </c>
      <c r="D68" s="169">
        <v>1453</v>
      </c>
      <c r="E68" s="170">
        <v>300</v>
      </c>
      <c r="F68" s="170">
        <v>0</v>
      </c>
      <c r="G68" s="170">
        <v>210</v>
      </c>
      <c r="H68" s="171">
        <f>753+E68+F68+G68</f>
        <v>1263</v>
      </c>
      <c r="I68" s="38">
        <f t="shared" si="24"/>
        <v>1003</v>
      </c>
      <c r="J68" s="168">
        <v>1047</v>
      </c>
      <c r="K68" s="169">
        <v>1047</v>
      </c>
      <c r="L68" s="169">
        <v>309</v>
      </c>
      <c r="M68" s="170">
        <v>0</v>
      </c>
      <c r="N68" s="171">
        <f t="shared" si="21"/>
        <v>1356</v>
      </c>
      <c r="O68" s="168">
        <f>521+290</f>
        <v>811</v>
      </c>
      <c r="P68" s="169">
        <f>290+471</f>
        <v>761</v>
      </c>
      <c r="Q68" s="170">
        <v>710</v>
      </c>
      <c r="R68" s="38">
        <f t="shared" si="22"/>
        <v>101</v>
      </c>
      <c r="S68" s="168">
        <f>1116+100</f>
        <v>1216</v>
      </c>
      <c r="T68" s="170">
        <f>100+1116</f>
        <v>1216</v>
      </c>
      <c r="U68" s="170">
        <v>0</v>
      </c>
      <c r="V68" s="38">
        <f t="shared" si="23"/>
        <v>1216</v>
      </c>
    </row>
    <row r="69" spans="1:22" s="40" customFormat="1" ht="12.75">
      <c r="A69" s="220" t="s">
        <v>91</v>
      </c>
      <c r="B69" s="221">
        <v>410</v>
      </c>
      <c r="C69" s="222">
        <v>410</v>
      </c>
      <c r="D69" s="222">
        <v>672</v>
      </c>
      <c r="E69" s="223">
        <v>500</v>
      </c>
      <c r="F69" s="223">
        <v>0</v>
      </c>
      <c r="G69" s="223">
        <v>0</v>
      </c>
      <c r="H69" s="224">
        <f>394+E69+F69+G69</f>
        <v>894</v>
      </c>
      <c r="I69" s="90">
        <f t="shared" si="24"/>
        <v>188</v>
      </c>
      <c r="J69" s="168">
        <f>32+115</f>
        <v>147</v>
      </c>
      <c r="K69" s="222">
        <f>54+115</f>
        <v>169</v>
      </c>
      <c r="L69" s="169">
        <v>22</v>
      </c>
      <c r="M69" s="170">
        <v>0</v>
      </c>
      <c r="N69" s="171">
        <f t="shared" si="21"/>
        <v>169</v>
      </c>
      <c r="O69" s="168">
        <f>461+150</f>
        <v>611</v>
      </c>
      <c r="P69" s="222">
        <f>150+461</f>
        <v>611</v>
      </c>
      <c r="Q69" s="170">
        <v>140</v>
      </c>
      <c r="R69" s="38">
        <f t="shared" si="22"/>
        <v>471</v>
      </c>
      <c r="S69" s="168">
        <f>61</f>
        <v>61</v>
      </c>
      <c r="T69" s="223">
        <v>61</v>
      </c>
      <c r="U69" s="170">
        <v>0</v>
      </c>
      <c r="V69" s="38">
        <f t="shared" si="23"/>
        <v>61</v>
      </c>
    </row>
    <row r="70" spans="1:22" s="40" customFormat="1" ht="12.75">
      <c r="A70" s="141" t="s">
        <v>92</v>
      </c>
      <c r="B70" s="168">
        <v>1944</v>
      </c>
      <c r="C70" s="169">
        <v>1944</v>
      </c>
      <c r="D70" s="169">
        <v>2333</v>
      </c>
      <c r="E70" s="170">
        <v>0</v>
      </c>
      <c r="F70" s="170">
        <v>0</v>
      </c>
      <c r="G70" s="170">
        <v>0</v>
      </c>
      <c r="H70" s="171">
        <v>1844</v>
      </c>
      <c r="I70" s="38">
        <f t="shared" si="24"/>
        <v>2433</v>
      </c>
      <c r="J70" s="168">
        <f>508+4860</f>
        <v>5368</v>
      </c>
      <c r="K70" s="169">
        <f>508+4860</f>
        <v>5368</v>
      </c>
      <c r="L70" s="169">
        <v>500</v>
      </c>
      <c r="M70" s="223">
        <f>500+4860</f>
        <v>5360</v>
      </c>
      <c r="N70" s="171">
        <f t="shared" si="21"/>
        <v>508</v>
      </c>
      <c r="O70" s="168">
        <f>1007+390</f>
        <v>1397</v>
      </c>
      <c r="P70" s="169">
        <f>390+968</f>
        <v>1358</v>
      </c>
      <c r="Q70" s="170">
        <v>900</v>
      </c>
      <c r="R70" s="38">
        <f t="shared" si="22"/>
        <v>497</v>
      </c>
      <c r="S70" s="168">
        <f>631+43</f>
        <v>674</v>
      </c>
      <c r="T70" s="170">
        <f>631+43</f>
        <v>674</v>
      </c>
      <c r="U70" s="170">
        <v>0</v>
      </c>
      <c r="V70" s="38">
        <f t="shared" si="23"/>
        <v>674</v>
      </c>
    </row>
    <row r="71" spans="1:22" s="40" customFormat="1" ht="12.75">
      <c r="A71" s="141" t="s">
        <v>38</v>
      </c>
      <c r="B71" s="168">
        <v>267</v>
      </c>
      <c r="C71" s="169">
        <v>267</v>
      </c>
      <c r="D71" s="169">
        <v>1065</v>
      </c>
      <c r="E71" s="170">
        <v>0</v>
      </c>
      <c r="F71" s="170">
        <v>0</v>
      </c>
      <c r="G71" s="170">
        <v>0</v>
      </c>
      <c r="H71" s="171">
        <f>336+F71</f>
        <v>336</v>
      </c>
      <c r="I71" s="38">
        <f t="shared" si="24"/>
        <v>996</v>
      </c>
      <c r="J71" s="168">
        <f>33+26</f>
        <v>59</v>
      </c>
      <c r="K71" s="169">
        <f>33+26</f>
        <v>59</v>
      </c>
      <c r="L71" s="169">
        <f>46+10</f>
        <v>56</v>
      </c>
      <c r="M71" s="170">
        <v>0</v>
      </c>
      <c r="N71" s="171">
        <f t="shared" si="21"/>
        <v>115</v>
      </c>
      <c r="O71" s="168">
        <f>716+220</f>
        <v>936</v>
      </c>
      <c r="P71" s="169">
        <f>220+716</f>
        <v>936</v>
      </c>
      <c r="Q71" s="170">
        <v>400</v>
      </c>
      <c r="R71" s="38">
        <f t="shared" si="22"/>
        <v>536</v>
      </c>
      <c r="S71" s="168">
        <f>306+33</f>
        <v>339</v>
      </c>
      <c r="T71" s="170">
        <f>33+306</f>
        <v>339</v>
      </c>
      <c r="U71" s="170">
        <v>0</v>
      </c>
      <c r="V71" s="38">
        <f t="shared" si="23"/>
        <v>339</v>
      </c>
    </row>
    <row r="72" spans="1:22" s="40" customFormat="1" ht="12.75">
      <c r="A72" s="141" t="s">
        <v>39</v>
      </c>
      <c r="B72" s="168">
        <v>190</v>
      </c>
      <c r="C72" s="169">
        <v>190</v>
      </c>
      <c r="D72" s="169">
        <v>1486</v>
      </c>
      <c r="E72" s="170">
        <v>800</v>
      </c>
      <c r="F72" s="170">
        <v>0</v>
      </c>
      <c r="G72" s="170">
        <v>0</v>
      </c>
      <c r="H72" s="171">
        <f>773+E72+F72+G72</f>
        <v>1573</v>
      </c>
      <c r="I72" s="38">
        <f t="shared" si="24"/>
        <v>103</v>
      </c>
      <c r="J72" s="168">
        <f>49+254</f>
        <v>303</v>
      </c>
      <c r="K72" s="169">
        <f>49+254</f>
        <v>303</v>
      </c>
      <c r="L72" s="169">
        <f>296+10</f>
        <v>306</v>
      </c>
      <c r="M72" s="170">
        <f>50+260</f>
        <v>310</v>
      </c>
      <c r="N72" s="171">
        <f t="shared" si="21"/>
        <v>299</v>
      </c>
      <c r="O72" s="168">
        <f>46+250</f>
        <v>296</v>
      </c>
      <c r="P72" s="169">
        <f>56+250</f>
        <v>306</v>
      </c>
      <c r="Q72" s="170">
        <v>274</v>
      </c>
      <c r="R72" s="38">
        <f t="shared" si="22"/>
        <v>22</v>
      </c>
      <c r="S72" s="168">
        <f>161</f>
        <v>161</v>
      </c>
      <c r="T72" s="170">
        <v>161</v>
      </c>
      <c r="U72" s="170">
        <v>50</v>
      </c>
      <c r="V72" s="38">
        <f t="shared" si="23"/>
        <v>111</v>
      </c>
    </row>
    <row r="73" spans="1:22" s="40" customFormat="1" ht="12.75">
      <c r="A73" s="141" t="s">
        <v>40</v>
      </c>
      <c r="B73" s="168">
        <v>1273</v>
      </c>
      <c r="C73" s="169">
        <v>1273</v>
      </c>
      <c r="D73" s="169">
        <v>2960</v>
      </c>
      <c r="E73" s="170">
        <v>600</v>
      </c>
      <c r="F73" s="170">
        <v>1000</v>
      </c>
      <c r="G73" s="170">
        <v>0</v>
      </c>
      <c r="H73" s="171">
        <f>984+E73+F73+G73</f>
        <v>2584</v>
      </c>
      <c r="I73" s="38">
        <f t="shared" si="24"/>
        <v>1649</v>
      </c>
      <c r="J73" s="168">
        <f>664+29</f>
        <v>693</v>
      </c>
      <c r="K73" s="169">
        <f>664+29</f>
        <v>693</v>
      </c>
      <c r="L73" s="169">
        <f>255+5</f>
        <v>260</v>
      </c>
      <c r="M73" s="170">
        <f>150+5</f>
        <v>155</v>
      </c>
      <c r="N73" s="171">
        <f t="shared" si="21"/>
        <v>798</v>
      </c>
      <c r="O73" s="168">
        <f>562+230</f>
        <v>792</v>
      </c>
      <c r="P73" s="169">
        <f>230+554</f>
        <v>784</v>
      </c>
      <c r="Q73" s="170">
        <v>370</v>
      </c>
      <c r="R73" s="38">
        <f t="shared" si="22"/>
        <v>422</v>
      </c>
      <c r="S73" s="168">
        <f>233+100</f>
        <v>333</v>
      </c>
      <c r="T73" s="170">
        <f>100+233</f>
        <v>333</v>
      </c>
      <c r="U73" s="170">
        <v>100</v>
      </c>
      <c r="V73" s="38">
        <f t="shared" si="23"/>
        <v>233</v>
      </c>
    </row>
    <row r="74" spans="1:22" s="40" customFormat="1" ht="12.75">
      <c r="A74" s="141" t="s">
        <v>93</v>
      </c>
      <c r="B74" s="168">
        <v>1257</v>
      </c>
      <c r="C74" s="169">
        <v>1257</v>
      </c>
      <c r="D74" s="169">
        <v>1296</v>
      </c>
      <c r="E74" s="170">
        <v>0</v>
      </c>
      <c r="F74" s="170">
        <v>0</v>
      </c>
      <c r="G74" s="170">
        <v>0</v>
      </c>
      <c r="H74" s="171">
        <f>522+E74+F74+G74</f>
        <v>522</v>
      </c>
      <c r="I74" s="38">
        <f t="shared" si="24"/>
        <v>2031</v>
      </c>
      <c r="J74" s="168">
        <f>2468</f>
        <v>2468</v>
      </c>
      <c r="K74" s="169">
        <v>2468</v>
      </c>
      <c r="L74" s="169">
        <v>196</v>
      </c>
      <c r="M74" s="170">
        <v>500</v>
      </c>
      <c r="N74" s="171">
        <f t="shared" si="21"/>
        <v>2164</v>
      </c>
      <c r="O74" s="168">
        <f>254+105</f>
        <v>359</v>
      </c>
      <c r="P74" s="169">
        <f>105+244</f>
        <v>349</v>
      </c>
      <c r="Q74" s="170">
        <v>215</v>
      </c>
      <c r="R74" s="38">
        <f t="shared" si="22"/>
        <v>144</v>
      </c>
      <c r="S74" s="168">
        <f>783+191</f>
        <v>974</v>
      </c>
      <c r="T74" s="170">
        <f>783+191</f>
        <v>974</v>
      </c>
      <c r="U74" s="170">
        <v>700</v>
      </c>
      <c r="V74" s="38">
        <f t="shared" si="23"/>
        <v>274</v>
      </c>
    </row>
    <row r="75" spans="1:22" s="92" customFormat="1" ht="12.75">
      <c r="A75" s="359" t="s">
        <v>41</v>
      </c>
      <c r="B75" s="231">
        <v>700</v>
      </c>
      <c r="C75" s="194">
        <v>700</v>
      </c>
      <c r="D75" s="194">
        <f>956</f>
        <v>956</v>
      </c>
      <c r="E75" s="195">
        <v>0</v>
      </c>
      <c r="F75" s="195">
        <v>0</v>
      </c>
      <c r="G75" s="195">
        <v>202</v>
      </c>
      <c r="H75" s="232">
        <f>526+E75+F75+G75</f>
        <v>728</v>
      </c>
      <c r="I75" s="233">
        <f t="shared" si="24"/>
        <v>928</v>
      </c>
      <c r="J75" s="231">
        <f>41+8</f>
        <v>49</v>
      </c>
      <c r="K75" s="194">
        <f>41+8</f>
        <v>49</v>
      </c>
      <c r="L75" s="194">
        <v>73</v>
      </c>
      <c r="M75" s="195">
        <v>100</v>
      </c>
      <c r="N75" s="232">
        <f t="shared" si="21"/>
        <v>22</v>
      </c>
      <c r="O75" s="231">
        <f>250+343</f>
        <v>593</v>
      </c>
      <c r="P75" s="194">
        <f>250+343</f>
        <v>593</v>
      </c>
      <c r="Q75" s="195">
        <v>400</v>
      </c>
      <c r="R75" s="233">
        <f t="shared" si="22"/>
        <v>193</v>
      </c>
      <c r="S75" s="231">
        <v>3</v>
      </c>
      <c r="T75" s="195">
        <v>3</v>
      </c>
      <c r="U75" s="195">
        <v>0</v>
      </c>
      <c r="V75" s="233">
        <f t="shared" si="23"/>
        <v>3</v>
      </c>
    </row>
    <row r="76" spans="1:23" s="40" customFormat="1" ht="12.75">
      <c r="A76" s="187" t="s">
        <v>94</v>
      </c>
      <c r="B76" s="188">
        <v>852</v>
      </c>
      <c r="C76" s="189">
        <v>852</v>
      </c>
      <c r="D76" s="189">
        <v>5269</v>
      </c>
      <c r="E76" s="190">
        <f>4011-100</f>
        <v>3911</v>
      </c>
      <c r="F76" s="190">
        <v>0</v>
      </c>
      <c r="G76" s="190">
        <v>0</v>
      </c>
      <c r="H76" s="191">
        <f>904+E76+F76+G76</f>
        <v>4815</v>
      </c>
      <c r="I76" s="71">
        <f t="shared" si="24"/>
        <v>1306</v>
      </c>
      <c r="J76" s="188">
        <v>568</v>
      </c>
      <c r="K76" s="189">
        <v>568</v>
      </c>
      <c r="L76" s="189">
        <v>116</v>
      </c>
      <c r="M76" s="190">
        <v>0</v>
      </c>
      <c r="N76" s="191">
        <f t="shared" si="21"/>
        <v>684</v>
      </c>
      <c r="O76" s="188">
        <f>220+174</f>
        <v>394</v>
      </c>
      <c r="P76" s="189">
        <f>220+174</f>
        <v>394</v>
      </c>
      <c r="Q76" s="190">
        <v>394</v>
      </c>
      <c r="R76" s="71">
        <f t="shared" si="22"/>
        <v>0</v>
      </c>
      <c r="S76" s="188">
        <f>29+193</f>
        <v>222</v>
      </c>
      <c r="T76" s="190">
        <f>29+193</f>
        <v>222</v>
      </c>
      <c r="U76" s="190">
        <v>19</v>
      </c>
      <c r="V76" s="71">
        <f t="shared" si="23"/>
        <v>203</v>
      </c>
      <c r="W76" s="174"/>
    </row>
    <row r="77" spans="1:22" s="40" customFormat="1" ht="12.75">
      <c r="A77" s="187" t="s">
        <v>42</v>
      </c>
      <c r="B77" s="188">
        <v>124</v>
      </c>
      <c r="C77" s="189">
        <v>124</v>
      </c>
      <c r="D77" s="194">
        <f>1335+159</f>
        <v>1494</v>
      </c>
      <c r="E77" s="190">
        <v>310</v>
      </c>
      <c r="F77" s="190">
        <v>0</v>
      </c>
      <c r="G77" s="190">
        <v>0</v>
      </c>
      <c r="H77" s="191">
        <f>625+E77+F77+G77</f>
        <v>935</v>
      </c>
      <c r="I77" s="71">
        <f t="shared" si="24"/>
        <v>683</v>
      </c>
      <c r="J77" s="188">
        <f>4+430</f>
        <v>434</v>
      </c>
      <c r="K77" s="189">
        <f>4+430</f>
        <v>434</v>
      </c>
      <c r="L77" s="189">
        <v>183</v>
      </c>
      <c r="M77" s="190">
        <f>150+430</f>
        <v>580</v>
      </c>
      <c r="N77" s="191">
        <f t="shared" si="21"/>
        <v>37</v>
      </c>
      <c r="O77" s="188">
        <f>75+195</f>
        <v>270</v>
      </c>
      <c r="P77" s="189">
        <f>195+75</f>
        <v>270</v>
      </c>
      <c r="Q77" s="190">
        <v>270</v>
      </c>
      <c r="R77" s="71">
        <f t="shared" si="22"/>
        <v>0</v>
      </c>
      <c r="S77" s="188">
        <v>5</v>
      </c>
      <c r="T77" s="190">
        <v>0</v>
      </c>
      <c r="U77" s="190">
        <v>0</v>
      </c>
      <c r="V77" s="71">
        <f t="shared" si="23"/>
        <v>5</v>
      </c>
    </row>
    <row r="78" spans="1:22" s="40" customFormat="1" ht="12.75">
      <c r="A78" s="187" t="s">
        <v>43</v>
      </c>
      <c r="B78" s="188">
        <v>2025</v>
      </c>
      <c r="C78" s="189">
        <v>2025</v>
      </c>
      <c r="D78" s="189">
        <v>1447</v>
      </c>
      <c r="E78" s="190">
        <v>760</v>
      </c>
      <c r="F78" s="190">
        <v>0</v>
      </c>
      <c r="G78" s="190">
        <v>0</v>
      </c>
      <c r="H78" s="191">
        <f>674+E78+F78+G78</f>
        <v>1434</v>
      </c>
      <c r="I78" s="71">
        <f t="shared" si="24"/>
        <v>2038</v>
      </c>
      <c r="J78" s="188">
        <v>0</v>
      </c>
      <c r="K78" s="189">
        <v>0</v>
      </c>
      <c r="L78" s="189">
        <v>71</v>
      </c>
      <c r="M78" s="190">
        <v>40</v>
      </c>
      <c r="N78" s="191">
        <f t="shared" si="21"/>
        <v>31</v>
      </c>
      <c r="O78" s="188">
        <f>180+667</f>
        <v>847</v>
      </c>
      <c r="P78" s="189">
        <f>180+505</f>
        <v>685</v>
      </c>
      <c r="Q78" s="190">
        <v>830</v>
      </c>
      <c r="R78" s="71">
        <f t="shared" si="22"/>
        <v>17</v>
      </c>
      <c r="S78" s="188">
        <v>256</v>
      </c>
      <c r="T78" s="190">
        <v>256</v>
      </c>
      <c r="U78" s="190">
        <v>0</v>
      </c>
      <c r="V78" s="71">
        <f t="shared" si="23"/>
        <v>256</v>
      </c>
    </row>
    <row r="79" spans="1:22" s="40" customFormat="1" ht="12.75">
      <c r="A79" s="187" t="s">
        <v>95</v>
      </c>
      <c r="B79" s="188">
        <v>1636</v>
      </c>
      <c r="C79" s="189">
        <v>1636</v>
      </c>
      <c r="D79" s="189">
        <v>1745</v>
      </c>
      <c r="E79" s="190">
        <v>1615</v>
      </c>
      <c r="F79" s="190">
        <v>0</v>
      </c>
      <c r="G79" s="190">
        <v>400</v>
      </c>
      <c r="H79" s="191">
        <f>434+E79+F79+G79</f>
        <v>2449</v>
      </c>
      <c r="I79" s="71">
        <f t="shared" si="24"/>
        <v>932</v>
      </c>
      <c r="J79" s="188">
        <v>639</v>
      </c>
      <c r="K79" s="189">
        <v>639</v>
      </c>
      <c r="L79" s="189">
        <v>112</v>
      </c>
      <c r="M79" s="190">
        <v>606</v>
      </c>
      <c r="N79" s="191">
        <f t="shared" si="21"/>
        <v>145</v>
      </c>
      <c r="O79" s="188">
        <f>190+444</f>
        <v>634</v>
      </c>
      <c r="P79" s="189">
        <f>190+425</f>
        <v>615</v>
      </c>
      <c r="Q79" s="190">
        <v>455</v>
      </c>
      <c r="R79" s="71">
        <f t="shared" si="22"/>
        <v>179</v>
      </c>
      <c r="S79" s="188">
        <v>399</v>
      </c>
      <c r="T79" s="190">
        <v>399</v>
      </c>
      <c r="U79" s="190">
        <v>350</v>
      </c>
      <c r="V79" s="71">
        <f t="shared" si="23"/>
        <v>49</v>
      </c>
    </row>
    <row r="80" spans="1:22" s="40" customFormat="1" ht="13.5" thickBot="1">
      <c r="A80" s="187" t="s">
        <v>96</v>
      </c>
      <c r="B80" s="188">
        <v>324</v>
      </c>
      <c r="C80" s="189">
        <v>324</v>
      </c>
      <c r="D80" s="189">
        <v>716</v>
      </c>
      <c r="E80" s="190">
        <f>130+135</f>
        <v>265</v>
      </c>
      <c r="F80" s="190">
        <v>0</v>
      </c>
      <c r="G80" s="190">
        <v>0</v>
      </c>
      <c r="H80" s="191">
        <f>416+E80+F80+G80</f>
        <v>681</v>
      </c>
      <c r="I80" s="71">
        <f t="shared" si="24"/>
        <v>359</v>
      </c>
      <c r="J80" s="188">
        <v>212</v>
      </c>
      <c r="K80" s="189">
        <v>212</v>
      </c>
      <c r="L80" s="189">
        <v>415</v>
      </c>
      <c r="M80" s="190">
        <v>627</v>
      </c>
      <c r="N80" s="191">
        <f t="shared" si="21"/>
        <v>0</v>
      </c>
      <c r="O80" s="188">
        <f>110+234</f>
        <v>344</v>
      </c>
      <c r="P80" s="189">
        <f>110+170</f>
        <v>280</v>
      </c>
      <c r="Q80" s="190">
        <v>270</v>
      </c>
      <c r="R80" s="71">
        <f t="shared" si="22"/>
        <v>74</v>
      </c>
      <c r="S80" s="188">
        <v>3</v>
      </c>
      <c r="T80" s="190">
        <v>3</v>
      </c>
      <c r="U80" s="190">
        <v>0</v>
      </c>
      <c r="V80" s="71">
        <f t="shared" si="23"/>
        <v>3</v>
      </c>
    </row>
    <row r="81" spans="1:256" s="235" customFormat="1" ht="13.5" thickBot="1">
      <c r="A81" s="166" t="s">
        <v>44</v>
      </c>
      <c r="B81" s="167">
        <f>SUM(B82)</f>
        <v>269</v>
      </c>
      <c r="C81" s="165">
        <f aca="true" t="shared" si="25" ref="C81:V81">SUM(C82)</f>
        <v>269</v>
      </c>
      <c r="D81" s="165">
        <f t="shared" si="25"/>
        <v>412</v>
      </c>
      <c r="E81" s="165">
        <f t="shared" si="25"/>
        <v>210</v>
      </c>
      <c r="F81" s="165">
        <f t="shared" si="25"/>
        <v>0</v>
      </c>
      <c r="G81" s="165">
        <f t="shared" si="25"/>
        <v>0</v>
      </c>
      <c r="H81" s="165">
        <f t="shared" si="25"/>
        <v>387</v>
      </c>
      <c r="I81" s="29">
        <f t="shared" si="25"/>
        <v>294</v>
      </c>
      <c r="J81" s="167">
        <f t="shared" si="25"/>
        <v>71</v>
      </c>
      <c r="K81" s="165">
        <f t="shared" si="25"/>
        <v>71</v>
      </c>
      <c r="L81" s="165">
        <f t="shared" si="25"/>
        <v>8</v>
      </c>
      <c r="M81" s="165">
        <f t="shared" si="25"/>
        <v>3</v>
      </c>
      <c r="N81" s="29">
        <f t="shared" si="25"/>
        <v>76</v>
      </c>
      <c r="O81" s="167">
        <f t="shared" si="25"/>
        <v>226</v>
      </c>
      <c r="P81" s="165">
        <f t="shared" si="25"/>
        <v>226</v>
      </c>
      <c r="Q81" s="165">
        <f t="shared" si="25"/>
        <v>196</v>
      </c>
      <c r="R81" s="29">
        <f t="shared" si="25"/>
        <v>30</v>
      </c>
      <c r="S81" s="167">
        <f t="shared" si="25"/>
        <v>20</v>
      </c>
      <c r="T81" s="165">
        <f t="shared" si="25"/>
        <v>20</v>
      </c>
      <c r="U81" s="165">
        <f t="shared" si="25"/>
        <v>0</v>
      </c>
      <c r="V81" s="29">
        <f t="shared" si="25"/>
        <v>20</v>
      </c>
      <c r="W81" s="193"/>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86"/>
      <c r="CE81" s="86"/>
      <c r="CF81" s="86"/>
      <c r="CG81" s="86"/>
      <c r="CH81" s="86"/>
      <c r="CI81" s="86"/>
      <c r="CJ81" s="86"/>
      <c r="CK81" s="86"/>
      <c r="CL81" s="86"/>
      <c r="CM81" s="86"/>
      <c r="CN81" s="86"/>
      <c r="CO81" s="86"/>
      <c r="CP81" s="86"/>
      <c r="CQ81" s="86"/>
      <c r="CR81" s="86"/>
      <c r="CS81" s="86"/>
      <c r="CT81" s="86"/>
      <c r="CU81" s="86"/>
      <c r="CV81" s="86"/>
      <c r="CW81" s="86"/>
      <c r="CX81" s="86"/>
      <c r="CY81" s="86"/>
      <c r="CZ81" s="86"/>
      <c r="DA81" s="86"/>
      <c r="DB81" s="86"/>
      <c r="DC81" s="86"/>
      <c r="DD81" s="86"/>
      <c r="DE81" s="86"/>
      <c r="DF81" s="86"/>
      <c r="DG81" s="86"/>
      <c r="DH81" s="86"/>
      <c r="DI81" s="86"/>
      <c r="DJ81" s="86"/>
      <c r="DK81" s="86"/>
      <c r="DL81" s="86"/>
      <c r="DM81" s="86"/>
      <c r="DN81" s="86"/>
      <c r="DO81" s="86"/>
      <c r="DP81" s="86"/>
      <c r="DQ81" s="86"/>
      <c r="DR81" s="86"/>
      <c r="DS81" s="86"/>
      <c r="DT81" s="86"/>
      <c r="DU81" s="86"/>
      <c r="DV81" s="86"/>
      <c r="DW81" s="86"/>
      <c r="DX81" s="86"/>
      <c r="DY81" s="86"/>
      <c r="DZ81" s="86"/>
      <c r="EA81" s="86"/>
      <c r="EB81" s="86"/>
      <c r="EC81" s="86"/>
      <c r="ED81" s="86"/>
      <c r="EE81" s="86"/>
      <c r="EF81" s="86"/>
      <c r="EG81" s="86"/>
      <c r="EH81" s="86"/>
      <c r="EI81" s="86"/>
      <c r="EJ81" s="86"/>
      <c r="EK81" s="86"/>
      <c r="EL81" s="86"/>
      <c r="EM81" s="86"/>
      <c r="EN81" s="86"/>
      <c r="EO81" s="86"/>
      <c r="EP81" s="86"/>
      <c r="EQ81" s="86"/>
      <c r="ER81" s="86"/>
      <c r="ES81" s="86"/>
      <c r="ET81" s="86"/>
      <c r="EU81" s="86"/>
      <c r="EV81" s="86"/>
      <c r="EW81" s="86"/>
      <c r="EX81" s="86"/>
      <c r="EY81" s="86"/>
      <c r="EZ81" s="86"/>
      <c r="FA81" s="86"/>
      <c r="FB81" s="86"/>
      <c r="FC81" s="86"/>
      <c r="FD81" s="86"/>
      <c r="FE81" s="86"/>
      <c r="FF81" s="86"/>
      <c r="FG81" s="86"/>
      <c r="FH81" s="86"/>
      <c r="FI81" s="86"/>
      <c r="FJ81" s="86"/>
      <c r="FK81" s="86"/>
      <c r="FL81" s="86"/>
      <c r="FM81" s="86"/>
      <c r="FN81" s="86"/>
      <c r="FO81" s="86"/>
      <c r="FP81" s="86"/>
      <c r="FQ81" s="86"/>
      <c r="FR81" s="86"/>
      <c r="FS81" s="86"/>
      <c r="FT81" s="86"/>
      <c r="FU81" s="86"/>
      <c r="FV81" s="86"/>
      <c r="FW81" s="86"/>
      <c r="FX81" s="86"/>
      <c r="FY81" s="86"/>
      <c r="FZ81" s="86"/>
      <c r="GA81" s="86"/>
      <c r="GB81" s="86"/>
      <c r="GC81" s="86"/>
      <c r="GD81" s="86"/>
      <c r="GE81" s="86"/>
      <c r="GF81" s="86"/>
      <c r="GG81" s="86"/>
      <c r="GH81" s="86"/>
      <c r="GI81" s="86"/>
      <c r="GJ81" s="86"/>
      <c r="GK81" s="86"/>
      <c r="GL81" s="86"/>
      <c r="GM81" s="86"/>
      <c r="GN81" s="86"/>
      <c r="GO81" s="86"/>
      <c r="GP81" s="86"/>
      <c r="GQ81" s="86"/>
      <c r="GR81" s="86"/>
      <c r="GS81" s="86"/>
      <c r="GT81" s="86"/>
      <c r="GU81" s="86"/>
      <c r="GV81" s="86"/>
      <c r="GW81" s="86"/>
      <c r="GX81" s="86"/>
      <c r="GY81" s="86"/>
      <c r="GZ81" s="86"/>
      <c r="HA81" s="86"/>
      <c r="HB81" s="86"/>
      <c r="HC81" s="86"/>
      <c r="HD81" s="86"/>
      <c r="HE81" s="86"/>
      <c r="HF81" s="86"/>
      <c r="HG81" s="86"/>
      <c r="HH81" s="86"/>
      <c r="HI81" s="86"/>
      <c r="HJ81" s="86"/>
      <c r="HK81" s="86"/>
      <c r="HL81" s="86"/>
      <c r="HM81" s="86"/>
      <c r="HN81" s="86"/>
      <c r="HO81" s="86"/>
      <c r="HP81" s="86"/>
      <c r="HQ81" s="86"/>
      <c r="HR81" s="86"/>
      <c r="HS81" s="86"/>
      <c r="HT81" s="86"/>
      <c r="HU81" s="86"/>
      <c r="HV81" s="86"/>
      <c r="HW81" s="86"/>
      <c r="HX81" s="86"/>
      <c r="HY81" s="86"/>
      <c r="HZ81" s="86"/>
      <c r="IA81" s="86"/>
      <c r="IB81" s="86"/>
      <c r="IC81" s="86"/>
      <c r="ID81" s="86"/>
      <c r="IE81" s="86"/>
      <c r="IF81" s="86"/>
      <c r="IG81" s="86"/>
      <c r="IH81" s="86"/>
      <c r="II81" s="86"/>
      <c r="IJ81" s="86"/>
      <c r="IK81" s="86"/>
      <c r="IL81" s="86"/>
      <c r="IM81" s="86"/>
      <c r="IN81" s="86"/>
      <c r="IO81" s="86"/>
      <c r="IP81" s="86"/>
      <c r="IQ81" s="86"/>
      <c r="IR81" s="86"/>
      <c r="IS81" s="86"/>
      <c r="IT81" s="86"/>
      <c r="IU81" s="86"/>
      <c r="IV81" s="86"/>
    </row>
    <row r="82" spans="1:256" s="40" customFormat="1" ht="13.5" thickBot="1">
      <c r="A82" s="96" t="s">
        <v>57</v>
      </c>
      <c r="B82" s="236">
        <v>269</v>
      </c>
      <c r="C82" s="237">
        <v>269</v>
      </c>
      <c r="D82" s="237">
        <v>412</v>
      </c>
      <c r="E82" s="238">
        <v>210</v>
      </c>
      <c r="F82" s="238">
        <v>0</v>
      </c>
      <c r="G82" s="238">
        <v>0</v>
      </c>
      <c r="H82" s="239">
        <v>387</v>
      </c>
      <c r="I82" s="151">
        <f>B82+D82-H82</f>
        <v>294</v>
      </c>
      <c r="J82" s="236">
        <v>71</v>
      </c>
      <c r="K82" s="237">
        <v>71</v>
      </c>
      <c r="L82" s="237">
        <v>8</v>
      </c>
      <c r="M82" s="238">
        <v>3</v>
      </c>
      <c r="N82" s="239">
        <f>J82+L82-M82</f>
        <v>76</v>
      </c>
      <c r="O82" s="236">
        <f>100+126</f>
        <v>226</v>
      </c>
      <c r="P82" s="237">
        <v>226</v>
      </c>
      <c r="Q82" s="238">
        <v>196</v>
      </c>
      <c r="R82" s="151">
        <f>O82-Q82</f>
        <v>30</v>
      </c>
      <c r="S82" s="236">
        <v>20</v>
      </c>
      <c r="T82" s="237">
        <v>20</v>
      </c>
      <c r="U82" s="238">
        <v>0</v>
      </c>
      <c r="V82" s="151">
        <f>S82-U82</f>
        <v>20</v>
      </c>
      <c r="W82" s="240"/>
      <c r="X82" s="179"/>
      <c r="Y82" s="179"/>
      <c r="Z82" s="179"/>
      <c r="AA82" s="179"/>
      <c r="AB82" s="179"/>
      <c r="AC82" s="179"/>
      <c r="AD82" s="179"/>
      <c r="AE82" s="179"/>
      <c r="AF82" s="179"/>
      <c r="AG82" s="179"/>
      <c r="AH82" s="179"/>
      <c r="AI82" s="179"/>
      <c r="AJ82" s="179"/>
      <c r="AK82" s="179"/>
      <c r="AL82" s="179"/>
      <c r="AM82" s="179"/>
      <c r="AN82" s="179"/>
      <c r="AO82" s="179"/>
      <c r="AP82" s="179"/>
      <c r="AQ82" s="179"/>
      <c r="AR82" s="179"/>
      <c r="AS82" s="179"/>
      <c r="AT82" s="179"/>
      <c r="AU82" s="179"/>
      <c r="AV82" s="179"/>
      <c r="AW82" s="179"/>
      <c r="AX82" s="179"/>
      <c r="AY82" s="179"/>
      <c r="AZ82" s="179"/>
      <c r="BA82" s="179"/>
      <c r="BB82" s="179"/>
      <c r="BC82" s="179"/>
      <c r="BD82" s="179"/>
      <c r="BE82" s="179"/>
      <c r="BF82" s="179"/>
      <c r="BG82" s="179"/>
      <c r="BH82" s="179"/>
      <c r="BI82" s="179"/>
      <c r="BJ82" s="179"/>
      <c r="BK82" s="179"/>
      <c r="BL82" s="179"/>
      <c r="BM82" s="179"/>
      <c r="BN82" s="179"/>
      <c r="BO82" s="179"/>
      <c r="BP82" s="179"/>
      <c r="BQ82" s="179"/>
      <c r="BR82" s="179"/>
      <c r="BS82" s="179"/>
      <c r="BT82" s="179"/>
      <c r="BU82" s="179"/>
      <c r="BV82" s="179"/>
      <c r="BW82" s="179"/>
      <c r="BX82" s="179"/>
      <c r="BY82" s="179"/>
      <c r="BZ82" s="179"/>
      <c r="CA82" s="179"/>
      <c r="CB82" s="179"/>
      <c r="CC82" s="179"/>
      <c r="CD82" s="179"/>
      <c r="CE82" s="179"/>
      <c r="CF82" s="179"/>
      <c r="CG82" s="179"/>
      <c r="CH82" s="179"/>
      <c r="CI82" s="179"/>
      <c r="CJ82" s="179"/>
      <c r="CK82" s="179"/>
      <c r="CL82" s="179"/>
      <c r="CM82" s="179"/>
      <c r="CN82" s="179"/>
      <c r="CO82" s="179"/>
      <c r="CP82" s="179"/>
      <c r="CQ82" s="179"/>
      <c r="CR82" s="179"/>
      <c r="CS82" s="179"/>
      <c r="CT82" s="179"/>
      <c r="CU82" s="179"/>
      <c r="CV82" s="179"/>
      <c r="CW82" s="179"/>
      <c r="CX82" s="179"/>
      <c r="CY82" s="179"/>
      <c r="CZ82" s="179"/>
      <c r="DA82" s="179"/>
      <c r="DB82" s="179"/>
      <c r="DC82" s="179"/>
      <c r="DD82" s="179"/>
      <c r="DE82" s="179"/>
      <c r="DF82" s="179"/>
      <c r="DG82" s="179"/>
      <c r="DH82" s="179"/>
      <c r="DI82" s="179"/>
      <c r="DJ82" s="179"/>
      <c r="DK82" s="179"/>
      <c r="DL82" s="179"/>
      <c r="DM82" s="179"/>
      <c r="DN82" s="179"/>
      <c r="DO82" s="179"/>
      <c r="DP82" s="179"/>
      <c r="DQ82" s="179"/>
      <c r="DR82" s="179"/>
      <c r="DS82" s="179"/>
      <c r="DT82" s="179"/>
      <c r="DU82" s="179"/>
      <c r="DV82" s="179"/>
      <c r="DW82" s="179"/>
      <c r="DX82" s="179"/>
      <c r="DY82" s="179"/>
      <c r="DZ82" s="179"/>
      <c r="EA82" s="179"/>
      <c r="EB82" s="179"/>
      <c r="EC82" s="179"/>
      <c r="ED82" s="179"/>
      <c r="EE82" s="179"/>
      <c r="EF82" s="179"/>
      <c r="EG82" s="179"/>
      <c r="EH82" s="179"/>
      <c r="EI82" s="179"/>
      <c r="EJ82" s="179"/>
      <c r="EK82" s="179"/>
      <c r="EL82" s="179"/>
      <c r="EM82" s="179"/>
      <c r="EN82" s="179"/>
      <c r="EO82" s="179"/>
      <c r="EP82" s="179"/>
      <c r="EQ82" s="179"/>
      <c r="ER82" s="179"/>
      <c r="ES82" s="179"/>
      <c r="ET82" s="179"/>
      <c r="EU82" s="179"/>
      <c r="EV82" s="179"/>
      <c r="EW82" s="179"/>
      <c r="EX82" s="179"/>
      <c r="EY82" s="179"/>
      <c r="EZ82" s="179"/>
      <c r="FA82" s="179"/>
      <c r="FB82" s="179"/>
      <c r="FC82" s="179"/>
      <c r="FD82" s="179"/>
      <c r="FE82" s="179"/>
      <c r="FF82" s="179"/>
      <c r="FG82" s="179"/>
      <c r="FH82" s="179"/>
      <c r="FI82" s="179"/>
      <c r="FJ82" s="179"/>
      <c r="FK82" s="179"/>
      <c r="FL82" s="179"/>
      <c r="FM82" s="179"/>
      <c r="FN82" s="179"/>
      <c r="FO82" s="179"/>
      <c r="FP82" s="179"/>
      <c r="FQ82" s="179"/>
      <c r="FR82" s="179"/>
      <c r="FS82" s="179"/>
      <c r="FT82" s="179"/>
      <c r="FU82" s="179"/>
      <c r="FV82" s="179"/>
      <c r="FW82" s="179"/>
      <c r="FX82" s="179"/>
      <c r="FY82" s="179"/>
      <c r="FZ82" s="179"/>
      <c r="GA82" s="179"/>
      <c r="GB82" s="179"/>
      <c r="GC82" s="179"/>
      <c r="GD82" s="179"/>
      <c r="GE82" s="179"/>
      <c r="GF82" s="179"/>
      <c r="GG82" s="179"/>
      <c r="GH82" s="179"/>
      <c r="GI82" s="179"/>
      <c r="GJ82" s="179"/>
      <c r="GK82" s="179"/>
      <c r="GL82" s="179"/>
      <c r="GM82" s="179"/>
      <c r="GN82" s="179"/>
      <c r="GO82" s="179"/>
      <c r="GP82" s="179"/>
      <c r="GQ82" s="179"/>
      <c r="GR82" s="179"/>
      <c r="GS82" s="179"/>
      <c r="GT82" s="179"/>
      <c r="GU82" s="179"/>
      <c r="GV82" s="179"/>
      <c r="GW82" s="179"/>
      <c r="GX82" s="179"/>
      <c r="GY82" s="179"/>
      <c r="GZ82" s="179"/>
      <c r="HA82" s="179"/>
      <c r="HB82" s="179"/>
      <c r="HC82" s="179"/>
      <c r="HD82" s="179"/>
      <c r="HE82" s="179"/>
      <c r="HF82" s="179"/>
      <c r="HG82" s="179"/>
      <c r="HH82" s="179"/>
      <c r="HI82" s="179"/>
      <c r="HJ82" s="179"/>
      <c r="HK82" s="179"/>
      <c r="HL82" s="179"/>
      <c r="HM82" s="179"/>
      <c r="HN82" s="179"/>
      <c r="HO82" s="179"/>
      <c r="HP82" s="179"/>
      <c r="HQ82" s="179"/>
      <c r="HR82" s="179"/>
      <c r="HS82" s="179"/>
      <c r="HT82" s="179"/>
      <c r="HU82" s="179"/>
      <c r="HV82" s="179"/>
      <c r="HW82" s="179"/>
      <c r="HX82" s="179"/>
      <c r="HY82" s="179"/>
      <c r="HZ82" s="179"/>
      <c r="IA82" s="179"/>
      <c r="IB82" s="179"/>
      <c r="IC82" s="179"/>
      <c r="ID82" s="179"/>
      <c r="IE82" s="179"/>
      <c r="IF82" s="179"/>
      <c r="IG82" s="179"/>
      <c r="IH82" s="179"/>
      <c r="II82" s="179"/>
      <c r="IJ82" s="179"/>
      <c r="IK82" s="179"/>
      <c r="IL82" s="179"/>
      <c r="IM82" s="179"/>
      <c r="IN82" s="179"/>
      <c r="IO82" s="179"/>
      <c r="IP82" s="179"/>
      <c r="IQ82" s="179"/>
      <c r="IR82" s="179"/>
      <c r="IS82" s="179"/>
      <c r="IT82" s="179"/>
      <c r="IU82" s="179"/>
      <c r="IV82" s="179"/>
    </row>
    <row r="83" spans="1:256" s="40" customFormat="1" ht="13.5" thickBot="1">
      <c r="A83" s="241" t="s">
        <v>22</v>
      </c>
      <c r="B83" s="242">
        <f>SUM(B84)</f>
        <v>9294</v>
      </c>
      <c r="C83" s="243">
        <f aca="true" t="shared" si="26" ref="C83:V83">SUM(C84)</f>
        <v>1000</v>
      </c>
      <c r="D83" s="243">
        <f t="shared" si="26"/>
        <v>4450</v>
      </c>
      <c r="E83" s="243">
        <f t="shared" si="26"/>
        <v>9180</v>
      </c>
      <c r="F83" s="243">
        <f t="shared" si="26"/>
        <v>0</v>
      </c>
      <c r="G83" s="243">
        <f t="shared" si="26"/>
        <v>0</v>
      </c>
      <c r="H83" s="243">
        <f t="shared" si="26"/>
        <v>9180</v>
      </c>
      <c r="I83" s="102">
        <f t="shared" si="26"/>
        <v>4564</v>
      </c>
      <c r="J83" s="242">
        <f t="shared" si="26"/>
        <v>7184</v>
      </c>
      <c r="K83" s="243">
        <f t="shared" si="26"/>
        <v>1000</v>
      </c>
      <c r="L83" s="243">
        <f t="shared" si="26"/>
        <v>977</v>
      </c>
      <c r="M83" s="243">
        <f t="shared" si="26"/>
        <v>0</v>
      </c>
      <c r="N83" s="102">
        <f t="shared" si="26"/>
        <v>8161</v>
      </c>
      <c r="O83" s="242">
        <f t="shared" si="26"/>
        <v>473</v>
      </c>
      <c r="P83" s="243">
        <f t="shared" si="26"/>
        <v>210</v>
      </c>
      <c r="Q83" s="243">
        <f t="shared" si="26"/>
        <v>170</v>
      </c>
      <c r="R83" s="102">
        <f t="shared" si="26"/>
        <v>303</v>
      </c>
      <c r="S83" s="242">
        <f t="shared" si="26"/>
        <v>795</v>
      </c>
      <c r="T83" s="243">
        <f t="shared" si="26"/>
        <v>795</v>
      </c>
      <c r="U83" s="243">
        <f t="shared" si="26"/>
        <v>400</v>
      </c>
      <c r="V83" s="102">
        <f t="shared" si="26"/>
        <v>395</v>
      </c>
      <c r="W83" s="240"/>
      <c r="X83" s="179"/>
      <c r="Y83" s="179"/>
      <c r="Z83" s="179"/>
      <c r="AA83" s="179"/>
      <c r="AB83" s="179"/>
      <c r="AC83" s="179"/>
      <c r="AD83" s="179"/>
      <c r="AE83" s="179"/>
      <c r="AF83" s="179"/>
      <c r="AG83" s="179"/>
      <c r="AH83" s="179"/>
      <c r="AI83" s="179"/>
      <c r="AJ83" s="179"/>
      <c r="AK83" s="179"/>
      <c r="AL83" s="179"/>
      <c r="AM83" s="179"/>
      <c r="AN83" s="179"/>
      <c r="AO83" s="179"/>
      <c r="AP83" s="179"/>
      <c r="AQ83" s="179"/>
      <c r="AR83" s="179"/>
      <c r="AS83" s="179"/>
      <c r="AT83" s="179"/>
      <c r="AU83" s="179"/>
      <c r="AV83" s="179"/>
      <c r="AW83" s="179"/>
      <c r="AX83" s="179"/>
      <c r="AY83" s="179"/>
      <c r="AZ83" s="179"/>
      <c r="BA83" s="179"/>
      <c r="BB83" s="179"/>
      <c r="BC83" s="179"/>
      <c r="BD83" s="179"/>
      <c r="BE83" s="179"/>
      <c r="BF83" s="179"/>
      <c r="BG83" s="179"/>
      <c r="BH83" s="179"/>
      <c r="BI83" s="179"/>
      <c r="BJ83" s="179"/>
      <c r="BK83" s="179"/>
      <c r="BL83" s="179"/>
      <c r="BM83" s="179"/>
      <c r="BN83" s="179"/>
      <c r="BO83" s="179"/>
      <c r="BP83" s="179"/>
      <c r="BQ83" s="179"/>
      <c r="BR83" s="179"/>
      <c r="BS83" s="179"/>
      <c r="BT83" s="179"/>
      <c r="BU83" s="179"/>
      <c r="BV83" s="179"/>
      <c r="BW83" s="179"/>
      <c r="BX83" s="179"/>
      <c r="BY83" s="179"/>
      <c r="BZ83" s="179"/>
      <c r="CA83" s="179"/>
      <c r="CB83" s="179"/>
      <c r="CC83" s="179"/>
      <c r="CD83" s="179"/>
      <c r="CE83" s="179"/>
      <c r="CF83" s="179"/>
      <c r="CG83" s="179"/>
      <c r="CH83" s="179"/>
      <c r="CI83" s="179"/>
      <c r="CJ83" s="179"/>
      <c r="CK83" s="179"/>
      <c r="CL83" s="179"/>
      <c r="CM83" s="179"/>
      <c r="CN83" s="179"/>
      <c r="CO83" s="179"/>
      <c r="CP83" s="179"/>
      <c r="CQ83" s="179"/>
      <c r="CR83" s="179"/>
      <c r="CS83" s="179"/>
      <c r="CT83" s="179"/>
      <c r="CU83" s="179"/>
      <c r="CV83" s="179"/>
      <c r="CW83" s="179"/>
      <c r="CX83" s="179"/>
      <c r="CY83" s="179"/>
      <c r="CZ83" s="179"/>
      <c r="DA83" s="179"/>
      <c r="DB83" s="179"/>
      <c r="DC83" s="179"/>
      <c r="DD83" s="179"/>
      <c r="DE83" s="179"/>
      <c r="DF83" s="179"/>
      <c r="DG83" s="179"/>
      <c r="DH83" s="179"/>
      <c r="DI83" s="179"/>
      <c r="DJ83" s="179"/>
      <c r="DK83" s="179"/>
      <c r="DL83" s="179"/>
      <c r="DM83" s="179"/>
      <c r="DN83" s="179"/>
      <c r="DO83" s="179"/>
      <c r="DP83" s="179"/>
      <c r="DQ83" s="179"/>
      <c r="DR83" s="179"/>
      <c r="DS83" s="179"/>
      <c r="DT83" s="179"/>
      <c r="DU83" s="179"/>
      <c r="DV83" s="179"/>
      <c r="DW83" s="179"/>
      <c r="DX83" s="179"/>
      <c r="DY83" s="179"/>
      <c r="DZ83" s="179"/>
      <c r="EA83" s="179"/>
      <c r="EB83" s="179"/>
      <c r="EC83" s="179"/>
      <c r="ED83" s="179"/>
      <c r="EE83" s="179"/>
      <c r="EF83" s="179"/>
      <c r="EG83" s="179"/>
      <c r="EH83" s="179"/>
      <c r="EI83" s="179"/>
      <c r="EJ83" s="179"/>
      <c r="EK83" s="179"/>
      <c r="EL83" s="179"/>
      <c r="EM83" s="179"/>
      <c r="EN83" s="179"/>
      <c r="EO83" s="179"/>
      <c r="EP83" s="179"/>
      <c r="EQ83" s="179"/>
      <c r="ER83" s="179"/>
      <c r="ES83" s="179"/>
      <c r="ET83" s="179"/>
      <c r="EU83" s="179"/>
      <c r="EV83" s="179"/>
      <c r="EW83" s="179"/>
      <c r="EX83" s="179"/>
      <c r="EY83" s="179"/>
      <c r="EZ83" s="179"/>
      <c r="FA83" s="179"/>
      <c r="FB83" s="179"/>
      <c r="FC83" s="179"/>
      <c r="FD83" s="179"/>
      <c r="FE83" s="179"/>
      <c r="FF83" s="179"/>
      <c r="FG83" s="179"/>
      <c r="FH83" s="179"/>
      <c r="FI83" s="179"/>
      <c r="FJ83" s="179"/>
      <c r="FK83" s="179"/>
      <c r="FL83" s="179"/>
      <c r="FM83" s="179"/>
      <c r="FN83" s="179"/>
      <c r="FO83" s="179"/>
      <c r="FP83" s="179"/>
      <c r="FQ83" s="179"/>
      <c r="FR83" s="179"/>
      <c r="FS83" s="179"/>
      <c r="FT83" s="179"/>
      <c r="FU83" s="179"/>
      <c r="FV83" s="179"/>
      <c r="FW83" s="179"/>
      <c r="FX83" s="179"/>
      <c r="FY83" s="179"/>
      <c r="FZ83" s="179"/>
      <c r="GA83" s="179"/>
      <c r="GB83" s="179"/>
      <c r="GC83" s="179"/>
      <c r="GD83" s="179"/>
      <c r="GE83" s="179"/>
      <c r="GF83" s="179"/>
      <c r="GG83" s="179"/>
      <c r="GH83" s="179"/>
      <c r="GI83" s="179"/>
      <c r="GJ83" s="179"/>
      <c r="GK83" s="179"/>
      <c r="GL83" s="179"/>
      <c r="GM83" s="179"/>
      <c r="GN83" s="179"/>
      <c r="GO83" s="179"/>
      <c r="GP83" s="179"/>
      <c r="GQ83" s="179"/>
      <c r="GR83" s="179"/>
      <c r="GS83" s="179"/>
      <c r="GT83" s="179"/>
      <c r="GU83" s="179"/>
      <c r="GV83" s="179"/>
      <c r="GW83" s="179"/>
      <c r="GX83" s="179"/>
      <c r="GY83" s="179"/>
      <c r="GZ83" s="179"/>
      <c r="HA83" s="179"/>
      <c r="HB83" s="179"/>
      <c r="HC83" s="179"/>
      <c r="HD83" s="179"/>
      <c r="HE83" s="179"/>
      <c r="HF83" s="179"/>
      <c r="HG83" s="179"/>
      <c r="HH83" s="179"/>
      <c r="HI83" s="179"/>
      <c r="HJ83" s="179"/>
      <c r="HK83" s="179"/>
      <c r="HL83" s="179"/>
      <c r="HM83" s="179"/>
      <c r="HN83" s="179"/>
      <c r="HO83" s="179"/>
      <c r="HP83" s="179"/>
      <c r="HQ83" s="179"/>
      <c r="HR83" s="179"/>
      <c r="HS83" s="179"/>
      <c r="HT83" s="179"/>
      <c r="HU83" s="179"/>
      <c r="HV83" s="179"/>
      <c r="HW83" s="179"/>
      <c r="HX83" s="179"/>
      <c r="HY83" s="179"/>
      <c r="HZ83" s="179"/>
      <c r="IA83" s="179"/>
      <c r="IB83" s="179"/>
      <c r="IC83" s="179"/>
      <c r="ID83" s="179"/>
      <c r="IE83" s="179"/>
      <c r="IF83" s="179"/>
      <c r="IG83" s="179"/>
      <c r="IH83" s="179"/>
      <c r="II83" s="179"/>
      <c r="IJ83" s="179"/>
      <c r="IK83" s="179"/>
      <c r="IL83" s="179"/>
      <c r="IM83" s="179"/>
      <c r="IN83" s="179"/>
      <c r="IO83" s="179"/>
      <c r="IP83" s="179"/>
      <c r="IQ83" s="179"/>
      <c r="IR83" s="179"/>
      <c r="IS83" s="179"/>
      <c r="IT83" s="179"/>
      <c r="IU83" s="179"/>
      <c r="IV83" s="179"/>
    </row>
    <row r="84" spans="1:256" s="324" customFormat="1" ht="13.5" thickBot="1">
      <c r="A84" s="354" t="s">
        <v>74</v>
      </c>
      <c r="B84" s="355">
        <v>9294</v>
      </c>
      <c r="C84" s="342">
        <v>1000</v>
      </c>
      <c r="D84" s="342">
        <v>4450</v>
      </c>
      <c r="E84" s="343">
        <v>9180</v>
      </c>
      <c r="F84" s="343">
        <v>0</v>
      </c>
      <c r="G84" s="343">
        <v>0</v>
      </c>
      <c r="H84" s="345">
        <v>9180</v>
      </c>
      <c r="I84" s="344">
        <f>B84+D84-H84</f>
        <v>4564</v>
      </c>
      <c r="J84" s="355">
        <v>7184</v>
      </c>
      <c r="K84" s="342">
        <v>1000</v>
      </c>
      <c r="L84" s="342">
        <v>977</v>
      </c>
      <c r="M84" s="343">
        <v>0</v>
      </c>
      <c r="N84" s="345">
        <f>J84+L84-M84</f>
        <v>8161</v>
      </c>
      <c r="O84" s="355">
        <f>150+323</f>
        <v>473</v>
      </c>
      <c r="P84" s="342">
        <f>150+60</f>
        <v>210</v>
      </c>
      <c r="Q84" s="343">
        <v>170</v>
      </c>
      <c r="R84" s="344">
        <f>O84-Q84</f>
        <v>303</v>
      </c>
      <c r="S84" s="342">
        <f>300+495</f>
        <v>795</v>
      </c>
      <c r="T84" s="342">
        <v>795</v>
      </c>
      <c r="U84" s="343">
        <v>400</v>
      </c>
      <c r="V84" s="344">
        <f>S84-U84</f>
        <v>395</v>
      </c>
      <c r="W84" s="356"/>
      <c r="X84" s="323"/>
      <c r="Y84" s="323"/>
      <c r="Z84" s="323"/>
      <c r="AA84" s="323"/>
      <c r="AB84" s="323"/>
      <c r="AC84" s="323"/>
      <c r="AD84" s="323"/>
      <c r="AE84" s="323"/>
      <c r="AF84" s="323"/>
      <c r="AG84" s="323"/>
      <c r="AH84" s="323"/>
      <c r="AI84" s="323"/>
      <c r="AJ84" s="323"/>
      <c r="AK84" s="323"/>
      <c r="AL84" s="323"/>
      <c r="AM84" s="323"/>
      <c r="AN84" s="323"/>
      <c r="AO84" s="323"/>
      <c r="AP84" s="323"/>
      <c r="AQ84" s="323"/>
      <c r="AR84" s="323"/>
      <c r="AS84" s="323"/>
      <c r="AT84" s="323"/>
      <c r="AU84" s="323"/>
      <c r="AV84" s="323"/>
      <c r="AW84" s="323"/>
      <c r="AX84" s="323"/>
      <c r="AY84" s="323"/>
      <c r="AZ84" s="323"/>
      <c r="BA84" s="323"/>
      <c r="BB84" s="323"/>
      <c r="BC84" s="323"/>
      <c r="BD84" s="323"/>
      <c r="BE84" s="323"/>
      <c r="BF84" s="323"/>
      <c r="BG84" s="323"/>
      <c r="BH84" s="323"/>
      <c r="BI84" s="323"/>
      <c r="BJ84" s="323"/>
      <c r="BK84" s="323"/>
      <c r="BL84" s="323"/>
      <c r="BM84" s="323"/>
      <c r="BN84" s="323"/>
      <c r="BO84" s="323"/>
      <c r="BP84" s="323"/>
      <c r="BQ84" s="323"/>
      <c r="BR84" s="323"/>
      <c r="BS84" s="323"/>
      <c r="BT84" s="323"/>
      <c r="BU84" s="323"/>
      <c r="BV84" s="323"/>
      <c r="BW84" s="323"/>
      <c r="BX84" s="323"/>
      <c r="BY84" s="323"/>
      <c r="BZ84" s="323"/>
      <c r="CA84" s="323"/>
      <c r="CB84" s="323"/>
      <c r="CC84" s="323"/>
      <c r="CD84" s="323"/>
      <c r="CE84" s="323"/>
      <c r="CF84" s="323"/>
      <c r="CG84" s="323"/>
      <c r="CH84" s="323"/>
      <c r="CI84" s="323"/>
      <c r="CJ84" s="323"/>
      <c r="CK84" s="323"/>
      <c r="CL84" s="323"/>
      <c r="CM84" s="323"/>
      <c r="CN84" s="323"/>
      <c r="CO84" s="323"/>
      <c r="CP84" s="323"/>
      <c r="CQ84" s="323"/>
      <c r="CR84" s="323"/>
      <c r="CS84" s="323"/>
      <c r="CT84" s="323"/>
      <c r="CU84" s="323"/>
      <c r="CV84" s="323"/>
      <c r="CW84" s="323"/>
      <c r="CX84" s="323"/>
      <c r="CY84" s="323"/>
      <c r="CZ84" s="323"/>
      <c r="DA84" s="323"/>
      <c r="DB84" s="323"/>
      <c r="DC84" s="323"/>
      <c r="DD84" s="323"/>
      <c r="DE84" s="323"/>
      <c r="DF84" s="323"/>
      <c r="DG84" s="323"/>
      <c r="DH84" s="323"/>
      <c r="DI84" s="323"/>
      <c r="DJ84" s="323"/>
      <c r="DK84" s="323"/>
      <c r="DL84" s="323"/>
      <c r="DM84" s="323"/>
      <c r="DN84" s="323"/>
      <c r="DO84" s="323"/>
      <c r="DP84" s="323"/>
      <c r="DQ84" s="323"/>
      <c r="DR84" s="323"/>
      <c r="DS84" s="323"/>
      <c r="DT84" s="323"/>
      <c r="DU84" s="323"/>
      <c r="DV84" s="323"/>
      <c r="DW84" s="323"/>
      <c r="DX84" s="323"/>
      <c r="DY84" s="323"/>
      <c r="DZ84" s="323"/>
      <c r="EA84" s="323"/>
      <c r="EB84" s="323"/>
      <c r="EC84" s="323"/>
      <c r="ED84" s="323"/>
      <c r="EE84" s="323"/>
      <c r="EF84" s="323"/>
      <c r="EG84" s="323"/>
      <c r="EH84" s="323"/>
      <c r="EI84" s="323"/>
      <c r="EJ84" s="323"/>
      <c r="EK84" s="323"/>
      <c r="EL84" s="323"/>
      <c r="EM84" s="323"/>
      <c r="EN84" s="323"/>
      <c r="EO84" s="323"/>
      <c r="EP84" s="323"/>
      <c r="EQ84" s="323"/>
      <c r="ER84" s="323"/>
      <c r="ES84" s="323"/>
      <c r="ET84" s="323"/>
      <c r="EU84" s="323"/>
      <c r="EV84" s="323"/>
      <c r="EW84" s="323"/>
      <c r="EX84" s="323"/>
      <c r="EY84" s="323"/>
      <c r="EZ84" s="323"/>
      <c r="FA84" s="323"/>
      <c r="FB84" s="323"/>
      <c r="FC84" s="323"/>
      <c r="FD84" s="323"/>
      <c r="FE84" s="323"/>
      <c r="FF84" s="323"/>
      <c r="FG84" s="323"/>
      <c r="FH84" s="323"/>
      <c r="FI84" s="323"/>
      <c r="FJ84" s="323"/>
      <c r="FK84" s="323"/>
      <c r="FL84" s="323"/>
      <c r="FM84" s="323"/>
      <c r="FN84" s="323"/>
      <c r="FO84" s="323"/>
      <c r="FP84" s="323"/>
      <c r="FQ84" s="323"/>
      <c r="FR84" s="323"/>
      <c r="FS84" s="323"/>
      <c r="FT84" s="323"/>
      <c r="FU84" s="323"/>
      <c r="FV84" s="323"/>
      <c r="FW84" s="323"/>
      <c r="FX84" s="323"/>
      <c r="FY84" s="323"/>
      <c r="FZ84" s="323"/>
      <c r="GA84" s="323"/>
      <c r="GB84" s="323"/>
      <c r="GC84" s="323"/>
      <c r="GD84" s="323"/>
      <c r="GE84" s="323"/>
      <c r="GF84" s="323"/>
      <c r="GG84" s="323"/>
      <c r="GH84" s="323"/>
      <c r="GI84" s="323"/>
      <c r="GJ84" s="323"/>
      <c r="GK84" s="323"/>
      <c r="GL84" s="323"/>
      <c r="GM84" s="323"/>
      <c r="GN84" s="323"/>
      <c r="GO84" s="323"/>
      <c r="GP84" s="323"/>
      <c r="GQ84" s="323"/>
      <c r="GR84" s="323"/>
      <c r="GS84" s="323"/>
      <c r="GT84" s="323"/>
      <c r="GU84" s="323"/>
      <c r="GV84" s="323"/>
      <c r="GW84" s="323"/>
      <c r="GX84" s="323"/>
      <c r="GY84" s="323"/>
      <c r="GZ84" s="323"/>
      <c r="HA84" s="323"/>
      <c r="HB84" s="323"/>
      <c r="HC84" s="323"/>
      <c r="HD84" s="323"/>
      <c r="HE84" s="323"/>
      <c r="HF84" s="323"/>
      <c r="HG84" s="323"/>
      <c r="HH84" s="323"/>
      <c r="HI84" s="323"/>
      <c r="HJ84" s="323"/>
      <c r="HK84" s="323"/>
      <c r="HL84" s="323"/>
      <c r="HM84" s="323"/>
      <c r="HN84" s="323"/>
      <c r="HO84" s="323"/>
      <c r="HP84" s="323"/>
      <c r="HQ84" s="323"/>
      <c r="HR84" s="323"/>
      <c r="HS84" s="323"/>
      <c r="HT84" s="323"/>
      <c r="HU84" s="323"/>
      <c r="HV84" s="323"/>
      <c r="HW84" s="323"/>
      <c r="HX84" s="323"/>
      <c r="HY84" s="323"/>
      <c r="HZ84" s="323"/>
      <c r="IA84" s="323"/>
      <c r="IB84" s="323"/>
      <c r="IC84" s="323"/>
      <c r="ID84" s="323"/>
      <c r="IE84" s="323"/>
      <c r="IF84" s="323"/>
      <c r="IG84" s="323"/>
      <c r="IH84" s="323"/>
      <c r="II84" s="323"/>
      <c r="IJ84" s="323"/>
      <c r="IK84" s="323"/>
      <c r="IL84" s="323"/>
      <c r="IM84" s="323"/>
      <c r="IN84" s="323"/>
      <c r="IO84" s="323"/>
      <c r="IP84" s="323"/>
      <c r="IQ84" s="323"/>
      <c r="IR84" s="323"/>
      <c r="IS84" s="323"/>
      <c r="IT84" s="323"/>
      <c r="IU84" s="323"/>
      <c r="IV84" s="323"/>
    </row>
    <row r="85" spans="1:256" s="235" customFormat="1" ht="13.5" thickBot="1">
      <c r="A85" s="166" t="s">
        <v>23</v>
      </c>
      <c r="B85" s="167">
        <f>SUM(B86:B90)</f>
        <v>361</v>
      </c>
      <c r="C85" s="165">
        <f aca="true" t="shared" si="27" ref="C85:V85">SUM(C86:C90)</f>
        <v>361</v>
      </c>
      <c r="D85" s="165">
        <f t="shared" si="27"/>
        <v>156</v>
      </c>
      <c r="E85" s="165">
        <f t="shared" si="27"/>
        <v>0</v>
      </c>
      <c r="F85" s="165">
        <f t="shared" si="27"/>
        <v>0</v>
      </c>
      <c r="G85" s="165">
        <f t="shared" si="27"/>
        <v>0</v>
      </c>
      <c r="H85" s="165">
        <f t="shared" si="27"/>
        <v>49</v>
      </c>
      <c r="I85" s="29">
        <f t="shared" si="27"/>
        <v>468</v>
      </c>
      <c r="J85" s="167">
        <f t="shared" si="27"/>
        <v>64</v>
      </c>
      <c r="K85" s="165">
        <f t="shared" si="27"/>
        <v>64</v>
      </c>
      <c r="L85" s="165">
        <f t="shared" si="27"/>
        <v>5</v>
      </c>
      <c r="M85" s="165">
        <f t="shared" si="27"/>
        <v>22</v>
      </c>
      <c r="N85" s="29">
        <f t="shared" si="27"/>
        <v>47</v>
      </c>
      <c r="O85" s="167">
        <f t="shared" si="27"/>
        <v>265</v>
      </c>
      <c r="P85" s="165">
        <f t="shared" si="27"/>
        <v>249</v>
      </c>
      <c r="Q85" s="165">
        <f t="shared" si="27"/>
        <v>220</v>
      </c>
      <c r="R85" s="29">
        <f t="shared" si="27"/>
        <v>45</v>
      </c>
      <c r="S85" s="167">
        <f t="shared" si="27"/>
        <v>5</v>
      </c>
      <c r="T85" s="165">
        <f t="shared" si="27"/>
        <v>5</v>
      </c>
      <c r="U85" s="165">
        <f t="shared" si="27"/>
        <v>0</v>
      </c>
      <c r="V85" s="29">
        <f t="shared" si="27"/>
        <v>5</v>
      </c>
      <c r="W85" s="193"/>
      <c r="X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c r="AX85" s="86"/>
      <c r="AY85" s="86"/>
      <c r="AZ85" s="86"/>
      <c r="BA85" s="86"/>
      <c r="BB85" s="86"/>
      <c r="BC85" s="86"/>
      <c r="BD85" s="86"/>
      <c r="BE85" s="86"/>
      <c r="BF85" s="86"/>
      <c r="BG85" s="86"/>
      <c r="BH85" s="86"/>
      <c r="BI85" s="86"/>
      <c r="BJ85" s="86"/>
      <c r="BK85" s="86"/>
      <c r="BL85" s="86"/>
      <c r="BM85" s="86"/>
      <c r="BN85" s="86"/>
      <c r="BO85" s="86"/>
      <c r="BP85" s="86"/>
      <c r="BQ85" s="86"/>
      <c r="BR85" s="86"/>
      <c r="BS85" s="86"/>
      <c r="BT85" s="86"/>
      <c r="BU85" s="86"/>
      <c r="BV85" s="86"/>
      <c r="BW85" s="86"/>
      <c r="BX85" s="86"/>
      <c r="BY85" s="86"/>
      <c r="BZ85" s="86"/>
      <c r="CA85" s="86"/>
      <c r="CB85" s="86"/>
      <c r="CC85" s="86"/>
      <c r="CD85" s="86"/>
      <c r="CE85" s="86"/>
      <c r="CF85" s="86"/>
      <c r="CG85" s="86"/>
      <c r="CH85" s="86"/>
      <c r="CI85" s="86"/>
      <c r="CJ85" s="86"/>
      <c r="CK85" s="86"/>
      <c r="CL85" s="86"/>
      <c r="CM85" s="86"/>
      <c r="CN85" s="86"/>
      <c r="CO85" s="86"/>
      <c r="CP85" s="86"/>
      <c r="CQ85" s="86"/>
      <c r="CR85" s="86"/>
      <c r="CS85" s="86"/>
      <c r="CT85" s="86"/>
      <c r="CU85" s="86"/>
      <c r="CV85" s="86"/>
      <c r="CW85" s="86"/>
      <c r="CX85" s="86"/>
      <c r="CY85" s="86"/>
      <c r="CZ85" s="86"/>
      <c r="DA85" s="86"/>
      <c r="DB85" s="86"/>
      <c r="DC85" s="86"/>
      <c r="DD85" s="86"/>
      <c r="DE85" s="86"/>
      <c r="DF85" s="86"/>
      <c r="DG85" s="86"/>
      <c r="DH85" s="86"/>
      <c r="DI85" s="86"/>
      <c r="DJ85" s="86"/>
      <c r="DK85" s="86"/>
      <c r="DL85" s="86"/>
      <c r="DM85" s="86"/>
      <c r="DN85" s="86"/>
      <c r="DO85" s="86"/>
      <c r="DP85" s="86"/>
      <c r="DQ85" s="86"/>
      <c r="DR85" s="86"/>
      <c r="DS85" s="86"/>
      <c r="DT85" s="86"/>
      <c r="DU85" s="86"/>
      <c r="DV85" s="86"/>
      <c r="DW85" s="86"/>
      <c r="DX85" s="86"/>
      <c r="DY85" s="86"/>
      <c r="DZ85" s="86"/>
      <c r="EA85" s="86"/>
      <c r="EB85" s="86"/>
      <c r="EC85" s="86"/>
      <c r="ED85" s="86"/>
      <c r="EE85" s="86"/>
      <c r="EF85" s="86"/>
      <c r="EG85" s="86"/>
      <c r="EH85" s="86"/>
      <c r="EI85" s="86"/>
      <c r="EJ85" s="86"/>
      <c r="EK85" s="86"/>
      <c r="EL85" s="86"/>
      <c r="EM85" s="86"/>
      <c r="EN85" s="86"/>
      <c r="EO85" s="86"/>
      <c r="EP85" s="86"/>
      <c r="EQ85" s="86"/>
      <c r="ER85" s="86"/>
      <c r="ES85" s="86"/>
      <c r="ET85" s="86"/>
      <c r="EU85" s="86"/>
      <c r="EV85" s="86"/>
      <c r="EW85" s="86"/>
      <c r="EX85" s="86"/>
      <c r="EY85" s="86"/>
      <c r="EZ85" s="86"/>
      <c r="FA85" s="86"/>
      <c r="FB85" s="86"/>
      <c r="FC85" s="86"/>
      <c r="FD85" s="86"/>
      <c r="FE85" s="86"/>
      <c r="FF85" s="86"/>
      <c r="FG85" s="86"/>
      <c r="FH85" s="86"/>
      <c r="FI85" s="86"/>
      <c r="FJ85" s="86"/>
      <c r="FK85" s="86"/>
      <c r="FL85" s="86"/>
      <c r="FM85" s="86"/>
      <c r="FN85" s="86"/>
      <c r="FO85" s="86"/>
      <c r="FP85" s="86"/>
      <c r="FQ85" s="86"/>
      <c r="FR85" s="86"/>
      <c r="FS85" s="86"/>
      <c r="FT85" s="86"/>
      <c r="FU85" s="86"/>
      <c r="FV85" s="86"/>
      <c r="FW85" s="86"/>
      <c r="FX85" s="86"/>
      <c r="FY85" s="86"/>
      <c r="FZ85" s="86"/>
      <c r="GA85" s="86"/>
      <c r="GB85" s="86"/>
      <c r="GC85" s="86"/>
      <c r="GD85" s="86"/>
      <c r="GE85" s="86"/>
      <c r="GF85" s="86"/>
      <c r="GG85" s="86"/>
      <c r="GH85" s="86"/>
      <c r="GI85" s="86"/>
      <c r="GJ85" s="86"/>
      <c r="GK85" s="86"/>
      <c r="GL85" s="86"/>
      <c r="GM85" s="86"/>
      <c r="GN85" s="86"/>
      <c r="GO85" s="86"/>
      <c r="GP85" s="86"/>
      <c r="GQ85" s="86"/>
      <c r="GR85" s="86"/>
      <c r="GS85" s="86"/>
      <c r="GT85" s="86"/>
      <c r="GU85" s="86"/>
      <c r="GV85" s="86"/>
      <c r="GW85" s="86"/>
      <c r="GX85" s="86"/>
      <c r="GY85" s="86"/>
      <c r="GZ85" s="86"/>
      <c r="HA85" s="86"/>
      <c r="HB85" s="86"/>
      <c r="HC85" s="86"/>
      <c r="HD85" s="86"/>
      <c r="HE85" s="86"/>
      <c r="HF85" s="86"/>
      <c r="HG85" s="86"/>
      <c r="HH85" s="86"/>
      <c r="HI85" s="86"/>
      <c r="HJ85" s="86"/>
      <c r="HK85" s="86"/>
      <c r="HL85" s="86"/>
      <c r="HM85" s="86"/>
      <c r="HN85" s="86"/>
      <c r="HO85" s="86"/>
      <c r="HP85" s="86"/>
      <c r="HQ85" s="86"/>
      <c r="HR85" s="86"/>
      <c r="HS85" s="86"/>
      <c r="HT85" s="86"/>
      <c r="HU85" s="86"/>
      <c r="HV85" s="86"/>
      <c r="HW85" s="86"/>
      <c r="HX85" s="86"/>
      <c r="HY85" s="86"/>
      <c r="HZ85" s="86"/>
      <c r="IA85" s="86"/>
      <c r="IB85" s="86"/>
      <c r="IC85" s="86"/>
      <c r="ID85" s="86"/>
      <c r="IE85" s="86"/>
      <c r="IF85" s="86"/>
      <c r="IG85" s="86"/>
      <c r="IH85" s="86"/>
      <c r="II85" s="86"/>
      <c r="IJ85" s="86"/>
      <c r="IK85" s="86"/>
      <c r="IL85" s="86"/>
      <c r="IM85" s="86"/>
      <c r="IN85" s="86"/>
      <c r="IO85" s="86"/>
      <c r="IP85" s="86"/>
      <c r="IQ85" s="86"/>
      <c r="IR85" s="86"/>
      <c r="IS85" s="86"/>
      <c r="IT85" s="86"/>
      <c r="IU85" s="86"/>
      <c r="IV85" s="86"/>
    </row>
    <row r="86" spans="1:256" s="40" customFormat="1" ht="12.75">
      <c r="A86" s="244" t="s">
        <v>136</v>
      </c>
      <c r="B86" s="175">
        <v>82</v>
      </c>
      <c r="C86" s="176">
        <v>82</v>
      </c>
      <c r="D86" s="176">
        <v>22</v>
      </c>
      <c r="E86" s="177">
        <v>0</v>
      </c>
      <c r="F86" s="177">
        <v>0</v>
      </c>
      <c r="G86" s="177">
        <v>0</v>
      </c>
      <c r="H86" s="178">
        <v>18</v>
      </c>
      <c r="I86" s="70">
        <f>B86+D86-H86</f>
        <v>86</v>
      </c>
      <c r="J86" s="175">
        <v>20</v>
      </c>
      <c r="K86" s="176">
        <v>20</v>
      </c>
      <c r="L86" s="176">
        <v>1</v>
      </c>
      <c r="M86" s="177">
        <v>0</v>
      </c>
      <c r="N86" s="178">
        <f>J86+L86-M86</f>
        <v>21</v>
      </c>
      <c r="O86" s="175">
        <f>10+21</f>
        <v>31</v>
      </c>
      <c r="P86" s="176">
        <v>31</v>
      </c>
      <c r="Q86" s="177">
        <v>31</v>
      </c>
      <c r="R86" s="70">
        <f>O86-Q86</f>
        <v>0</v>
      </c>
      <c r="S86" s="175">
        <v>0</v>
      </c>
      <c r="T86" s="176">
        <v>0</v>
      </c>
      <c r="U86" s="177">
        <v>0</v>
      </c>
      <c r="V86" s="38">
        <f>S86-U86</f>
        <v>0</v>
      </c>
      <c r="W86" s="240"/>
      <c r="X86" s="179"/>
      <c r="Y86" s="179"/>
      <c r="Z86" s="179"/>
      <c r="AA86" s="179"/>
      <c r="AB86" s="179"/>
      <c r="AC86" s="179"/>
      <c r="AD86" s="179"/>
      <c r="AE86" s="179"/>
      <c r="AF86" s="179"/>
      <c r="AG86" s="179"/>
      <c r="AH86" s="179"/>
      <c r="AI86" s="179"/>
      <c r="AJ86" s="179"/>
      <c r="AK86" s="179"/>
      <c r="AL86" s="179"/>
      <c r="AM86" s="179"/>
      <c r="AN86" s="179"/>
      <c r="AO86" s="179"/>
      <c r="AP86" s="179"/>
      <c r="AQ86" s="179"/>
      <c r="AR86" s="179"/>
      <c r="AS86" s="179"/>
      <c r="AT86" s="179"/>
      <c r="AU86" s="179"/>
      <c r="AV86" s="179"/>
      <c r="AW86" s="179"/>
      <c r="AX86" s="179"/>
      <c r="AY86" s="179"/>
      <c r="AZ86" s="179"/>
      <c r="BA86" s="179"/>
      <c r="BB86" s="179"/>
      <c r="BC86" s="179"/>
      <c r="BD86" s="179"/>
      <c r="BE86" s="179"/>
      <c r="BF86" s="179"/>
      <c r="BG86" s="179"/>
      <c r="BH86" s="179"/>
      <c r="BI86" s="179"/>
      <c r="BJ86" s="179"/>
      <c r="BK86" s="179"/>
      <c r="BL86" s="179"/>
      <c r="BM86" s="179"/>
      <c r="BN86" s="179"/>
      <c r="BO86" s="179"/>
      <c r="BP86" s="179"/>
      <c r="BQ86" s="179"/>
      <c r="BR86" s="179"/>
      <c r="BS86" s="179"/>
      <c r="BT86" s="179"/>
      <c r="BU86" s="179"/>
      <c r="BV86" s="179"/>
      <c r="BW86" s="179"/>
      <c r="BX86" s="179"/>
      <c r="BY86" s="179"/>
      <c r="BZ86" s="179"/>
      <c r="CA86" s="179"/>
      <c r="CB86" s="179"/>
      <c r="CC86" s="179"/>
      <c r="CD86" s="179"/>
      <c r="CE86" s="179"/>
      <c r="CF86" s="179"/>
      <c r="CG86" s="179"/>
      <c r="CH86" s="179"/>
      <c r="CI86" s="179"/>
      <c r="CJ86" s="179"/>
      <c r="CK86" s="179"/>
      <c r="CL86" s="179"/>
      <c r="CM86" s="179"/>
      <c r="CN86" s="179"/>
      <c r="CO86" s="179"/>
      <c r="CP86" s="179"/>
      <c r="CQ86" s="179"/>
      <c r="CR86" s="179"/>
      <c r="CS86" s="179"/>
      <c r="CT86" s="179"/>
      <c r="CU86" s="179"/>
      <c r="CV86" s="179"/>
      <c r="CW86" s="179"/>
      <c r="CX86" s="179"/>
      <c r="CY86" s="179"/>
      <c r="CZ86" s="179"/>
      <c r="DA86" s="179"/>
      <c r="DB86" s="179"/>
      <c r="DC86" s="179"/>
      <c r="DD86" s="179"/>
      <c r="DE86" s="179"/>
      <c r="DF86" s="179"/>
      <c r="DG86" s="179"/>
      <c r="DH86" s="179"/>
      <c r="DI86" s="179"/>
      <c r="DJ86" s="179"/>
      <c r="DK86" s="179"/>
      <c r="DL86" s="179"/>
      <c r="DM86" s="179"/>
      <c r="DN86" s="179"/>
      <c r="DO86" s="179"/>
      <c r="DP86" s="179"/>
      <c r="DQ86" s="179"/>
      <c r="DR86" s="179"/>
      <c r="DS86" s="179"/>
      <c r="DT86" s="179"/>
      <c r="DU86" s="179"/>
      <c r="DV86" s="179"/>
      <c r="DW86" s="179"/>
      <c r="DX86" s="179"/>
      <c r="DY86" s="179"/>
      <c r="DZ86" s="179"/>
      <c r="EA86" s="179"/>
      <c r="EB86" s="179"/>
      <c r="EC86" s="179"/>
      <c r="ED86" s="179"/>
      <c r="EE86" s="179"/>
      <c r="EF86" s="179"/>
      <c r="EG86" s="179"/>
      <c r="EH86" s="179"/>
      <c r="EI86" s="179"/>
      <c r="EJ86" s="179"/>
      <c r="EK86" s="179"/>
      <c r="EL86" s="179"/>
      <c r="EM86" s="179"/>
      <c r="EN86" s="179"/>
      <c r="EO86" s="179"/>
      <c r="EP86" s="179"/>
      <c r="EQ86" s="179"/>
      <c r="ER86" s="179"/>
      <c r="ES86" s="179"/>
      <c r="ET86" s="179"/>
      <c r="EU86" s="179"/>
      <c r="EV86" s="179"/>
      <c r="EW86" s="179"/>
      <c r="EX86" s="179"/>
      <c r="EY86" s="179"/>
      <c r="EZ86" s="179"/>
      <c r="FA86" s="179"/>
      <c r="FB86" s="179"/>
      <c r="FC86" s="179"/>
      <c r="FD86" s="179"/>
      <c r="FE86" s="179"/>
      <c r="FF86" s="179"/>
      <c r="FG86" s="179"/>
      <c r="FH86" s="179"/>
      <c r="FI86" s="179"/>
      <c r="FJ86" s="179"/>
      <c r="FK86" s="179"/>
      <c r="FL86" s="179"/>
      <c r="FM86" s="179"/>
      <c r="FN86" s="179"/>
      <c r="FO86" s="179"/>
      <c r="FP86" s="179"/>
      <c r="FQ86" s="179"/>
      <c r="FR86" s="179"/>
      <c r="FS86" s="179"/>
      <c r="FT86" s="179"/>
      <c r="FU86" s="179"/>
      <c r="FV86" s="179"/>
      <c r="FW86" s="179"/>
      <c r="FX86" s="179"/>
      <c r="FY86" s="179"/>
      <c r="FZ86" s="179"/>
      <c r="GA86" s="179"/>
      <c r="GB86" s="179"/>
      <c r="GC86" s="179"/>
      <c r="GD86" s="179"/>
      <c r="GE86" s="179"/>
      <c r="GF86" s="179"/>
      <c r="GG86" s="179"/>
      <c r="GH86" s="179"/>
      <c r="GI86" s="179"/>
      <c r="GJ86" s="179"/>
      <c r="GK86" s="179"/>
      <c r="GL86" s="179"/>
      <c r="GM86" s="179"/>
      <c r="GN86" s="179"/>
      <c r="GO86" s="179"/>
      <c r="GP86" s="179"/>
      <c r="GQ86" s="179"/>
      <c r="GR86" s="179"/>
      <c r="GS86" s="179"/>
      <c r="GT86" s="179"/>
      <c r="GU86" s="179"/>
      <c r="GV86" s="179"/>
      <c r="GW86" s="179"/>
      <c r="GX86" s="179"/>
      <c r="GY86" s="179"/>
      <c r="GZ86" s="179"/>
      <c r="HA86" s="179"/>
      <c r="HB86" s="179"/>
      <c r="HC86" s="179"/>
      <c r="HD86" s="179"/>
      <c r="HE86" s="179"/>
      <c r="HF86" s="179"/>
      <c r="HG86" s="179"/>
      <c r="HH86" s="179"/>
      <c r="HI86" s="179"/>
      <c r="HJ86" s="179"/>
      <c r="HK86" s="179"/>
      <c r="HL86" s="179"/>
      <c r="HM86" s="179"/>
      <c r="HN86" s="179"/>
      <c r="HO86" s="179"/>
      <c r="HP86" s="179"/>
      <c r="HQ86" s="179"/>
      <c r="HR86" s="179"/>
      <c r="HS86" s="179"/>
      <c r="HT86" s="179"/>
      <c r="HU86" s="179"/>
      <c r="HV86" s="179"/>
      <c r="HW86" s="179"/>
      <c r="HX86" s="179"/>
      <c r="HY86" s="179"/>
      <c r="HZ86" s="179"/>
      <c r="IA86" s="179"/>
      <c r="IB86" s="179"/>
      <c r="IC86" s="179"/>
      <c r="ID86" s="179"/>
      <c r="IE86" s="179"/>
      <c r="IF86" s="179"/>
      <c r="IG86" s="179"/>
      <c r="IH86" s="179"/>
      <c r="II86" s="179"/>
      <c r="IJ86" s="179"/>
      <c r="IK86" s="179"/>
      <c r="IL86" s="179"/>
      <c r="IM86" s="179"/>
      <c r="IN86" s="179"/>
      <c r="IO86" s="179"/>
      <c r="IP86" s="179"/>
      <c r="IQ86" s="179"/>
      <c r="IR86" s="179"/>
      <c r="IS86" s="179"/>
      <c r="IT86" s="179"/>
      <c r="IU86" s="179"/>
      <c r="IV86" s="179"/>
    </row>
    <row r="87" spans="1:256" s="40" customFormat="1" ht="12.75">
      <c r="A87" s="245" t="s">
        <v>24</v>
      </c>
      <c r="B87" s="168">
        <v>2</v>
      </c>
      <c r="C87" s="169">
        <v>2</v>
      </c>
      <c r="D87" s="169">
        <v>32</v>
      </c>
      <c r="E87" s="170">
        <v>0</v>
      </c>
      <c r="F87" s="170">
        <v>0</v>
      </c>
      <c r="G87" s="170">
        <v>0</v>
      </c>
      <c r="H87" s="171">
        <v>31</v>
      </c>
      <c r="I87" s="38">
        <f>B87+D87-H87</f>
        <v>3</v>
      </c>
      <c r="J87" s="168">
        <v>1</v>
      </c>
      <c r="K87" s="169">
        <v>1</v>
      </c>
      <c r="L87" s="169">
        <v>0</v>
      </c>
      <c r="M87" s="170">
        <v>0</v>
      </c>
      <c r="N87" s="171">
        <f>J87+L87-M87</f>
        <v>1</v>
      </c>
      <c r="O87" s="168">
        <f>46+30</f>
        <v>76</v>
      </c>
      <c r="P87" s="169">
        <v>76</v>
      </c>
      <c r="Q87" s="170">
        <v>42</v>
      </c>
      <c r="R87" s="38">
        <f>O87-Q87</f>
        <v>34</v>
      </c>
      <c r="S87" s="168">
        <v>0</v>
      </c>
      <c r="T87" s="169">
        <v>0</v>
      </c>
      <c r="U87" s="170">
        <v>0</v>
      </c>
      <c r="V87" s="38">
        <f>S87-U87</f>
        <v>0</v>
      </c>
      <c r="W87" s="240"/>
      <c r="X87" s="179"/>
      <c r="Y87" s="179"/>
      <c r="Z87" s="179"/>
      <c r="AA87" s="179"/>
      <c r="AB87" s="179"/>
      <c r="AC87" s="179"/>
      <c r="AD87" s="179"/>
      <c r="AE87" s="179"/>
      <c r="AF87" s="179"/>
      <c r="AG87" s="179"/>
      <c r="AH87" s="179"/>
      <c r="AI87" s="179"/>
      <c r="AJ87" s="179"/>
      <c r="AK87" s="179"/>
      <c r="AL87" s="179"/>
      <c r="AM87" s="179"/>
      <c r="AN87" s="179"/>
      <c r="AO87" s="179"/>
      <c r="AP87" s="179"/>
      <c r="AQ87" s="179"/>
      <c r="AR87" s="179"/>
      <c r="AS87" s="179"/>
      <c r="AT87" s="179"/>
      <c r="AU87" s="179"/>
      <c r="AV87" s="179"/>
      <c r="AW87" s="179"/>
      <c r="AX87" s="179"/>
      <c r="AY87" s="179"/>
      <c r="AZ87" s="179"/>
      <c r="BA87" s="179"/>
      <c r="BB87" s="179"/>
      <c r="BC87" s="179"/>
      <c r="BD87" s="179"/>
      <c r="BE87" s="179"/>
      <c r="BF87" s="179"/>
      <c r="BG87" s="179"/>
      <c r="BH87" s="179"/>
      <c r="BI87" s="179"/>
      <c r="BJ87" s="179"/>
      <c r="BK87" s="179"/>
      <c r="BL87" s="179"/>
      <c r="BM87" s="179"/>
      <c r="BN87" s="179"/>
      <c r="BO87" s="179"/>
      <c r="BP87" s="179"/>
      <c r="BQ87" s="179"/>
      <c r="BR87" s="179"/>
      <c r="BS87" s="179"/>
      <c r="BT87" s="179"/>
      <c r="BU87" s="179"/>
      <c r="BV87" s="179"/>
      <c r="BW87" s="179"/>
      <c r="BX87" s="179"/>
      <c r="BY87" s="179"/>
      <c r="BZ87" s="179"/>
      <c r="CA87" s="179"/>
      <c r="CB87" s="179"/>
      <c r="CC87" s="179"/>
      <c r="CD87" s="179"/>
      <c r="CE87" s="179"/>
      <c r="CF87" s="179"/>
      <c r="CG87" s="179"/>
      <c r="CH87" s="179"/>
      <c r="CI87" s="179"/>
      <c r="CJ87" s="179"/>
      <c r="CK87" s="179"/>
      <c r="CL87" s="179"/>
      <c r="CM87" s="179"/>
      <c r="CN87" s="179"/>
      <c r="CO87" s="179"/>
      <c r="CP87" s="179"/>
      <c r="CQ87" s="179"/>
      <c r="CR87" s="179"/>
      <c r="CS87" s="179"/>
      <c r="CT87" s="179"/>
      <c r="CU87" s="179"/>
      <c r="CV87" s="179"/>
      <c r="CW87" s="179"/>
      <c r="CX87" s="179"/>
      <c r="CY87" s="179"/>
      <c r="CZ87" s="179"/>
      <c r="DA87" s="179"/>
      <c r="DB87" s="179"/>
      <c r="DC87" s="179"/>
      <c r="DD87" s="179"/>
      <c r="DE87" s="179"/>
      <c r="DF87" s="179"/>
      <c r="DG87" s="179"/>
      <c r="DH87" s="179"/>
      <c r="DI87" s="179"/>
      <c r="DJ87" s="179"/>
      <c r="DK87" s="179"/>
      <c r="DL87" s="179"/>
      <c r="DM87" s="179"/>
      <c r="DN87" s="179"/>
      <c r="DO87" s="179"/>
      <c r="DP87" s="179"/>
      <c r="DQ87" s="179"/>
      <c r="DR87" s="179"/>
      <c r="DS87" s="179"/>
      <c r="DT87" s="179"/>
      <c r="DU87" s="179"/>
      <c r="DV87" s="179"/>
      <c r="DW87" s="179"/>
      <c r="DX87" s="179"/>
      <c r="DY87" s="179"/>
      <c r="DZ87" s="179"/>
      <c r="EA87" s="179"/>
      <c r="EB87" s="179"/>
      <c r="EC87" s="179"/>
      <c r="ED87" s="179"/>
      <c r="EE87" s="179"/>
      <c r="EF87" s="179"/>
      <c r="EG87" s="179"/>
      <c r="EH87" s="179"/>
      <c r="EI87" s="179"/>
      <c r="EJ87" s="179"/>
      <c r="EK87" s="179"/>
      <c r="EL87" s="179"/>
      <c r="EM87" s="179"/>
      <c r="EN87" s="179"/>
      <c r="EO87" s="179"/>
      <c r="EP87" s="179"/>
      <c r="EQ87" s="179"/>
      <c r="ER87" s="179"/>
      <c r="ES87" s="179"/>
      <c r="ET87" s="179"/>
      <c r="EU87" s="179"/>
      <c r="EV87" s="179"/>
      <c r="EW87" s="179"/>
      <c r="EX87" s="179"/>
      <c r="EY87" s="179"/>
      <c r="EZ87" s="179"/>
      <c r="FA87" s="179"/>
      <c r="FB87" s="179"/>
      <c r="FC87" s="179"/>
      <c r="FD87" s="179"/>
      <c r="FE87" s="179"/>
      <c r="FF87" s="179"/>
      <c r="FG87" s="179"/>
      <c r="FH87" s="179"/>
      <c r="FI87" s="179"/>
      <c r="FJ87" s="179"/>
      <c r="FK87" s="179"/>
      <c r="FL87" s="179"/>
      <c r="FM87" s="179"/>
      <c r="FN87" s="179"/>
      <c r="FO87" s="179"/>
      <c r="FP87" s="179"/>
      <c r="FQ87" s="179"/>
      <c r="FR87" s="179"/>
      <c r="FS87" s="179"/>
      <c r="FT87" s="179"/>
      <c r="FU87" s="179"/>
      <c r="FV87" s="179"/>
      <c r="FW87" s="179"/>
      <c r="FX87" s="179"/>
      <c r="FY87" s="179"/>
      <c r="FZ87" s="179"/>
      <c r="GA87" s="179"/>
      <c r="GB87" s="179"/>
      <c r="GC87" s="179"/>
      <c r="GD87" s="179"/>
      <c r="GE87" s="179"/>
      <c r="GF87" s="179"/>
      <c r="GG87" s="179"/>
      <c r="GH87" s="179"/>
      <c r="GI87" s="179"/>
      <c r="GJ87" s="179"/>
      <c r="GK87" s="179"/>
      <c r="GL87" s="179"/>
      <c r="GM87" s="179"/>
      <c r="GN87" s="179"/>
      <c r="GO87" s="179"/>
      <c r="GP87" s="179"/>
      <c r="GQ87" s="179"/>
      <c r="GR87" s="179"/>
      <c r="GS87" s="179"/>
      <c r="GT87" s="179"/>
      <c r="GU87" s="179"/>
      <c r="GV87" s="179"/>
      <c r="GW87" s="179"/>
      <c r="GX87" s="179"/>
      <c r="GY87" s="179"/>
      <c r="GZ87" s="179"/>
      <c r="HA87" s="179"/>
      <c r="HB87" s="179"/>
      <c r="HC87" s="179"/>
      <c r="HD87" s="179"/>
      <c r="HE87" s="179"/>
      <c r="HF87" s="179"/>
      <c r="HG87" s="179"/>
      <c r="HH87" s="179"/>
      <c r="HI87" s="179"/>
      <c r="HJ87" s="179"/>
      <c r="HK87" s="179"/>
      <c r="HL87" s="179"/>
      <c r="HM87" s="179"/>
      <c r="HN87" s="179"/>
      <c r="HO87" s="179"/>
      <c r="HP87" s="179"/>
      <c r="HQ87" s="179"/>
      <c r="HR87" s="179"/>
      <c r="HS87" s="179"/>
      <c r="HT87" s="179"/>
      <c r="HU87" s="179"/>
      <c r="HV87" s="179"/>
      <c r="HW87" s="179"/>
      <c r="HX87" s="179"/>
      <c r="HY87" s="179"/>
      <c r="HZ87" s="179"/>
      <c r="IA87" s="179"/>
      <c r="IB87" s="179"/>
      <c r="IC87" s="179"/>
      <c r="ID87" s="179"/>
      <c r="IE87" s="179"/>
      <c r="IF87" s="179"/>
      <c r="IG87" s="179"/>
      <c r="IH87" s="179"/>
      <c r="II87" s="179"/>
      <c r="IJ87" s="179"/>
      <c r="IK87" s="179"/>
      <c r="IL87" s="179"/>
      <c r="IM87" s="179"/>
      <c r="IN87" s="179"/>
      <c r="IO87" s="179"/>
      <c r="IP87" s="179"/>
      <c r="IQ87" s="179"/>
      <c r="IR87" s="179"/>
      <c r="IS87" s="179"/>
      <c r="IT87" s="179"/>
      <c r="IU87" s="179"/>
      <c r="IV87" s="179"/>
    </row>
    <row r="88" spans="1:256" s="40" customFormat="1" ht="12.75">
      <c r="A88" s="245" t="s">
        <v>25</v>
      </c>
      <c r="B88" s="168">
        <v>0</v>
      </c>
      <c r="C88" s="169">
        <v>0</v>
      </c>
      <c r="D88" s="169">
        <v>0</v>
      </c>
      <c r="E88" s="170">
        <v>0</v>
      </c>
      <c r="F88" s="170">
        <v>0</v>
      </c>
      <c r="G88" s="170">
        <v>0</v>
      </c>
      <c r="H88" s="171">
        <v>0</v>
      </c>
      <c r="I88" s="38">
        <f>B88+D88-H88</f>
        <v>0</v>
      </c>
      <c r="J88" s="168">
        <v>2</v>
      </c>
      <c r="K88" s="169">
        <v>2</v>
      </c>
      <c r="L88" s="169">
        <v>0</v>
      </c>
      <c r="M88" s="170">
        <v>2</v>
      </c>
      <c r="N88" s="171">
        <f>J88+L88-M88</f>
        <v>0</v>
      </c>
      <c r="O88" s="168">
        <f>4+39</f>
        <v>43</v>
      </c>
      <c r="P88" s="169">
        <v>43</v>
      </c>
      <c r="Q88" s="170">
        <v>39</v>
      </c>
      <c r="R88" s="38">
        <f>O88-Q88</f>
        <v>4</v>
      </c>
      <c r="S88" s="168">
        <v>0</v>
      </c>
      <c r="T88" s="169">
        <v>0</v>
      </c>
      <c r="U88" s="170">
        <v>0</v>
      </c>
      <c r="V88" s="38">
        <f>S88-U88</f>
        <v>0</v>
      </c>
      <c r="W88" s="240"/>
      <c r="X88" s="179"/>
      <c r="Y88" s="179"/>
      <c r="Z88" s="179"/>
      <c r="AA88" s="179"/>
      <c r="AB88" s="179"/>
      <c r="AC88" s="179"/>
      <c r="AD88" s="179"/>
      <c r="AE88" s="179"/>
      <c r="AF88" s="179"/>
      <c r="AG88" s="179"/>
      <c r="AH88" s="179"/>
      <c r="AI88" s="179"/>
      <c r="AJ88" s="179"/>
      <c r="AK88" s="179"/>
      <c r="AL88" s="179"/>
      <c r="AM88" s="179"/>
      <c r="AN88" s="179"/>
      <c r="AO88" s="179"/>
      <c r="AP88" s="179"/>
      <c r="AQ88" s="179"/>
      <c r="AR88" s="179"/>
      <c r="AS88" s="179"/>
      <c r="AT88" s="179"/>
      <c r="AU88" s="179"/>
      <c r="AV88" s="179"/>
      <c r="AW88" s="179"/>
      <c r="AX88" s="179"/>
      <c r="AY88" s="179"/>
      <c r="AZ88" s="179"/>
      <c r="BA88" s="179"/>
      <c r="BB88" s="179"/>
      <c r="BC88" s="179"/>
      <c r="BD88" s="179"/>
      <c r="BE88" s="179"/>
      <c r="BF88" s="179"/>
      <c r="BG88" s="179"/>
      <c r="BH88" s="179"/>
      <c r="BI88" s="179"/>
      <c r="BJ88" s="179"/>
      <c r="BK88" s="179"/>
      <c r="BL88" s="179"/>
      <c r="BM88" s="179"/>
      <c r="BN88" s="179"/>
      <c r="BO88" s="179"/>
      <c r="BP88" s="179"/>
      <c r="BQ88" s="179"/>
      <c r="BR88" s="179"/>
      <c r="BS88" s="179"/>
      <c r="BT88" s="179"/>
      <c r="BU88" s="179"/>
      <c r="BV88" s="179"/>
      <c r="BW88" s="179"/>
      <c r="BX88" s="179"/>
      <c r="BY88" s="179"/>
      <c r="BZ88" s="179"/>
      <c r="CA88" s="179"/>
      <c r="CB88" s="179"/>
      <c r="CC88" s="179"/>
      <c r="CD88" s="179"/>
      <c r="CE88" s="179"/>
      <c r="CF88" s="179"/>
      <c r="CG88" s="179"/>
      <c r="CH88" s="179"/>
      <c r="CI88" s="179"/>
      <c r="CJ88" s="179"/>
      <c r="CK88" s="179"/>
      <c r="CL88" s="179"/>
      <c r="CM88" s="179"/>
      <c r="CN88" s="179"/>
      <c r="CO88" s="179"/>
      <c r="CP88" s="179"/>
      <c r="CQ88" s="179"/>
      <c r="CR88" s="179"/>
      <c r="CS88" s="179"/>
      <c r="CT88" s="179"/>
      <c r="CU88" s="179"/>
      <c r="CV88" s="179"/>
      <c r="CW88" s="179"/>
      <c r="CX88" s="179"/>
      <c r="CY88" s="179"/>
      <c r="CZ88" s="179"/>
      <c r="DA88" s="179"/>
      <c r="DB88" s="179"/>
      <c r="DC88" s="179"/>
      <c r="DD88" s="179"/>
      <c r="DE88" s="179"/>
      <c r="DF88" s="179"/>
      <c r="DG88" s="179"/>
      <c r="DH88" s="179"/>
      <c r="DI88" s="179"/>
      <c r="DJ88" s="179"/>
      <c r="DK88" s="179"/>
      <c r="DL88" s="179"/>
      <c r="DM88" s="179"/>
      <c r="DN88" s="179"/>
      <c r="DO88" s="179"/>
      <c r="DP88" s="179"/>
      <c r="DQ88" s="179"/>
      <c r="DR88" s="179"/>
      <c r="DS88" s="179"/>
      <c r="DT88" s="179"/>
      <c r="DU88" s="179"/>
      <c r="DV88" s="179"/>
      <c r="DW88" s="179"/>
      <c r="DX88" s="179"/>
      <c r="DY88" s="179"/>
      <c r="DZ88" s="179"/>
      <c r="EA88" s="179"/>
      <c r="EB88" s="179"/>
      <c r="EC88" s="179"/>
      <c r="ED88" s="179"/>
      <c r="EE88" s="179"/>
      <c r="EF88" s="179"/>
      <c r="EG88" s="179"/>
      <c r="EH88" s="179"/>
      <c r="EI88" s="179"/>
      <c r="EJ88" s="179"/>
      <c r="EK88" s="179"/>
      <c r="EL88" s="179"/>
      <c r="EM88" s="179"/>
      <c r="EN88" s="179"/>
      <c r="EO88" s="179"/>
      <c r="EP88" s="179"/>
      <c r="EQ88" s="179"/>
      <c r="ER88" s="179"/>
      <c r="ES88" s="179"/>
      <c r="ET88" s="179"/>
      <c r="EU88" s="179"/>
      <c r="EV88" s="179"/>
      <c r="EW88" s="179"/>
      <c r="EX88" s="179"/>
      <c r="EY88" s="179"/>
      <c r="EZ88" s="179"/>
      <c r="FA88" s="179"/>
      <c r="FB88" s="179"/>
      <c r="FC88" s="179"/>
      <c r="FD88" s="179"/>
      <c r="FE88" s="179"/>
      <c r="FF88" s="179"/>
      <c r="FG88" s="179"/>
      <c r="FH88" s="179"/>
      <c r="FI88" s="179"/>
      <c r="FJ88" s="179"/>
      <c r="FK88" s="179"/>
      <c r="FL88" s="179"/>
      <c r="FM88" s="179"/>
      <c r="FN88" s="179"/>
      <c r="FO88" s="179"/>
      <c r="FP88" s="179"/>
      <c r="FQ88" s="179"/>
      <c r="FR88" s="179"/>
      <c r="FS88" s="179"/>
      <c r="FT88" s="179"/>
      <c r="FU88" s="179"/>
      <c r="FV88" s="179"/>
      <c r="FW88" s="179"/>
      <c r="FX88" s="179"/>
      <c r="FY88" s="179"/>
      <c r="FZ88" s="179"/>
      <c r="GA88" s="179"/>
      <c r="GB88" s="179"/>
      <c r="GC88" s="179"/>
      <c r="GD88" s="179"/>
      <c r="GE88" s="179"/>
      <c r="GF88" s="179"/>
      <c r="GG88" s="179"/>
      <c r="GH88" s="179"/>
      <c r="GI88" s="179"/>
      <c r="GJ88" s="179"/>
      <c r="GK88" s="179"/>
      <c r="GL88" s="179"/>
      <c r="GM88" s="179"/>
      <c r="GN88" s="179"/>
      <c r="GO88" s="179"/>
      <c r="GP88" s="179"/>
      <c r="GQ88" s="179"/>
      <c r="GR88" s="179"/>
      <c r="GS88" s="179"/>
      <c r="GT88" s="179"/>
      <c r="GU88" s="179"/>
      <c r="GV88" s="179"/>
      <c r="GW88" s="179"/>
      <c r="GX88" s="179"/>
      <c r="GY88" s="179"/>
      <c r="GZ88" s="179"/>
      <c r="HA88" s="179"/>
      <c r="HB88" s="179"/>
      <c r="HC88" s="179"/>
      <c r="HD88" s="179"/>
      <c r="HE88" s="179"/>
      <c r="HF88" s="179"/>
      <c r="HG88" s="179"/>
      <c r="HH88" s="179"/>
      <c r="HI88" s="179"/>
      <c r="HJ88" s="179"/>
      <c r="HK88" s="179"/>
      <c r="HL88" s="179"/>
      <c r="HM88" s="179"/>
      <c r="HN88" s="179"/>
      <c r="HO88" s="179"/>
      <c r="HP88" s="179"/>
      <c r="HQ88" s="179"/>
      <c r="HR88" s="179"/>
      <c r="HS88" s="179"/>
      <c r="HT88" s="179"/>
      <c r="HU88" s="179"/>
      <c r="HV88" s="179"/>
      <c r="HW88" s="179"/>
      <c r="HX88" s="179"/>
      <c r="HY88" s="179"/>
      <c r="HZ88" s="179"/>
      <c r="IA88" s="179"/>
      <c r="IB88" s="179"/>
      <c r="IC88" s="179"/>
      <c r="ID88" s="179"/>
      <c r="IE88" s="179"/>
      <c r="IF88" s="179"/>
      <c r="IG88" s="179"/>
      <c r="IH88" s="179"/>
      <c r="II88" s="179"/>
      <c r="IJ88" s="179"/>
      <c r="IK88" s="179"/>
      <c r="IL88" s="179"/>
      <c r="IM88" s="179"/>
      <c r="IN88" s="179"/>
      <c r="IO88" s="179"/>
      <c r="IP88" s="179"/>
      <c r="IQ88" s="179"/>
      <c r="IR88" s="179"/>
      <c r="IS88" s="179"/>
      <c r="IT88" s="179"/>
      <c r="IU88" s="179"/>
      <c r="IV88" s="179"/>
    </row>
    <row r="89" spans="1:256" ht="12.75">
      <c r="A89" s="246" t="s">
        <v>26</v>
      </c>
      <c r="B89" s="168">
        <v>142</v>
      </c>
      <c r="C89" s="169">
        <v>142</v>
      </c>
      <c r="D89" s="169">
        <v>53</v>
      </c>
      <c r="E89" s="170">
        <v>0</v>
      </c>
      <c r="F89" s="170">
        <v>0</v>
      </c>
      <c r="G89" s="170">
        <v>0</v>
      </c>
      <c r="H89" s="171">
        <v>0</v>
      </c>
      <c r="I89" s="38">
        <f>B89+D89-H89</f>
        <v>195</v>
      </c>
      <c r="J89" s="168">
        <v>40</v>
      </c>
      <c r="K89" s="169">
        <v>40</v>
      </c>
      <c r="L89" s="169">
        <v>4</v>
      </c>
      <c r="M89" s="170">
        <v>20</v>
      </c>
      <c r="N89" s="171">
        <f>J89+L89-M89</f>
        <v>24</v>
      </c>
      <c r="O89" s="168">
        <f>3+59</f>
        <v>62</v>
      </c>
      <c r="P89" s="169">
        <v>62</v>
      </c>
      <c r="Q89" s="170">
        <v>60</v>
      </c>
      <c r="R89" s="38">
        <f>O89-Q89</f>
        <v>2</v>
      </c>
      <c r="S89" s="168">
        <v>5</v>
      </c>
      <c r="T89" s="169">
        <v>5</v>
      </c>
      <c r="U89" s="170">
        <v>0</v>
      </c>
      <c r="V89" s="38">
        <f>S89-U89</f>
        <v>5</v>
      </c>
      <c r="W89" s="193"/>
      <c r="X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6"/>
      <c r="BR89" s="86"/>
      <c r="BS89" s="86"/>
      <c r="BT89" s="86"/>
      <c r="BU89" s="86"/>
      <c r="BV89" s="86"/>
      <c r="BW89" s="86"/>
      <c r="BX89" s="86"/>
      <c r="BY89" s="86"/>
      <c r="BZ89" s="86"/>
      <c r="CA89" s="86"/>
      <c r="CB89" s="86"/>
      <c r="CC89" s="86"/>
      <c r="CD89" s="86"/>
      <c r="CE89" s="86"/>
      <c r="CF89" s="86"/>
      <c r="CG89" s="86"/>
      <c r="CH89" s="86"/>
      <c r="CI89" s="86"/>
      <c r="CJ89" s="86"/>
      <c r="CK89" s="86"/>
      <c r="CL89" s="86"/>
      <c r="CM89" s="86"/>
      <c r="CN89" s="86"/>
      <c r="CO89" s="86"/>
      <c r="CP89" s="86"/>
      <c r="CQ89" s="86"/>
      <c r="CR89" s="86"/>
      <c r="CS89" s="86"/>
      <c r="CT89" s="86"/>
      <c r="CU89" s="86"/>
      <c r="CV89" s="86"/>
      <c r="CW89" s="86"/>
      <c r="CX89" s="86"/>
      <c r="CY89" s="86"/>
      <c r="CZ89" s="86"/>
      <c r="DA89" s="86"/>
      <c r="DB89" s="86"/>
      <c r="DC89" s="86"/>
      <c r="DD89" s="86"/>
      <c r="DE89" s="86"/>
      <c r="DF89" s="86"/>
      <c r="DG89" s="86"/>
      <c r="DH89" s="86"/>
      <c r="DI89" s="86"/>
      <c r="DJ89" s="86"/>
      <c r="DK89" s="86"/>
      <c r="DL89" s="86"/>
      <c r="DM89" s="86"/>
      <c r="DN89" s="86"/>
      <c r="DO89" s="86"/>
      <c r="DP89" s="86"/>
      <c r="DQ89" s="86"/>
      <c r="DR89" s="86"/>
      <c r="DS89" s="86"/>
      <c r="DT89" s="86"/>
      <c r="DU89" s="86"/>
      <c r="DV89" s="86"/>
      <c r="DW89" s="86"/>
      <c r="DX89" s="86"/>
      <c r="DY89" s="86"/>
      <c r="DZ89" s="86"/>
      <c r="EA89" s="86"/>
      <c r="EB89" s="86"/>
      <c r="EC89" s="86"/>
      <c r="ED89" s="86"/>
      <c r="EE89" s="86"/>
      <c r="EF89" s="86"/>
      <c r="EG89" s="86"/>
      <c r="EH89" s="86"/>
      <c r="EI89" s="86"/>
      <c r="EJ89" s="86"/>
      <c r="EK89" s="86"/>
      <c r="EL89" s="86"/>
      <c r="EM89" s="86"/>
      <c r="EN89" s="86"/>
      <c r="EO89" s="86"/>
      <c r="EP89" s="86"/>
      <c r="EQ89" s="86"/>
      <c r="ER89" s="86"/>
      <c r="ES89" s="86"/>
      <c r="ET89" s="86"/>
      <c r="EU89" s="86"/>
      <c r="EV89" s="86"/>
      <c r="EW89" s="86"/>
      <c r="EX89" s="86"/>
      <c r="EY89" s="86"/>
      <c r="EZ89" s="86"/>
      <c r="FA89" s="86"/>
      <c r="FB89" s="86"/>
      <c r="FC89" s="86"/>
      <c r="FD89" s="86"/>
      <c r="FE89" s="86"/>
      <c r="FF89" s="86"/>
      <c r="FG89" s="86"/>
      <c r="FH89" s="86"/>
      <c r="FI89" s="86"/>
      <c r="FJ89" s="86"/>
      <c r="FK89" s="86"/>
      <c r="FL89" s="86"/>
      <c r="FM89" s="86"/>
      <c r="FN89" s="86"/>
      <c r="FO89" s="86"/>
      <c r="FP89" s="86"/>
      <c r="FQ89" s="86"/>
      <c r="FR89" s="86"/>
      <c r="FS89" s="86"/>
      <c r="FT89" s="86"/>
      <c r="FU89" s="86"/>
      <c r="FV89" s="86"/>
      <c r="FW89" s="86"/>
      <c r="FX89" s="86"/>
      <c r="FY89" s="86"/>
      <c r="FZ89" s="86"/>
      <c r="GA89" s="86"/>
      <c r="GB89" s="86"/>
      <c r="GC89" s="86"/>
      <c r="GD89" s="86"/>
      <c r="GE89" s="86"/>
      <c r="GF89" s="86"/>
      <c r="GG89" s="86"/>
      <c r="GH89" s="86"/>
      <c r="GI89" s="86"/>
      <c r="GJ89" s="86"/>
      <c r="GK89" s="86"/>
      <c r="GL89" s="86"/>
      <c r="GM89" s="86"/>
      <c r="GN89" s="86"/>
      <c r="GO89" s="86"/>
      <c r="GP89" s="86"/>
      <c r="GQ89" s="86"/>
      <c r="GR89" s="86"/>
      <c r="GS89" s="86"/>
      <c r="GT89" s="86"/>
      <c r="GU89" s="86"/>
      <c r="GV89" s="86"/>
      <c r="GW89" s="86"/>
      <c r="GX89" s="86"/>
      <c r="GY89" s="86"/>
      <c r="GZ89" s="86"/>
      <c r="HA89" s="86"/>
      <c r="HB89" s="86"/>
      <c r="HC89" s="86"/>
      <c r="HD89" s="86"/>
      <c r="HE89" s="86"/>
      <c r="HF89" s="86"/>
      <c r="HG89" s="86"/>
      <c r="HH89" s="86"/>
      <c r="HI89" s="86"/>
      <c r="HJ89" s="86"/>
      <c r="HK89" s="86"/>
      <c r="HL89" s="86"/>
      <c r="HM89" s="86"/>
      <c r="HN89" s="86"/>
      <c r="HO89" s="86"/>
      <c r="HP89" s="86"/>
      <c r="HQ89" s="86"/>
      <c r="HR89" s="86"/>
      <c r="HS89" s="86"/>
      <c r="HT89" s="86"/>
      <c r="HU89" s="86"/>
      <c r="HV89" s="86"/>
      <c r="HW89" s="86"/>
      <c r="HX89" s="86"/>
      <c r="HY89" s="86"/>
      <c r="HZ89" s="86"/>
      <c r="IA89" s="86"/>
      <c r="IB89" s="86"/>
      <c r="IC89" s="86"/>
      <c r="ID89" s="86"/>
      <c r="IE89" s="86"/>
      <c r="IF89" s="86"/>
      <c r="IG89" s="86"/>
      <c r="IH89" s="86"/>
      <c r="II89" s="86"/>
      <c r="IJ89" s="86"/>
      <c r="IK89" s="86"/>
      <c r="IL89" s="86"/>
      <c r="IM89" s="86"/>
      <c r="IN89" s="86"/>
      <c r="IO89" s="86"/>
      <c r="IP89" s="86"/>
      <c r="IQ89" s="86"/>
      <c r="IR89" s="86"/>
      <c r="IS89" s="86"/>
      <c r="IT89" s="86"/>
      <c r="IU89" s="86"/>
      <c r="IV89" s="86"/>
    </row>
    <row r="90" spans="1:256" s="40" customFormat="1" ht="13.5" thickBot="1">
      <c r="A90" s="247" t="s">
        <v>36</v>
      </c>
      <c r="B90" s="205">
        <v>135</v>
      </c>
      <c r="C90" s="207">
        <v>135</v>
      </c>
      <c r="D90" s="207">
        <v>49</v>
      </c>
      <c r="E90" s="207">
        <v>0</v>
      </c>
      <c r="F90" s="207">
        <v>0</v>
      </c>
      <c r="G90" s="207">
        <v>0</v>
      </c>
      <c r="H90" s="207">
        <v>0</v>
      </c>
      <c r="I90" s="208">
        <f>B90+D90-H90</f>
        <v>184</v>
      </c>
      <c r="J90" s="205">
        <v>1</v>
      </c>
      <c r="K90" s="207">
        <v>1</v>
      </c>
      <c r="L90" s="207">
        <v>0</v>
      </c>
      <c r="M90" s="207">
        <v>0</v>
      </c>
      <c r="N90" s="208">
        <f>J90+L90-M90</f>
        <v>1</v>
      </c>
      <c r="O90" s="205">
        <f>21+32</f>
        <v>53</v>
      </c>
      <c r="P90" s="207">
        <v>37</v>
      </c>
      <c r="Q90" s="207">
        <v>48</v>
      </c>
      <c r="R90" s="208">
        <f>O90-Q90</f>
        <v>5</v>
      </c>
      <c r="S90" s="205">
        <v>0</v>
      </c>
      <c r="T90" s="207">
        <v>0</v>
      </c>
      <c r="U90" s="207">
        <v>0</v>
      </c>
      <c r="V90" s="63">
        <f>S90-U90</f>
        <v>0</v>
      </c>
      <c r="W90" s="240"/>
      <c r="X90" s="179"/>
      <c r="Y90" s="179"/>
      <c r="Z90" s="179"/>
      <c r="AA90" s="179"/>
      <c r="AB90" s="179"/>
      <c r="AC90" s="179"/>
      <c r="AD90" s="179"/>
      <c r="AE90" s="179"/>
      <c r="AF90" s="179"/>
      <c r="AG90" s="179"/>
      <c r="AH90" s="179"/>
      <c r="AI90" s="179"/>
      <c r="AJ90" s="179"/>
      <c r="AK90" s="179"/>
      <c r="AL90" s="179"/>
      <c r="AM90" s="179"/>
      <c r="AN90" s="179"/>
      <c r="AO90" s="179"/>
      <c r="AP90" s="179"/>
      <c r="AQ90" s="179"/>
      <c r="AR90" s="179"/>
      <c r="AS90" s="179"/>
      <c r="AT90" s="179"/>
      <c r="AU90" s="179"/>
      <c r="AV90" s="179"/>
      <c r="AW90" s="179"/>
      <c r="AX90" s="179"/>
      <c r="AY90" s="179"/>
      <c r="AZ90" s="179"/>
      <c r="BA90" s="179"/>
      <c r="BB90" s="179"/>
      <c r="BC90" s="179"/>
      <c r="BD90" s="179"/>
      <c r="BE90" s="179"/>
      <c r="BF90" s="179"/>
      <c r="BG90" s="179"/>
      <c r="BH90" s="179"/>
      <c r="BI90" s="179"/>
      <c r="BJ90" s="179"/>
      <c r="BK90" s="179"/>
      <c r="BL90" s="179"/>
      <c r="BM90" s="179"/>
      <c r="BN90" s="179"/>
      <c r="BO90" s="179"/>
      <c r="BP90" s="179"/>
      <c r="BQ90" s="179"/>
      <c r="BR90" s="179"/>
      <c r="BS90" s="179"/>
      <c r="BT90" s="179"/>
      <c r="BU90" s="179"/>
      <c r="BV90" s="179"/>
      <c r="BW90" s="179"/>
      <c r="BX90" s="179"/>
      <c r="BY90" s="179"/>
      <c r="BZ90" s="179"/>
      <c r="CA90" s="179"/>
      <c r="CB90" s="179"/>
      <c r="CC90" s="179"/>
      <c r="CD90" s="179"/>
      <c r="CE90" s="179"/>
      <c r="CF90" s="179"/>
      <c r="CG90" s="179"/>
      <c r="CH90" s="179"/>
      <c r="CI90" s="179"/>
      <c r="CJ90" s="179"/>
      <c r="CK90" s="179"/>
      <c r="CL90" s="179"/>
      <c r="CM90" s="179"/>
      <c r="CN90" s="179"/>
      <c r="CO90" s="179"/>
      <c r="CP90" s="179"/>
      <c r="CQ90" s="179"/>
      <c r="CR90" s="179"/>
      <c r="CS90" s="179"/>
      <c r="CT90" s="179"/>
      <c r="CU90" s="179"/>
      <c r="CV90" s="179"/>
      <c r="CW90" s="179"/>
      <c r="CX90" s="179"/>
      <c r="CY90" s="179"/>
      <c r="CZ90" s="179"/>
      <c r="DA90" s="179"/>
      <c r="DB90" s="179"/>
      <c r="DC90" s="179"/>
      <c r="DD90" s="179"/>
      <c r="DE90" s="179"/>
      <c r="DF90" s="179"/>
      <c r="DG90" s="179"/>
      <c r="DH90" s="179"/>
      <c r="DI90" s="179"/>
      <c r="DJ90" s="179"/>
      <c r="DK90" s="179"/>
      <c r="DL90" s="179"/>
      <c r="DM90" s="179"/>
      <c r="DN90" s="179"/>
      <c r="DO90" s="179"/>
      <c r="DP90" s="179"/>
      <c r="DQ90" s="179"/>
      <c r="DR90" s="179"/>
      <c r="DS90" s="179"/>
      <c r="DT90" s="179"/>
      <c r="DU90" s="179"/>
      <c r="DV90" s="179"/>
      <c r="DW90" s="179"/>
      <c r="DX90" s="179"/>
      <c r="DY90" s="179"/>
      <c r="DZ90" s="179"/>
      <c r="EA90" s="179"/>
      <c r="EB90" s="179"/>
      <c r="EC90" s="179"/>
      <c r="ED90" s="179"/>
      <c r="EE90" s="179"/>
      <c r="EF90" s="179"/>
      <c r="EG90" s="179"/>
      <c r="EH90" s="179"/>
      <c r="EI90" s="179"/>
      <c r="EJ90" s="179"/>
      <c r="EK90" s="179"/>
      <c r="EL90" s="179"/>
      <c r="EM90" s="179"/>
      <c r="EN90" s="179"/>
      <c r="EO90" s="179"/>
      <c r="EP90" s="179"/>
      <c r="EQ90" s="179"/>
      <c r="ER90" s="179"/>
      <c r="ES90" s="179"/>
      <c r="ET90" s="179"/>
      <c r="EU90" s="179"/>
      <c r="EV90" s="179"/>
      <c r="EW90" s="179"/>
      <c r="EX90" s="179"/>
      <c r="EY90" s="179"/>
      <c r="EZ90" s="179"/>
      <c r="FA90" s="179"/>
      <c r="FB90" s="179"/>
      <c r="FC90" s="179"/>
      <c r="FD90" s="179"/>
      <c r="FE90" s="179"/>
      <c r="FF90" s="179"/>
      <c r="FG90" s="179"/>
      <c r="FH90" s="179"/>
      <c r="FI90" s="179"/>
      <c r="FJ90" s="179"/>
      <c r="FK90" s="179"/>
      <c r="FL90" s="179"/>
      <c r="FM90" s="179"/>
      <c r="FN90" s="179"/>
      <c r="FO90" s="179"/>
      <c r="FP90" s="179"/>
      <c r="FQ90" s="179"/>
      <c r="FR90" s="179"/>
      <c r="FS90" s="179"/>
      <c r="FT90" s="179"/>
      <c r="FU90" s="179"/>
      <c r="FV90" s="179"/>
      <c r="FW90" s="179"/>
      <c r="FX90" s="179"/>
      <c r="FY90" s="179"/>
      <c r="FZ90" s="179"/>
      <c r="GA90" s="179"/>
      <c r="GB90" s="179"/>
      <c r="GC90" s="179"/>
      <c r="GD90" s="179"/>
      <c r="GE90" s="179"/>
      <c r="GF90" s="179"/>
      <c r="GG90" s="179"/>
      <c r="GH90" s="179"/>
      <c r="GI90" s="179"/>
      <c r="GJ90" s="179"/>
      <c r="GK90" s="179"/>
      <c r="GL90" s="179"/>
      <c r="GM90" s="179"/>
      <c r="GN90" s="179"/>
      <c r="GO90" s="179"/>
      <c r="GP90" s="179"/>
      <c r="GQ90" s="179"/>
      <c r="GR90" s="179"/>
      <c r="GS90" s="179"/>
      <c r="GT90" s="179"/>
      <c r="GU90" s="179"/>
      <c r="GV90" s="179"/>
      <c r="GW90" s="179"/>
      <c r="GX90" s="179"/>
      <c r="GY90" s="179"/>
      <c r="GZ90" s="179"/>
      <c r="HA90" s="179"/>
      <c r="HB90" s="179"/>
      <c r="HC90" s="179"/>
      <c r="HD90" s="179"/>
      <c r="HE90" s="179"/>
      <c r="HF90" s="179"/>
      <c r="HG90" s="179"/>
      <c r="HH90" s="179"/>
      <c r="HI90" s="179"/>
      <c r="HJ90" s="179"/>
      <c r="HK90" s="179"/>
      <c r="HL90" s="179"/>
      <c r="HM90" s="179"/>
      <c r="HN90" s="179"/>
      <c r="HO90" s="179"/>
      <c r="HP90" s="179"/>
      <c r="HQ90" s="179"/>
      <c r="HR90" s="179"/>
      <c r="HS90" s="179"/>
      <c r="HT90" s="179"/>
      <c r="HU90" s="179"/>
      <c r="HV90" s="179"/>
      <c r="HW90" s="179"/>
      <c r="HX90" s="179"/>
      <c r="HY90" s="179"/>
      <c r="HZ90" s="179"/>
      <c r="IA90" s="179"/>
      <c r="IB90" s="179"/>
      <c r="IC90" s="179"/>
      <c r="ID90" s="179"/>
      <c r="IE90" s="179"/>
      <c r="IF90" s="179"/>
      <c r="IG90" s="179"/>
      <c r="IH90" s="179"/>
      <c r="II90" s="179"/>
      <c r="IJ90" s="179"/>
      <c r="IK90" s="179"/>
      <c r="IL90" s="179"/>
      <c r="IM90" s="179"/>
      <c r="IN90" s="179"/>
      <c r="IO90" s="179"/>
      <c r="IP90" s="179"/>
      <c r="IQ90" s="179"/>
      <c r="IR90" s="179"/>
      <c r="IS90" s="179"/>
      <c r="IT90" s="179"/>
      <c r="IU90" s="179"/>
      <c r="IV90" s="179"/>
    </row>
    <row r="91" spans="1:256" s="250" customFormat="1" ht="18.75" thickBot="1">
      <c r="A91" s="423" t="s">
        <v>147</v>
      </c>
      <c r="B91" s="423"/>
      <c r="C91" s="423"/>
      <c r="D91" s="423"/>
      <c r="E91" s="423"/>
      <c r="F91" s="423"/>
      <c r="G91" s="423"/>
      <c r="H91" s="423"/>
      <c r="I91" s="423"/>
      <c r="J91" s="423"/>
      <c r="K91" s="423"/>
      <c r="L91" s="423"/>
      <c r="M91" s="423"/>
      <c r="N91" s="423"/>
      <c r="O91" s="423"/>
      <c r="P91" s="423"/>
      <c r="Q91" s="423"/>
      <c r="R91" s="423"/>
      <c r="S91" s="423"/>
      <c r="T91" s="423"/>
      <c r="U91" s="423"/>
      <c r="V91" s="423"/>
      <c r="W91" s="249"/>
      <c r="HJ91" s="251"/>
      <c r="HK91" s="251"/>
      <c r="HL91" s="251"/>
      <c r="HM91" s="251"/>
      <c r="HN91" s="251"/>
      <c r="HO91" s="251"/>
      <c r="HP91" s="251"/>
      <c r="HQ91" s="251"/>
      <c r="HR91" s="251"/>
      <c r="HS91" s="251"/>
      <c r="HT91" s="251"/>
      <c r="HU91" s="251"/>
      <c r="HV91" s="251"/>
      <c r="HW91" s="251"/>
      <c r="HX91" s="251"/>
      <c r="HY91" s="251"/>
      <c r="HZ91" s="251"/>
      <c r="IA91" s="251"/>
      <c r="IB91" s="251"/>
      <c r="IC91" s="251"/>
      <c r="ID91" s="251"/>
      <c r="IE91" s="251"/>
      <c r="IF91" s="251"/>
      <c r="IG91" s="251"/>
      <c r="IH91" s="251"/>
      <c r="II91" s="251"/>
      <c r="IJ91" s="251"/>
      <c r="IK91" s="251"/>
      <c r="IL91" s="251"/>
      <c r="IM91" s="251"/>
      <c r="IN91" s="251"/>
      <c r="IO91" s="251"/>
      <c r="IP91" s="251"/>
      <c r="IQ91" s="251"/>
      <c r="IR91" s="251"/>
      <c r="IS91" s="251"/>
      <c r="IT91" s="251"/>
      <c r="IU91" s="251"/>
      <c r="IV91" s="251"/>
    </row>
    <row r="92" spans="1:22" ht="12.75">
      <c r="A92" s="3"/>
      <c r="B92" s="4" t="s">
        <v>12</v>
      </c>
      <c r="C92" s="5"/>
      <c r="D92" s="5"/>
      <c r="E92" s="5"/>
      <c r="F92" s="5"/>
      <c r="G92" s="5"/>
      <c r="H92" s="5"/>
      <c r="I92" s="6"/>
      <c r="J92" s="4" t="s">
        <v>13</v>
      </c>
      <c r="K92" s="5"/>
      <c r="L92" s="7"/>
      <c r="M92" s="5"/>
      <c r="N92" s="6"/>
      <c r="O92" s="504" t="s">
        <v>14</v>
      </c>
      <c r="P92" s="505"/>
      <c r="Q92" s="505"/>
      <c r="R92" s="506"/>
      <c r="S92" s="504" t="s">
        <v>15</v>
      </c>
      <c r="T92" s="507"/>
      <c r="U92" s="507"/>
      <c r="V92" s="508"/>
    </row>
    <row r="93" spans="1:23" s="13" customFormat="1" ht="14.25" customHeight="1">
      <c r="A93" s="9" t="s">
        <v>3</v>
      </c>
      <c r="B93" s="487" t="s">
        <v>149</v>
      </c>
      <c r="C93" s="499" t="s">
        <v>150</v>
      </c>
      <c r="D93" s="484" t="s">
        <v>81</v>
      </c>
      <c r="E93" s="10" t="s">
        <v>16</v>
      </c>
      <c r="F93" s="10"/>
      <c r="G93" s="10"/>
      <c r="H93" s="11"/>
      <c r="I93" s="490" t="s">
        <v>151</v>
      </c>
      <c r="J93" s="487" t="s">
        <v>149</v>
      </c>
      <c r="K93" s="499" t="s">
        <v>150</v>
      </c>
      <c r="L93" s="484" t="s">
        <v>83</v>
      </c>
      <c r="M93" s="496" t="s">
        <v>84</v>
      </c>
      <c r="N93" s="490" t="s">
        <v>151</v>
      </c>
      <c r="O93" s="487" t="s">
        <v>152</v>
      </c>
      <c r="P93" s="493" t="s">
        <v>153</v>
      </c>
      <c r="Q93" s="496" t="s">
        <v>84</v>
      </c>
      <c r="R93" s="490" t="s">
        <v>151</v>
      </c>
      <c r="S93" s="487" t="s">
        <v>152</v>
      </c>
      <c r="T93" s="493" t="s">
        <v>153</v>
      </c>
      <c r="U93" s="496" t="s">
        <v>84</v>
      </c>
      <c r="V93" s="490" t="s">
        <v>151</v>
      </c>
      <c r="W93" s="12" t="s">
        <v>19</v>
      </c>
    </row>
    <row r="94" spans="1:22" ht="12.75" customHeight="1">
      <c r="A94" s="14"/>
      <c r="B94" s="488"/>
      <c r="C94" s="500" t="s">
        <v>33</v>
      </c>
      <c r="D94" s="485"/>
      <c r="E94" s="502" t="s">
        <v>90</v>
      </c>
      <c r="F94" s="502" t="s">
        <v>62</v>
      </c>
      <c r="G94" s="502" t="s">
        <v>63</v>
      </c>
      <c r="H94" s="496" t="s">
        <v>82</v>
      </c>
      <c r="I94" s="491"/>
      <c r="J94" s="488"/>
      <c r="K94" s="500" t="s">
        <v>33</v>
      </c>
      <c r="L94" s="485"/>
      <c r="M94" s="497"/>
      <c r="N94" s="491"/>
      <c r="O94" s="488"/>
      <c r="P94" s="494"/>
      <c r="Q94" s="497"/>
      <c r="R94" s="491"/>
      <c r="S94" s="488"/>
      <c r="T94" s="494"/>
      <c r="U94" s="497"/>
      <c r="V94" s="491"/>
    </row>
    <row r="95" spans="1:22" ht="53.25" customHeight="1" thickBot="1">
      <c r="A95" s="15" t="s">
        <v>19</v>
      </c>
      <c r="B95" s="489"/>
      <c r="C95" s="501" t="s">
        <v>61</v>
      </c>
      <c r="D95" s="486"/>
      <c r="E95" s="503"/>
      <c r="F95" s="503"/>
      <c r="G95" s="503"/>
      <c r="H95" s="498"/>
      <c r="I95" s="492"/>
      <c r="J95" s="489"/>
      <c r="K95" s="501" t="s">
        <v>61</v>
      </c>
      <c r="L95" s="486"/>
      <c r="M95" s="498"/>
      <c r="N95" s="492"/>
      <c r="O95" s="489"/>
      <c r="P95" s="495"/>
      <c r="Q95" s="498"/>
      <c r="R95" s="492"/>
      <c r="S95" s="489"/>
      <c r="T95" s="495"/>
      <c r="U95" s="498"/>
      <c r="V95" s="492"/>
    </row>
    <row r="96" spans="1:256" ht="13.5" thickBot="1">
      <c r="A96" s="166" t="s">
        <v>27</v>
      </c>
      <c r="B96" s="252">
        <f aca="true" t="shared" si="28" ref="B96:V96">SUM(B97:B97)</f>
        <v>492</v>
      </c>
      <c r="C96" s="253">
        <f t="shared" si="28"/>
        <v>492</v>
      </c>
      <c r="D96" s="253">
        <f t="shared" si="28"/>
        <v>837</v>
      </c>
      <c r="E96" s="253">
        <f t="shared" si="28"/>
        <v>0</v>
      </c>
      <c r="F96" s="253">
        <f t="shared" si="28"/>
        <v>0</v>
      </c>
      <c r="G96" s="253">
        <f t="shared" si="28"/>
        <v>227</v>
      </c>
      <c r="H96" s="254">
        <f t="shared" si="28"/>
        <v>542</v>
      </c>
      <c r="I96" s="255">
        <f t="shared" si="28"/>
        <v>787</v>
      </c>
      <c r="J96" s="252">
        <f t="shared" si="28"/>
        <v>193</v>
      </c>
      <c r="K96" s="253">
        <f t="shared" si="28"/>
        <v>193</v>
      </c>
      <c r="L96" s="253">
        <f t="shared" si="28"/>
        <v>11</v>
      </c>
      <c r="M96" s="253">
        <f t="shared" si="28"/>
        <v>150</v>
      </c>
      <c r="N96" s="255">
        <f t="shared" si="28"/>
        <v>54</v>
      </c>
      <c r="O96" s="252">
        <f t="shared" si="28"/>
        <v>255</v>
      </c>
      <c r="P96" s="253">
        <f t="shared" si="28"/>
        <v>238</v>
      </c>
      <c r="Q96" s="253">
        <f t="shared" si="28"/>
        <v>162</v>
      </c>
      <c r="R96" s="255">
        <f t="shared" si="28"/>
        <v>93</v>
      </c>
      <c r="S96" s="252">
        <f t="shared" si="28"/>
        <v>46</v>
      </c>
      <c r="T96" s="253">
        <f t="shared" si="28"/>
        <v>46</v>
      </c>
      <c r="U96" s="253">
        <f t="shared" si="28"/>
        <v>46</v>
      </c>
      <c r="V96" s="255">
        <f t="shared" si="28"/>
        <v>0</v>
      </c>
      <c r="W96" s="16"/>
      <c r="HJ96" s="86"/>
      <c r="HK96" s="86"/>
      <c r="HL96" s="86"/>
      <c r="HM96" s="86"/>
      <c r="HN96" s="86"/>
      <c r="HO96" s="86"/>
      <c r="HP96" s="86"/>
      <c r="HQ96" s="86"/>
      <c r="HR96" s="86"/>
      <c r="HS96" s="86"/>
      <c r="HT96" s="86"/>
      <c r="HU96" s="86"/>
      <c r="HV96" s="86"/>
      <c r="HW96" s="86"/>
      <c r="HX96" s="86"/>
      <c r="HY96" s="86"/>
      <c r="HZ96" s="86"/>
      <c r="IA96" s="86"/>
      <c r="IB96" s="86"/>
      <c r="IC96" s="86"/>
      <c r="ID96" s="86"/>
      <c r="IE96" s="86"/>
      <c r="IF96" s="86"/>
      <c r="IG96" s="86"/>
      <c r="IH96" s="86"/>
      <c r="II96" s="86"/>
      <c r="IJ96" s="86"/>
      <c r="IK96" s="86"/>
      <c r="IL96" s="86"/>
      <c r="IM96" s="86"/>
      <c r="IN96" s="86"/>
      <c r="IO96" s="86"/>
      <c r="IP96" s="86"/>
      <c r="IQ96" s="86"/>
      <c r="IR96" s="86"/>
      <c r="IS96" s="86"/>
      <c r="IT96" s="86"/>
      <c r="IU96" s="86"/>
      <c r="IV96" s="86"/>
    </row>
    <row r="97" spans="1:256" s="40" customFormat="1" ht="24.75" customHeight="1" thickBot="1">
      <c r="A97" s="244" t="s">
        <v>132</v>
      </c>
      <c r="B97" s="256">
        <v>492</v>
      </c>
      <c r="C97" s="257">
        <v>492</v>
      </c>
      <c r="D97" s="2">
        <v>837</v>
      </c>
      <c r="E97" s="1">
        <v>0</v>
      </c>
      <c r="F97" s="2">
        <v>0</v>
      </c>
      <c r="G97" s="256">
        <v>227</v>
      </c>
      <c r="H97" s="258">
        <v>542</v>
      </c>
      <c r="I97" s="259">
        <f>B97+D97-H97</f>
        <v>787</v>
      </c>
      <c r="J97" s="260">
        <v>193</v>
      </c>
      <c r="K97" s="257">
        <v>193</v>
      </c>
      <c r="L97" s="2">
        <v>11</v>
      </c>
      <c r="M97" s="256">
        <v>150</v>
      </c>
      <c r="N97" s="59">
        <f>J97+L97-M97</f>
        <v>54</v>
      </c>
      <c r="O97" s="261">
        <f>75+180</f>
        <v>255</v>
      </c>
      <c r="P97" s="257">
        <f>75+163</f>
        <v>238</v>
      </c>
      <c r="Q97" s="256">
        <v>162</v>
      </c>
      <c r="R97" s="59">
        <f>O97-Q97</f>
        <v>93</v>
      </c>
      <c r="S97" s="261">
        <f>46</f>
        <v>46</v>
      </c>
      <c r="T97" s="256">
        <v>46</v>
      </c>
      <c r="U97" s="256">
        <v>46</v>
      </c>
      <c r="V97" s="59">
        <f>S97-U97</f>
        <v>0</v>
      </c>
      <c r="HJ97" s="179"/>
      <c r="HK97" s="179"/>
      <c r="HL97" s="179"/>
      <c r="HM97" s="179"/>
      <c r="HN97" s="179"/>
      <c r="HO97" s="179"/>
      <c r="HP97" s="179"/>
      <c r="HQ97" s="179"/>
      <c r="HR97" s="179"/>
      <c r="HS97" s="179"/>
      <c r="HT97" s="179"/>
      <c r="HU97" s="179"/>
      <c r="HV97" s="179"/>
      <c r="HW97" s="179"/>
      <c r="HX97" s="179"/>
      <c r="HY97" s="179"/>
      <c r="HZ97" s="179"/>
      <c r="IA97" s="179"/>
      <c r="IB97" s="179"/>
      <c r="IC97" s="179"/>
      <c r="ID97" s="179"/>
      <c r="IE97" s="179"/>
      <c r="IF97" s="179"/>
      <c r="IG97" s="179"/>
      <c r="IH97" s="179"/>
      <c r="II97" s="179"/>
      <c r="IJ97" s="179"/>
      <c r="IK97" s="179"/>
      <c r="IL97" s="179"/>
      <c r="IM97" s="179"/>
      <c r="IN97" s="179"/>
      <c r="IO97" s="179"/>
      <c r="IP97" s="179"/>
      <c r="IQ97" s="179"/>
      <c r="IR97" s="179"/>
      <c r="IS97" s="179"/>
      <c r="IT97" s="179"/>
      <c r="IU97" s="179"/>
      <c r="IV97" s="179"/>
    </row>
    <row r="98" spans="1:256" s="235" customFormat="1" ht="13.5" thickBot="1">
      <c r="A98" s="166" t="s">
        <v>28</v>
      </c>
      <c r="B98" s="167">
        <f>SUM(B99:B100)</f>
        <v>93</v>
      </c>
      <c r="C98" s="165">
        <f aca="true" t="shared" si="29" ref="C98:V98">SUM(C99:C100)</f>
        <v>93</v>
      </c>
      <c r="D98" s="165">
        <f t="shared" si="29"/>
        <v>0</v>
      </c>
      <c r="E98" s="165">
        <f t="shared" si="29"/>
        <v>0</v>
      </c>
      <c r="F98" s="165">
        <f t="shared" si="29"/>
        <v>0</v>
      </c>
      <c r="G98" s="165">
        <f t="shared" si="29"/>
        <v>0</v>
      </c>
      <c r="H98" s="165">
        <f t="shared" si="29"/>
        <v>0</v>
      </c>
      <c r="I98" s="29">
        <f t="shared" si="29"/>
        <v>93</v>
      </c>
      <c r="J98" s="167">
        <f t="shared" si="29"/>
        <v>400</v>
      </c>
      <c r="K98" s="165">
        <f t="shared" si="29"/>
        <v>400</v>
      </c>
      <c r="L98" s="165">
        <f t="shared" si="29"/>
        <v>66</v>
      </c>
      <c r="M98" s="165">
        <f t="shared" si="29"/>
        <v>0</v>
      </c>
      <c r="N98" s="29">
        <f t="shared" si="29"/>
        <v>466</v>
      </c>
      <c r="O98" s="167">
        <f t="shared" si="29"/>
        <v>90</v>
      </c>
      <c r="P98" s="165">
        <f t="shared" si="29"/>
        <v>90</v>
      </c>
      <c r="Q98" s="165">
        <f t="shared" si="29"/>
        <v>61</v>
      </c>
      <c r="R98" s="29">
        <f t="shared" si="29"/>
        <v>29</v>
      </c>
      <c r="S98" s="167">
        <f t="shared" si="29"/>
        <v>0</v>
      </c>
      <c r="T98" s="165">
        <f t="shared" si="29"/>
        <v>0</v>
      </c>
      <c r="U98" s="165">
        <f t="shared" si="29"/>
        <v>0</v>
      </c>
      <c r="V98" s="29">
        <f t="shared" si="29"/>
        <v>0</v>
      </c>
      <c r="W98" s="193"/>
      <c r="X98" s="86"/>
      <c r="Y98" s="86"/>
      <c r="Z98" s="86"/>
      <c r="AA98" s="86"/>
      <c r="AB98" s="86"/>
      <c r="AC98" s="86"/>
      <c r="AD98" s="86"/>
      <c r="AE98" s="86"/>
      <c r="AF98" s="86"/>
      <c r="AG98" s="86"/>
      <c r="AH98" s="86"/>
      <c r="AI98" s="86"/>
      <c r="AJ98" s="86"/>
      <c r="AK98" s="86"/>
      <c r="AL98" s="86"/>
      <c r="AM98" s="86"/>
      <c r="AN98" s="86"/>
      <c r="AO98" s="86"/>
      <c r="AP98" s="86"/>
      <c r="AQ98" s="86"/>
      <c r="AR98" s="86"/>
      <c r="AS98" s="86"/>
      <c r="AT98" s="86"/>
      <c r="AU98" s="86"/>
      <c r="AV98" s="86"/>
      <c r="AW98" s="86"/>
      <c r="AX98" s="86"/>
      <c r="AY98" s="86"/>
      <c r="AZ98" s="86"/>
      <c r="BA98" s="86"/>
      <c r="BB98" s="86"/>
      <c r="BC98" s="86"/>
      <c r="BD98" s="86"/>
      <c r="BE98" s="86"/>
      <c r="BF98" s="86"/>
      <c r="BG98" s="86"/>
      <c r="BH98" s="86"/>
      <c r="BI98" s="86"/>
      <c r="BJ98" s="86"/>
      <c r="BK98" s="86"/>
      <c r="BL98" s="86"/>
      <c r="BM98" s="86"/>
      <c r="BN98" s="86"/>
      <c r="BO98" s="86"/>
      <c r="BP98" s="86"/>
      <c r="BQ98" s="86"/>
      <c r="BR98" s="86"/>
      <c r="BS98" s="86"/>
      <c r="BT98" s="86"/>
      <c r="BU98" s="86"/>
      <c r="BV98" s="86"/>
      <c r="BW98" s="86"/>
      <c r="BX98" s="86"/>
      <c r="BY98" s="86"/>
      <c r="BZ98" s="86"/>
      <c r="CA98" s="86"/>
      <c r="CB98" s="86"/>
      <c r="CC98" s="86"/>
      <c r="CD98" s="86"/>
      <c r="CE98" s="86"/>
      <c r="CF98" s="86"/>
      <c r="CG98" s="86"/>
      <c r="CH98" s="86"/>
      <c r="CI98" s="86"/>
      <c r="CJ98" s="86"/>
      <c r="CK98" s="86"/>
      <c r="CL98" s="86"/>
      <c r="CM98" s="86"/>
      <c r="CN98" s="86"/>
      <c r="CO98" s="86"/>
      <c r="CP98" s="86"/>
      <c r="CQ98" s="86"/>
      <c r="CR98" s="86"/>
      <c r="CS98" s="86"/>
      <c r="CT98" s="86"/>
      <c r="CU98" s="86"/>
      <c r="CV98" s="86"/>
      <c r="CW98" s="86"/>
      <c r="CX98" s="86"/>
      <c r="CY98" s="86"/>
      <c r="CZ98" s="86"/>
      <c r="DA98" s="86"/>
      <c r="DB98" s="86"/>
      <c r="DC98" s="86"/>
      <c r="DD98" s="86"/>
      <c r="DE98" s="86"/>
      <c r="DF98" s="86"/>
      <c r="DG98" s="86"/>
      <c r="DH98" s="86"/>
      <c r="DI98" s="86"/>
      <c r="DJ98" s="86"/>
      <c r="DK98" s="86"/>
      <c r="DL98" s="86"/>
      <c r="DM98" s="86"/>
      <c r="DN98" s="86"/>
      <c r="DO98" s="86"/>
      <c r="DP98" s="86"/>
      <c r="DQ98" s="86"/>
      <c r="DR98" s="86"/>
      <c r="DS98" s="86"/>
      <c r="DT98" s="86"/>
      <c r="DU98" s="86"/>
      <c r="DV98" s="86"/>
      <c r="DW98" s="86"/>
      <c r="DX98" s="86"/>
      <c r="DY98" s="86"/>
      <c r="DZ98" s="86"/>
      <c r="EA98" s="86"/>
      <c r="EB98" s="86"/>
      <c r="EC98" s="86"/>
      <c r="ED98" s="86"/>
      <c r="EE98" s="86"/>
      <c r="EF98" s="86"/>
      <c r="EG98" s="86"/>
      <c r="EH98" s="86"/>
      <c r="EI98" s="86"/>
      <c r="EJ98" s="86"/>
      <c r="EK98" s="86"/>
      <c r="EL98" s="86"/>
      <c r="EM98" s="86"/>
      <c r="EN98" s="86"/>
      <c r="EO98" s="86"/>
      <c r="EP98" s="86"/>
      <c r="EQ98" s="86"/>
      <c r="ER98" s="86"/>
      <c r="ES98" s="86"/>
      <c r="ET98" s="86"/>
      <c r="EU98" s="86"/>
      <c r="EV98" s="86"/>
      <c r="EW98" s="86"/>
      <c r="EX98" s="86"/>
      <c r="EY98" s="86"/>
      <c r="EZ98" s="86"/>
      <c r="FA98" s="86"/>
      <c r="FB98" s="86"/>
      <c r="FC98" s="86"/>
      <c r="FD98" s="86"/>
      <c r="FE98" s="86"/>
      <c r="FF98" s="86"/>
      <c r="FG98" s="86"/>
      <c r="FH98" s="86"/>
      <c r="FI98" s="86"/>
      <c r="FJ98" s="86"/>
      <c r="FK98" s="86"/>
      <c r="FL98" s="86"/>
      <c r="FM98" s="86"/>
      <c r="FN98" s="86"/>
      <c r="FO98" s="86"/>
      <c r="FP98" s="86"/>
      <c r="FQ98" s="86"/>
      <c r="FR98" s="86"/>
      <c r="FS98" s="86"/>
      <c r="FT98" s="86"/>
      <c r="FU98" s="86"/>
      <c r="FV98" s="86"/>
      <c r="FW98" s="86"/>
      <c r="FX98" s="86"/>
      <c r="FY98" s="86"/>
      <c r="FZ98" s="86"/>
      <c r="GA98" s="86"/>
      <c r="GB98" s="86"/>
      <c r="GC98" s="86"/>
      <c r="GD98" s="86"/>
      <c r="GE98" s="86"/>
      <c r="GF98" s="86"/>
      <c r="GG98" s="86"/>
      <c r="GH98" s="86"/>
      <c r="GI98" s="86"/>
      <c r="GJ98" s="86"/>
      <c r="GK98" s="86"/>
      <c r="GL98" s="86"/>
      <c r="GM98" s="86"/>
      <c r="GN98" s="86"/>
      <c r="GO98" s="86"/>
      <c r="GP98" s="86"/>
      <c r="GQ98" s="86"/>
      <c r="GR98" s="86"/>
      <c r="GS98" s="86"/>
      <c r="GT98" s="86"/>
      <c r="GU98" s="86"/>
      <c r="GV98" s="86"/>
      <c r="GW98" s="86"/>
      <c r="GX98" s="86"/>
      <c r="GY98" s="86"/>
      <c r="GZ98" s="86"/>
      <c r="HA98" s="86"/>
      <c r="HB98" s="86"/>
      <c r="HC98" s="86"/>
      <c r="HD98" s="86"/>
      <c r="HE98" s="86"/>
      <c r="HF98" s="86"/>
      <c r="HG98" s="86"/>
      <c r="HH98" s="86"/>
      <c r="HI98" s="86"/>
      <c r="HJ98" s="86"/>
      <c r="HK98" s="86"/>
      <c r="HL98" s="86"/>
      <c r="HM98" s="86"/>
      <c r="HN98" s="86"/>
      <c r="HO98" s="86"/>
      <c r="HP98" s="86"/>
      <c r="HQ98" s="86"/>
      <c r="HR98" s="86"/>
      <c r="HS98" s="86"/>
      <c r="HT98" s="86"/>
      <c r="HU98" s="86"/>
      <c r="HV98" s="86"/>
      <c r="HW98" s="86"/>
      <c r="HX98" s="86"/>
      <c r="HY98" s="86"/>
      <c r="HZ98" s="86"/>
      <c r="IA98" s="86"/>
      <c r="IB98" s="86"/>
      <c r="IC98" s="86"/>
      <c r="ID98" s="86"/>
      <c r="IE98" s="86"/>
      <c r="IF98" s="86"/>
      <c r="IG98" s="86"/>
      <c r="IH98" s="86"/>
      <c r="II98" s="86"/>
      <c r="IJ98" s="86"/>
      <c r="IK98" s="86"/>
      <c r="IL98" s="86"/>
      <c r="IM98" s="86"/>
      <c r="IN98" s="86"/>
      <c r="IO98" s="86"/>
      <c r="IP98" s="86"/>
      <c r="IQ98" s="86"/>
      <c r="IR98" s="86"/>
      <c r="IS98" s="86"/>
      <c r="IT98" s="86"/>
      <c r="IU98" s="86"/>
      <c r="IV98" s="86"/>
    </row>
    <row r="99" spans="1:23" s="323" customFormat="1" ht="12.75">
      <c r="A99" s="357" t="s">
        <v>10</v>
      </c>
      <c r="B99" s="317">
        <v>93</v>
      </c>
      <c r="C99" s="318">
        <v>93</v>
      </c>
      <c r="D99" s="319">
        <v>0</v>
      </c>
      <c r="E99" s="319">
        <v>0</v>
      </c>
      <c r="F99" s="319">
        <v>0</v>
      </c>
      <c r="G99" s="319">
        <v>0</v>
      </c>
      <c r="H99" s="319">
        <v>0</v>
      </c>
      <c r="I99" s="321">
        <f>B99+D99-H99</f>
        <v>93</v>
      </c>
      <c r="J99" s="317">
        <v>164</v>
      </c>
      <c r="K99" s="318">
        <v>164</v>
      </c>
      <c r="L99" s="319">
        <v>0</v>
      </c>
      <c r="M99" s="319">
        <v>0</v>
      </c>
      <c r="N99" s="321">
        <f>J99+L99-M99</f>
        <v>164</v>
      </c>
      <c r="O99" s="317">
        <v>51</v>
      </c>
      <c r="P99" s="318">
        <v>51</v>
      </c>
      <c r="Q99" s="319">
        <v>22</v>
      </c>
      <c r="R99" s="321">
        <f>O99-Q99</f>
        <v>29</v>
      </c>
      <c r="S99" s="317">
        <v>0</v>
      </c>
      <c r="T99" s="318">
        <v>0</v>
      </c>
      <c r="U99" s="319">
        <v>0</v>
      </c>
      <c r="V99" s="321">
        <f>S99-U99</f>
        <v>0</v>
      </c>
      <c r="W99" s="356"/>
    </row>
    <row r="100" spans="1:23" s="323" customFormat="1" ht="13.5" thickBot="1">
      <c r="A100" s="358" t="s">
        <v>58</v>
      </c>
      <c r="B100" s="326">
        <v>0</v>
      </c>
      <c r="C100" s="328">
        <v>0</v>
      </c>
      <c r="D100" s="328">
        <v>0</v>
      </c>
      <c r="E100" s="328">
        <v>0</v>
      </c>
      <c r="F100" s="328">
        <v>0</v>
      </c>
      <c r="G100" s="328">
        <v>0</v>
      </c>
      <c r="H100" s="328">
        <v>0</v>
      </c>
      <c r="I100" s="321">
        <f>B100+D100-H100</f>
        <v>0</v>
      </c>
      <c r="J100" s="317">
        <v>236</v>
      </c>
      <c r="K100" s="318">
        <v>236</v>
      </c>
      <c r="L100" s="319">
        <v>66</v>
      </c>
      <c r="M100" s="319">
        <v>0</v>
      </c>
      <c r="N100" s="321">
        <f>J100+L100-M100</f>
        <v>302</v>
      </c>
      <c r="O100" s="317">
        <v>39</v>
      </c>
      <c r="P100" s="318">
        <v>39</v>
      </c>
      <c r="Q100" s="319">
        <v>39</v>
      </c>
      <c r="R100" s="321">
        <f>O100-Q100</f>
        <v>0</v>
      </c>
      <c r="S100" s="317">
        <v>0</v>
      </c>
      <c r="T100" s="318">
        <v>0</v>
      </c>
      <c r="U100" s="319">
        <v>0</v>
      </c>
      <c r="V100" s="321">
        <f>S100-U100</f>
        <v>0</v>
      </c>
      <c r="W100" s="356"/>
    </row>
    <row r="101" spans="1:217" s="42" customFormat="1" ht="13.5" thickBot="1">
      <c r="A101" s="166" t="s">
        <v>29</v>
      </c>
      <c r="B101" s="167">
        <f aca="true" t="shared" si="30" ref="B101:V101">SUM(B102:B102)</f>
        <v>203</v>
      </c>
      <c r="C101" s="165">
        <f t="shared" si="30"/>
        <v>203</v>
      </c>
      <c r="D101" s="165">
        <f t="shared" si="30"/>
        <v>169</v>
      </c>
      <c r="E101" s="165">
        <f t="shared" si="30"/>
        <v>150</v>
      </c>
      <c r="F101" s="165">
        <f t="shared" si="30"/>
        <v>0</v>
      </c>
      <c r="G101" s="165">
        <f t="shared" si="30"/>
        <v>100</v>
      </c>
      <c r="H101" s="165">
        <f t="shared" si="30"/>
        <v>250</v>
      </c>
      <c r="I101" s="29">
        <f t="shared" si="30"/>
        <v>122</v>
      </c>
      <c r="J101" s="167">
        <f t="shared" si="30"/>
        <v>105</v>
      </c>
      <c r="K101" s="165">
        <f t="shared" si="30"/>
        <v>105</v>
      </c>
      <c r="L101" s="165">
        <f t="shared" si="30"/>
        <v>13</v>
      </c>
      <c r="M101" s="165">
        <f t="shared" si="30"/>
        <v>0</v>
      </c>
      <c r="N101" s="29">
        <f t="shared" si="30"/>
        <v>118</v>
      </c>
      <c r="O101" s="167">
        <f t="shared" si="30"/>
        <v>236</v>
      </c>
      <c r="P101" s="165">
        <f t="shared" si="30"/>
        <v>236</v>
      </c>
      <c r="Q101" s="165">
        <f t="shared" si="30"/>
        <v>75</v>
      </c>
      <c r="R101" s="29">
        <f t="shared" si="30"/>
        <v>161</v>
      </c>
      <c r="S101" s="167">
        <f t="shared" si="30"/>
        <v>12</v>
      </c>
      <c r="T101" s="165">
        <f t="shared" si="30"/>
        <v>12</v>
      </c>
      <c r="U101" s="165">
        <f t="shared" si="30"/>
        <v>0</v>
      </c>
      <c r="V101" s="29">
        <f t="shared" si="30"/>
        <v>12</v>
      </c>
      <c r="W101" s="216"/>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7"/>
      <c r="BA101" s="217"/>
      <c r="BB101" s="217"/>
      <c r="BC101" s="217"/>
      <c r="BD101" s="217"/>
      <c r="BE101" s="217"/>
      <c r="BF101" s="217"/>
      <c r="BG101" s="217"/>
      <c r="BH101" s="217"/>
      <c r="BI101" s="217"/>
      <c r="BJ101" s="217"/>
      <c r="BK101" s="217"/>
      <c r="BL101" s="217"/>
      <c r="BM101" s="217"/>
      <c r="BN101" s="217"/>
      <c r="BO101" s="217"/>
      <c r="BP101" s="217"/>
      <c r="BQ101" s="217"/>
      <c r="BR101" s="217"/>
      <c r="BS101" s="217"/>
      <c r="BT101" s="217"/>
      <c r="BU101" s="217"/>
      <c r="BV101" s="217"/>
      <c r="BW101" s="217"/>
      <c r="BX101" s="217"/>
      <c r="BY101" s="217"/>
      <c r="BZ101" s="217"/>
      <c r="CA101" s="217"/>
      <c r="CB101" s="217"/>
      <c r="CC101" s="217"/>
      <c r="CD101" s="217"/>
      <c r="CE101" s="217"/>
      <c r="CF101" s="217"/>
      <c r="CG101" s="217"/>
      <c r="CH101" s="217"/>
      <c r="CI101" s="217"/>
      <c r="CJ101" s="217"/>
      <c r="CK101" s="217"/>
      <c r="CL101" s="217"/>
      <c r="CM101" s="217"/>
      <c r="CN101" s="217"/>
      <c r="CO101" s="217"/>
      <c r="CP101" s="217"/>
      <c r="CQ101" s="217"/>
      <c r="CR101" s="217"/>
      <c r="CS101" s="217"/>
      <c r="CT101" s="217"/>
      <c r="CU101" s="217"/>
      <c r="CV101" s="217"/>
      <c r="CW101" s="217"/>
      <c r="CX101" s="217"/>
      <c r="CY101" s="217"/>
      <c r="CZ101" s="217"/>
      <c r="DA101" s="217"/>
      <c r="DB101" s="217"/>
      <c r="DC101" s="217"/>
      <c r="DD101" s="217"/>
      <c r="DE101" s="217"/>
      <c r="DF101" s="217"/>
      <c r="DG101" s="217"/>
      <c r="DH101" s="217"/>
      <c r="DI101" s="217"/>
      <c r="DJ101" s="217"/>
      <c r="DK101" s="217"/>
      <c r="DL101" s="217"/>
      <c r="DM101" s="217"/>
      <c r="DN101" s="217"/>
      <c r="DO101" s="217"/>
      <c r="DP101" s="217"/>
      <c r="DQ101" s="217"/>
      <c r="DR101" s="217"/>
      <c r="DS101" s="217"/>
      <c r="DT101" s="217"/>
      <c r="DU101" s="217"/>
      <c r="DV101" s="217"/>
      <c r="DW101" s="217"/>
      <c r="DX101" s="217"/>
      <c r="DY101" s="217"/>
      <c r="DZ101" s="217"/>
      <c r="EA101" s="217"/>
      <c r="EB101" s="217"/>
      <c r="EC101" s="217"/>
      <c r="ED101" s="217"/>
      <c r="EE101" s="217"/>
      <c r="EF101" s="217"/>
      <c r="EG101" s="217"/>
      <c r="EH101" s="217"/>
      <c r="EI101" s="217"/>
      <c r="EJ101" s="217"/>
      <c r="EK101" s="217"/>
      <c r="EL101" s="217"/>
      <c r="EM101" s="217"/>
      <c r="EN101" s="217"/>
      <c r="EO101" s="217"/>
      <c r="EP101" s="217"/>
      <c r="EQ101" s="217"/>
      <c r="ER101" s="217"/>
      <c r="ES101" s="217"/>
      <c r="ET101" s="217"/>
      <c r="EU101" s="217"/>
      <c r="EV101" s="217"/>
      <c r="EW101" s="217"/>
      <c r="EX101" s="217"/>
      <c r="EY101" s="217"/>
      <c r="EZ101" s="217"/>
      <c r="FA101" s="217"/>
      <c r="FB101" s="217"/>
      <c r="FC101" s="217"/>
      <c r="FD101" s="217"/>
      <c r="FE101" s="217"/>
      <c r="FF101" s="217"/>
      <c r="FG101" s="217"/>
      <c r="FH101" s="217"/>
      <c r="FI101" s="217"/>
      <c r="FJ101" s="217"/>
      <c r="FK101" s="217"/>
      <c r="FL101" s="217"/>
      <c r="FM101" s="217"/>
      <c r="FN101" s="217"/>
      <c r="FO101" s="217"/>
      <c r="FP101" s="217"/>
      <c r="FQ101" s="217"/>
      <c r="FR101" s="217"/>
      <c r="FS101" s="217"/>
      <c r="FT101" s="217"/>
      <c r="FU101" s="217"/>
      <c r="FV101" s="217"/>
      <c r="FW101" s="217"/>
      <c r="FX101" s="217"/>
      <c r="FY101" s="217"/>
      <c r="FZ101" s="217"/>
      <c r="GA101" s="217"/>
      <c r="GB101" s="217"/>
      <c r="GC101" s="217"/>
      <c r="GD101" s="217"/>
      <c r="GE101" s="217"/>
      <c r="GF101" s="217"/>
      <c r="GG101" s="217"/>
      <c r="GH101" s="217"/>
      <c r="GI101" s="217"/>
      <c r="GJ101" s="217"/>
      <c r="GK101" s="217"/>
      <c r="GL101" s="217"/>
      <c r="GM101" s="217"/>
      <c r="GN101" s="217"/>
      <c r="GO101" s="217"/>
      <c r="GP101" s="217"/>
      <c r="GQ101" s="217"/>
      <c r="GR101" s="217"/>
      <c r="GS101" s="217"/>
      <c r="GT101" s="217"/>
      <c r="GU101" s="217"/>
      <c r="GV101" s="217"/>
      <c r="GW101" s="217"/>
      <c r="GX101" s="217"/>
      <c r="GY101" s="217"/>
      <c r="GZ101" s="217"/>
      <c r="HA101" s="217"/>
      <c r="HB101" s="217"/>
      <c r="HC101" s="217"/>
      <c r="HD101" s="217"/>
      <c r="HE101" s="217"/>
      <c r="HF101" s="217"/>
      <c r="HG101" s="217"/>
      <c r="HH101" s="217"/>
      <c r="HI101" s="217"/>
    </row>
    <row r="102" spans="1:217" s="219" customFormat="1" ht="13.5" thickBot="1">
      <c r="A102" s="244" t="s">
        <v>116</v>
      </c>
      <c r="B102" s="175">
        <v>203</v>
      </c>
      <c r="C102" s="177">
        <v>203</v>
      </c>
      <c r="D102" s="177">
        <v>169</v>
      </c>
      <c r="E102" s="177">
        <v>150</v>
      </c>
      <c r="F102" s="177">
        <v>0</v>
      </c>
      <c r="G102" s="177">
        <v>100</v>
      </c>
      <c r="H102" s="177">
        <f>150+100</f>
        <v>250</v>
      </c>
      <c r="I102" s="70">
        <f>B102+D102-H102</f>
        <v>122</v>
      </c>
      <c r="J102" s="175">
        <v>105</v>
      </c>
      <c r="K102" s="176">
        <v>105</v>
      </c>
      <c r="L102" s="176">
        <v>13</v>
      </c>
      <c r="M102" s="177">
        <v>0</v>
      </c>
      <c r="N102" s="178">
        <f>J102+L102-M102</f>
        <v>118</v>
      </c>
      <c r="O102" s="262">
        <f>176+60</f>
        <v>236</v>
      </c>
      <c r="P102" s="263">
        <v>236</v>
      </c>
      <c r="Q102" s="264">
        <v>75</v>
      </c>
      <c r="R102" s="265">
        <f>O102-Q102</f>
        <v>161</v>
      </c>
      <c r="S102" s="175">
        <f>9+3</f>
        <v>12</v>
      </c>
      <c r="T102" s="177">
        <v>12</v>
      </c>
      <c r="U102" s="177">
        <v>0</v>
      </c>
      <c r="V102" s="70">
        <f>S102-U102</f>
        <v>12</v>
      </c>
      <c r="W102" s="266"/>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7"/>
      <c r="AS102" s="267"/>
      <c r="AT102" s="267"/>
      <c r="AU102" s="267"/>
      <c r="AV102" s="267"/>
      <c r="AW102" s="267"/>
      <c r="AX102" s="267"/>
      <c r="AY102" s="267"/>
      <c r="AZ102" s="267"/>
      <c r="BA102" s="267"/>
      <c r="BB102" s="267"/>
      <c r="BC102" s="267"/>
      <c r="BD102" s="267"/>
      <c r="BE102" s="267"/>
      <c r="BF102" s="267"/>
      <c r="BG102" s="267"/>
      <c r="BH102" s="267"/>
      <c r="BI102" s="267"/>
      <c r="BJ102" s="267"/>
      <c r="BK102" s="267"/>
      <c r="BL102" s="267"/>
      <c r="BM102" s="267"/>
      <c r="BN102" s="267"/>
      <c r="BO102" s="267"/>
      <c r="BP102" s="267"/>
      <c r="BQ102" s="267"/>
      <c r="BR102" s="267"/>
      <c r="BS102" s="267"/>
      <c r="BT102" s="267"/>
      <c r="BU102" s="267"/>
      <c r="BV102" s="267"/>
      <c r="BW102" s="267"/>
      <c r="BX102" s="267"/>
      <c r="BY102" s="267"/>
      <c r="BZ102" s="267"/>
      <c r="CA102" s="267"/>
      <c r="CB102" s="267"/>
      <c r="CC102" s="267"/>
      <c r="CD102" s="267"/>
      <c r="CE102" s="267"/>
      <c r="CF102" s="267"/>
      <c r="CG102" s="267"/>
      <c r="CH102" s="267"/>
      <c r="CI102" s="267"/>
      <c r="CJ102" s="267"/>
      <c r="CK102" s="267"/>
      <c r="CL102" s="267"/>
      <c r="CM102" s="267"/>
      <c r="CN102" s="267"/>
      <c r="CO102" s="267"/>
      <c r="CP102" s="267"/>
      <c r="CQ102" s="267"/>
      <c r="CR102" s="267"/>
      <c r="CS102" s="267"/>
      <c r="CT102" s="267"/>
      <c r="CU102" s="267"/>
      <c r="CV102" s="267"/>
      <c r="CW102" s="267"/>
      <c r="CX102" s="267"/>
      <c r="CY102" s="267"/>
      <c r="CZ102" s="267"/>
      <c r="DA102" s="267"/>
      <c r="DB102" s="267"/>
      <c r="DC102" s="267"/>
      <c r="DD102" s="267"/>
      <c r="DE102" s="267"/>
      <c r="DF102" s="267"/>
      <c r="DG102" s="267"/>
      <c r="DH102" s="267"/>
      <c r="DI102" s="267"/>
      <c r="DJ102" s="267"/>
      <c r="DK102" s="267"/>
      <c r="DL102" s="267"/>
      <c r="DM102" s="267"/>
      <c r="DN102" s="267"/>
      <c r="DO102" s="267"/>
      <c r="DP102" s="267"/>
      <c r="DQ102" s="267"/>
      <c r="DR102" s="267"/>
      <c r="DS102" s="267"/>
      <c r="DT102" s="267"/>
      <c r="DU102" s="267"/>
      <c r="DV102" s="267"/>
      <c r="DW102" s="267"/>
      <c r="DX102" s="267"/>
      <c r="DY102" s="267"/>
      <c r="DZ102" s="267"/>
      <c r="EA102" s="267"/>
      <c r="EB102" s="267"/>
      <c r="EC102" s="267"/>
      <c r="ED102" s="267"/>
      <c r="EE102" s="267"/>
      <c r="EF102" s="267"/>
      <c r="EG102" s="267"/>
      <c r="EH102" s="267"/>
      <c r="EI102" s="267"/>
      <c r="EJ102" s="267"/>
      <c r="EK102" s="267"/>
      <c r="EL102" s="267"/>
      <c r="EM102" s="267"/>
      <c r="EN102" s="267"/>
      <c r="EO102" s="267"/>
      <c r="EP102" s="267"/>
      <c r="EQ102" s="267"/>
      <c r="ER102" s="267"/>
      <c r="ES102" s="267"/>
      <c r="ET102" s="267"/>
      <c r="EU102" s="267"/>
      <c r="EV102" s="267"/>
      <c r="EW102" s="267"/>
      <c r="EX102" s="267"/>
      <c r="EY102" s="267"/>
      <c r="EZ102" s="267"/>
      <c r="FA102" s="267"/>
      <c r="FB102" s="267"/>
      <c r="FC102" s="267"/>
      <c r="FD102" s="267"/>
      <c r="FE102" s="267"/>
      <c r="FF102" s="267"/>
      <c r="FG102" s="267"/>
      <c r="FH102" s="267"/>
      <c r="FI102" s="267"/>
      <c r="FJ102" s="267"/>
      <c r="FK102" s="267"/>
      <c r="FL102" s="267"/>
      <c r="FM102" s="267"/>
      <c r="FN102" s="267"/>
      <c r="FO102" s="267"/>
      <c r="FP102" s="267"/>
      <c r="FQ102" s="267"/>
      <c r="FR102" s="267"/>
      <c r="FS102" s="267"/>
      <c r="FT102" s="267"/>
      <c r="FU102" s="267"/>
      <c r="FV102" s="267"/>
      <c r="FW102" s="267"/>
      <c r="FX102" s="267"/>
      <c r="FY102" s="267"/>
      <c r="FZ102" s="267"/>
      <c r="GA102" s="267"/>
      <c r="GB102" s="267"/>
      <c r="GC102" s="267"/>
      <c r="GD102" s="267"/>
      <c r="GE102" s="267"/>
      <c r="GF102" s="267"/>
      <c r="GG102" s="267"/>
      <c r="GH102" s="267"/>
      <c r="GI102" s="267"/>
      <c r="GJ102" s="267"/>
      <c r="GK102" s="267"/>
      <c r="GL102" s="267"/>
      <c r="GM102" s="267"/>
      <c r="GN102" s="267"/>
      <c r="GO102" s="267"/>
      <c r="GP102" s="267"/>
      <c r="GQ102" s="267"/>
      <c r="GR102" s="267"/>
      <c r="GS102" s="267"/>
      <c r="GT102" s="267"/>
      <c r="GU102" s="267"/>
      <c r="GV102" s="267"/>
      <c r="GW102" s="267"/>
      <c r="GX102" s="267"/>
      <c r="GY102" s="267"/>
      <c r="GZ102" s="267"/>
      <c r="HA102" s="267"/>
      <c r="HB102" s="267"/>
      <c r="HC102" s="267"/>
      <c r="HD102" s="267"/>
      <c r="HE102" s="267"/>
      <c r="HF102" s="267"/>
      <c r="HG102" s="267"/>
      <c r="HH102" s="267"/>
      <c r="HI102" s="267"/>
    </row>
    <row r="103" spans="1:35" ht="13.5" thickBot="1">
      <c r="A103" s="268" t="s">
        <v>55</v>
      </c>
      <c r="B103" s="242">
        <f>SUM(B104)</f>
        <v>204</v>
      </c>
      <c r="C103" s="243">
        <f aca="true" t="shared" si="31" ref="C103:V103">SUM(C104)</f>
        <v>204</v>
      </c>
      <c r="D103" s="243">
        <f t="shared" si="31"/>
        <v>110</v>
      </c>
      <c r="E103" s="243">
        <f t="shared" si="31"/>
        <v>0</v>
      </c>
      <c r="F103" s="243">
        <f t="shared" si="31"/>
        <v>0</v>
      </c>
      <c r="G103" s="243">
        <f t="shared" si="31"/>
        <v>0</v>
      </c>
      <c r="H103" s="243">
        <f t="shared" si="31"/>
        <v>0</v>
      </c>
      <c r="I103" s="102">
        <f t="shared" si="31"/>
        <v>314</v>
      </c>
      <c r="J103" s="242">
        <f t="shared" si="31"/>
        <v>2319</v>
      </c>
      <c r="K103" s="243">
        <f t="shared" si="31"/>
        <v>2319</v>
      </c>
      <c r="L103" s="243">
        <f t="shared" si="31"/>
        <v>1837</v>
      </c>
      <c r="M103" s="243">
        <f t="shared" si="31"/>
        <v>2119</v>
      </c>
      <c r="N103" s="102">
        <f t="shared" si="31"/>
        <v>2037</v>
      </c>
      <c r="O103" s="242">
        <f t="shared" si="31"/>
        <v>72</v>
      </c>
      <c r="P103" s="243">
        <f t="shared" si="31"/>
        <v>72</v>
      </c>
      <c r="Q103" s="243">
        <f t="shared" si="31"/>
        <v>45</v>
      </c>
      <c r="R103" s="102">
        <f t="shared" si="31"/>
        <v>27</v>
      </c>
      <c r="S103" s="242">
        <f t="shared" si="31"/>
        <v>49</v>
      </c>
      <c r="T103" s="243">
        <f t="shared" si="31"/>
        <v>49</v>
      </c>
      <c r="U103" s="243">
        <f t="shared" si="31"/>
        <v>20</v>
      </c>
      <c r="V103" s="102">
        <f t="shared" si="31"/>
        <v>29</v>
      </c>
      <c r="W103" s="193"/>
      <c r="X103" s="86"/>
      <c r="Y103" s="86"/>
      <c r="Z103" s="86"/>
      <c r="AA103" s="86"/>
      <c r="AB103" s="86"/>
      <c r="AC103" s="86"/>
      <c r="AD103" s="86"/>
      <c r="AE103" s="86"/>
      <c r="AF103" s="86"/>
      <c r="AG103" s="86"/>
      <c r="AH103" s="86"/>
      <c r="AI103" s="86"/>
    </row>
    <row r="104" spans="1:35" ht="13.5" thickBot="1">
      <c r="A104" s="362" t="s">
        <v>133</v>
      </c>
      <c r="B104" s="355">
        <v>204</v>
      </c>
      <c r="C104" s="343">
        <v>204</v>
      </c>
      <c r="D104" s="343">
        <v>110</v>
      </c>
      <c r="E104" s="343">
        <v>0</v>
      </c>
      <c r="F104" s="343">
        <v>0</v>
      </c>
      <c r="G104" s="343">
        <v>0</v>
      </c>
      <c r="H104" s="343">
        <v>0</v>
      </c>
      <c r="I104" s="344">
        <f>B104+D104-H104</f>
        <v>314</v>
      </c>
      <c r="J104" s="355">
        <v>2319</v>
      </c>
      <c r="K104" s="342">
        <v>2319</v>
      </c>
      <c r="L104" s="342">
        <v>1837</v>
      </c>
      <c r="M104" s="343">
        <v>2119</v>
      </c>
      <c r="N104" s="345">
        <f>J104+L104-M104</f>
        <v>2037</v>
      </c>
      <c r="O104" s="355">
        <f>29+43</f>
        <v>72</v>
      </c>
      <c r="P104" s="342">
        <v>72</v>
      </c>
      <c r="Q104" s="343">
        <v>45</v>
      </c>
      <c r="R104" s="344">
        <f>O104-Q104</f>
        <v>27</v>
      </c>
      <c r="S104" s="355">
        <v>49</v>
      </c>
      <c r="T104" s="343">
        <v>49</v>
      </c>
      <c r="U104" s="343">
        <v>20</v>
      </c>
      <c r="V104" s="344">
        <f>S104-U104</f>
        <v>29</v>
      </c>
      <c r="W104" s="363"/>
      <c r="X104" s="364"/>
      <c r="Y104" s="364"/>
      <c r="Z104" s="364"/>
      <c r="AA104" s="364"/>
      <c r="AB104" s="364"/>
      <c r="AC104" s="364"/>
      <c r="AD104" s="364"/>
      <c r="AE104" s="364"/>
      <c r="AF104" s="364"/>
      <c r="AG104" s="364"/>
      <c r="AH104" s="364"/>
      <c r="AI104" s="364"/>
    </row>
    <row r="105" spans="1:35" ht="13.5" thickBot="1">
      <c r="A105" s="268" t="s">
        <v>30</v>
      </c>
      <c r="B105" s="167">
        <f aca="true" t="shared" si="32" ref="B105:V105">SUM(B106:B106)</f>
        <v>292</v>
      </c>
      <c r="C105" s="165">
        <f t="shared" si="32"/>
        <v>292</v>
      </c>
      <c r="D105" s="165">
        <f t="shared" si="32"/>
        <v>123</v>
      </c>
      <c r="E105" s="165">
        <f t="shared" si="32"/>
        <v>0</v>
      </c>
      <c r="F105" s="165">
        <f t="shared" si="32"/>
        <v>0</v>
      </c>
      <c r="G105" s="165">
        <f t="shared" si="32"/>
        <v>250</v>
      </c>
      <c r="H105" s="165">
        <f t="shared" si="32"/>
        <v>279</v>
      </c>
      <c r="I105" s="29">
        <f t="shared" si="32"/>
        <v>136</v>
      </c>
      <c r="J105" s="167">
        <f t="shared" si="32"/>
        <v>26</v>
      </c>
      <c r="K105" s="165">
        <f t="shared" si="32"/>
        <v>26</v>
      </c>
      <c r="L105" s="165">
        <f t="shared" si="32"/>
        <v>1</v>
      </c>
      <c r="M105" s="165">
        <f t="shared" si="32"/>
        <v>20</v>
      </c>
      <c r="N105" s="29">
        <f t="shared" si="32"/>
        <v>7</v>
      </c>
      <c r="O105" s="167">
        <f t="shared" si="32"/>
        <v>49</v>
      </c>
      <c r="P105" s="165">
        <f t="shared" si="32"/>
        <v>49</v>
      </c>
      <c r="Q105" s="165">
        <f t="shared" si="32"/>
        <v>36</v>
      </c>
      <c r="R105" s="29">
        <f t="shared" si="32"/>
        <v>13</v>
      </c>
      <c r="S105" s="167">
        <f t="shared" si="32"/>
        <v>3</v>
      </c>
      <c r="T105" s="165">
        <f t="shared" si="32"/>
        <v>3</v>
      </c>
      <c r="U105" s="165">
        <f t="shared" si="32"/>
        <v>0</v>
      </c>
      <c r="V105" s="29">
        <f t="shared" si="32"/>
        <v>3</v>
      </c>
      <c r="W105" s="193"/>
      <c r="X105" s="86"/>
      <c r="Y105" s="86"/>
      <c r="Z105" s="86"/>
      <c r="AA105" s="86"/>
      <c r="AB105" s="86"/>
      <c r="AC105" s="86"/>
      <c r="AD105" s="86"/>
      <c r="AE105" s="86"/>
      <c r="AF105" s="86"/>
      <c r="AG105" s="86"/>
      <c r="AH105" s="86"/>
      <c r="AI105" s="86"/>
    </row>
    <row r="106" spans="1:35" s="40" customFormat="1" ht="13.5" thickBot="1">
      <c r="A106" s="245" t="s">
        <v>9</v>
      </c>
      <c r="B106" s="168">
        <v>292</v>
      </c>
      <c r="C106" s="170">
        <v>292</v>
      </c>
      <c r="D106" s="170">
        <v>123</v>
      </c>
      <c r="E106" s="170">
        <v>0</v>
      </c>
      <c r="F106" s="170">
        <v>0</v>
      </c>
      <c r="G106" s="170">
        <v>250</v>
      </c>
      <c r="H106" s="170">
        <f>250+29</f>
        <v>279</v>
      </c>
      <c r="I106" s="38">
        <f>B106+D106-H106</f>
        <v>136</v>
      </c>
      <c r="J106" s="168">
        <v>26</v>
      </c>
      <c r="K106" s="170">
        <v>26</v>
      </c>
      <c r="L106" s="170">
        <v>1</v>
      </c>
      <c r="M106" s="170">
        <v>20</v>
      </c>
      <c r="N106" s="38">
        <f>J106+L106-M106</f>
        <v>7</v>
      </c>
      <c r="O106" s="168">
        <f>22+27</f>
        <v>49</v>
      </c>
      <c r="P106" s="170">
        <v>49</v>
      </c>
      <c r="Q106" s="170">
        <v>36</v>
      </c>
      <c r="R106" s="38">
        <f>O106-Q106</f>
        <v>13</v>
      </c>
      <c r="S106" s="168">
        <v>3</v>
      </c>
      <c r="T106" s="170">
        <v>3</v>
      </c>
      <c r="U106" s="170">
        <v>0</v>
      </c>
      <c r="V106" s="38">
        <f>S106-U106</f>
        <v>3</v>
      </c>
      <c r="W106" s="240"/>
      <c r="X106" s="179"/>
      <c r="Y106" s="179"/>
      <c r="Z106" s="179"/>
      <c r="AA106" s="179"/>
      <c r="AB106" s="179"/>
      <c r="AC106" s="179"/>
      <c r="AD106" s="179"/>
      <c r="AE106" s="179"/>
      <c r="AF106" s="179"/>
      <c r="AG106" s="179"/>
      <c r="AH106" s="179"/>
      <c r="AI106" s="179"/>
    </row>
    <row r="107" spans="1:35" ht="13.5" thickBot="1">
      <c r="A107" s="268" t="s">
        <v>31</v>
      </c>
      <c r="B107" s="167">
        <f>SUM(B108:B116)</f>
        <v>2536</v>
      </c>
      <c r="C107" s="165">
        <f aca="true" t="shared" si="33" ref="C107:V107">SUM(C108:C116)</f>
        <v>2536</v>
      </c>
      <c r="D107" s="165">
        <f t="shared" si="33"/>
        <v>1987</v>
      </c>
      <c r="E107" s="165">
        <f t="shared" si="33"/>
        <v>590</v>
      </c>
      <c r="F107" s="165">
        <f t="shared" si="33"/>
        <v>0</v>
      </c>
      <c r="G107" s="165">
        <f t="shared" si="33"/>
        <v>877</v>
      </c>
      <c r="H107" s="165">
        <f t="shared" si="33"/>
        <v>2268</v>
      </c>
      <c r="I107" s="29">
        <f t="shared" si="33"/>
        <v>2255</v>
      </c>
      <c r="J107" s="167">
        <f t="shared" si="33"/>
        <v>1705</v>
      </c>
      <c r="K107" s="165">
        <f t="shared" si="33"/>
        <v>1705</v>
      </c>
      <c r="L107" s="165">
        <f t="shared" si="33"/>
        <v>649</v>
      </c>
      <c r="M107" s="165">
        <f t="shared" si="33"/>
        <v>1260</v>
      </c>
      <c r="N107" s="29">
        <f t="shared" si="33"/>
        <v>1094</v>
      </c>
      <c r="O107" s="167">
        <f t="shared" si="33"/>
        <v>1408</v>
      </c>
      <c r="P107" s="165">
        <f t="shared" si="33"/>
        <v>1352</v>
      </c>
      <c r="Q107" s="165">
        <f t="shared" si="33"/>
        <v>963</v>
      </c>
      <c r="R107" s="29">
        <f t="shared" si="33"/>
        <v>445</v>
      </c>
      <c r="S107" s="167">
        <f t="shared" si="33"/>
        <v>136</v>
      </c>
      <c r="T107" s="165">
        <f t="shared" si="33"/>
        <v>136</v>
      </c>
      <c r="U107" s="165">
        <f t="shared" si="33"/>
        <v>9</v>
      </c>
      <c r="V107" s="29">
        <f t="shared" si="33"/>
        <v>127</v>
      </c>
      <c r="W107" s="193"/>
      <c r="X107" s="86"/>
      <c r="Y107" s="86"/>
      <c r="Z107" s="86"/>
      <c r="AA107" s="270"/>
      <c r="AB107" s="86"/>
      <c r="AC107" s="86"/>
      <c r="AD107" s="86"/>
      <c r="AE107" s="86"/>
      <c r="AF107" s="86"/>
      <c r="AG107" s="86"/>
      <c r="AH107" s="86"/>
      <c r="AI107" s="86"/>
    </row>
    <row r="108" spans="1:35" s="40" customFormat="1" ht="12.75">
      <c r="A108" s="271" t="s">
        <v>46</v>
      </c>
      <c r="B108" s="175">
        <v>147</v>
      </c>
      <c r="C108" s="177">
        <v>147</v>
      </c>
      <c r="D108" s="177">
        <v>244</v>
      </c>
      <c r="E108" s="177">
        <v>300</v>
      </c>
      <c r="F108" s="177">
        <v>0</v>
      </c>
      <c r="G108" s="177">
        <v>0</v>
      </c>
      <c r="H108" s="177">
        <v>391</v>
      </c>
      <c r="I108" s="70">
        <f aca="true" t="shared" si="34" ref="I108:I116">B108+D108-H108</f>
        <v>0</v>
      </c>
      <c r="J108" s="175">
        <f>40+105</f>
        <v>145</v>
      </c>
      <c r="K108" s="177">
        <v>145</v>
      </c>
      <c r="L108" s="177">
        <f>5+250</f>
        <v>255</v>
      </c>
      <c r="M108" s="177">
        <v>300</v>
      </c>
      <c r="N108" s="70">
        <f aca="true" t="shared" si="35" ref="N108:N115">J108+L108-M108</f>
        <v>100</v>
      </c>
      <c r="O108" s="175">
        <f>39+55</f>
        <v>94</v>
      </c>
      <c r="P108" s="177">
        <v>86</v>
      </c>
      <c r="Q108" s="177">
        <v>81</v>
      </c>
      <c r="R108" s="70">
        <f>O108-Q108</f>
        <v>13</v>
      </c>
      <c r="S108" s="175">
        <v>23</v>
      </c>
      <c r="T108" s="177">
        <v>23</v>
      </c>
      <c r="U108" s="177">
        <v>0</v>
      </c>
      <c r="V108" s="70">
        <f aca="true" t="shared" si="36" ref="V108:V115">S108-U108</f>
        <v>23</v>
      </c>
      <c r="W108" s="240"/>
      <c r="X108" s="179"/>
      <c r="Y108" s="179"/>
      <c r="Z108" s="179"/>
      <c r="AA108" s="179"/>
      <c r="AB108" s="179"/>
      <c r="AC108" s="179"/>
      <c r="AD108" s="179"/>
      <c r="AE108" s="179"/>
      <c r="AF108" s="179"/>
      <c r="AG108" s="179"/>
      <c r="AH108" s="179"/>
      <c r="AI108" s="179"/>
    </row>
    <row r="109" spans="1:35" s="40" customFormat="1" ht="12.75">
      <c r="A109" s="245" t="s">
        <v>47</v>
      </c>
      <c r="B109" s="168">
        <v>149</v>
      </c>
      <c r="C109" s="170">
        <v>149</v>
      </c>
      <c r="D109" s="170">
        <v>160</v>
      </c>
      <c r="E109" s="170">
        <v>0</v>
      </c>
      <c r="F109" s="170">
        <v>0</v>
      </c>
      <c r="G109" s="170">
        <v>0</v>
      </c>
      <c r="H109" s="170">
        <v>80</v>
      </c>
      <c r="I109" s="38">
        <f t="shared" si="34"/>
        <v>229</v>
      </c>
      <c r="J109" s="168">
        <v>58</v>
      </c>
      <c r="K109" s="170">
        <v>58</v>
      </c>
      <c r="L109" s="170">
        <v>8</v>
      </c>
      <c r="M109" s="170">
        <v>0</v>
      </c>
      <c r="N109" s="38">
        <f t="shared" si="35"/>
        <v>66</v>
      </c>
      <c r="O109" s="168">
        <f>233+40</f>
        <v>273</v>
      </c>
      <c r="P109" s="170">
        <v>249</v>
      </c>
      <c r="Q109" s="170">
        <v>60</v>
      </c>
      <c r="R109" s="38">
        <f aca="true" t="shared" si="37" ref="R109:R116">O109-Q109</f>
        <v>213</v>
      </c>
      <c r="S109" s="168">
        <v>6</v>
      </c>
      <c r="T109" s="170">
        <v>6</v>
      </c>
      <c r="U109" s="170">
        <v>0</v>
      </c>
      <c r="V109" s="38">
        <f t="shared" si="36"/>
        <v>6</v>
      </c>
      <c r="W109" s="240"/>
      <c r="X109" s="179"/>
      <c r="Y109" s="179"/>
      <c r="Z109" s="179"/>
      <c r="AA109" s="179"/>
      <c r="AB109" s="179"/>
      <c r="AC109" s="179"/>
      <c r="AD109" s="179"/>
      <c r="AE109" s="179"/>
      <c r="AF109" s="179"/>
      <c r="AG109" s="179"/>
      <c r="AH109" s="179"/>
      <c r="AI109" s="179"/>
    </row>
    <row r="110" spans="1:35" s="40" customFormat="1" ht="12.75">
      <c r="A110" s="141" t="s">
        <v>48</v>
      </c>
      <c r="B110" s="168">
        <v>441</v>
      </c>
      <c r="C110" s="170">
        <v>441</v>
      </c>
      <c r="D110" s="170">
        <v>302</v>
      </c>
      <c r="E110" s="170">
        <v>0</v>
      </c>
      <c r="F110" s="170">
        <v>0</v>
      </c>
      <c r="G110" s="170">
        <v>0</v>
      </c>
      <c r="H110" s="170">
        <v>86</v>
      </c>
      <c r="I110" s="38">
        <f t="shared" si="34"/>
        <v>657</v>
      </c>
      <c r="J110" s="168">
        <f>215+323</f>
        <v>538</v>
      </c>
      <c r="K110" s="170">
        <v>538</v>
      </c>
      <c r="L110" s="170">
        <f>16+80</f>
        <v>96</v>
      </c>
      <c r="M110" s="170">
        <v>180</v>
      </c>
      <c r="N110" s="38">
        <f t="shared" si="35"/>
        <v>454</v>
      </c>
      <c r="O110" s="168">
        <f>74+100</f>
        <v>174</v>
      </c>
      <c r="P110" s="170">
        <v>164</v>
      </c>
      <c r="Q110" s="170">
        <v>120</v>
      </c>
      <c r="R110" s="38">
        <f t="shared" si="37"/>
        <v>54</v>
      </c>
      <c r="S110" s="168">
        <v>95</v>
      </c>
      <c r="T110" s="170">
        <v>95</v>
      </c>
      <c r="U110" s="170">
        <v>0</v>
      </c>
      <c r="V110" s="38">
        <f t="shared" si="36"/>
        <v>95</v>
      </c>
      <c r="W110" s="240"/>
      <c r="X110" s="179"/>
      <c r="Y110" s="179"/>
      <c r="Z110" s="179"/>
      <c r="AA110" s="179"/>
      <c r="AB110" s="179"/>
      <c r="AC110" s="179"/>
      <c r="AD110" s="179"/>
      <c r="AE110" s="179"/>
      <c r="AF110" s="179"/>
      <c r="AG110" s="179"/>
      <c r="AH110" s="179"/>
      <c r="AI110" s="179"/>
    </row>
    <row r="111" spans="1:35" s="40" customFormat="1" ht="12.75">
      <c r="A111" s="245" t="s">
        <v>49</v>
      </c>
      <c r="B111" s="168">
        <v>306</v>
      </c>
      <c r="C111" s="170">
        <v>306</v>
      </c>
      <c r="D111" s="170">
        <v>346</v>
      </c>
      <c r="E111" s="170">
        <v>130</v>
      </c>
      <c r="F111" s="170">
        <v>0</v>
      </c>
      <c r="G111" s="170">
        <v>0</v>
      </c>
      <c r="H111" s="170">
        <v>288</v>
      </c>
      <c r="I111" s="38">
        <f t="shared" si="34"/>
        <v>364</v>
      </c>
      <c r="J111" s="168">
        <v>87</v>
      </c>
      <c r="K111" s="170">
        <v>87</v>
      </c>
      <c r="L111" s="170">
        <v>113</v>
      </c>
      <c r="M111" s="170">
        <v>200</v>
      </c>
      <c r="N111" s="38">
        <f t="shared" si="35"/>
        <v>0</v>
      </c>
      <c r="O111" s="168">
        <f>61+70</f>
        <v>131</v>
      </c>
      <c r="P111" s="170">
        <v>131</v>
      </c>
      <c r="Q111" s="170">
        <v>131</v>
      </c>
      <c r="R111" s="38">
        <f t="shared" si="37"/>
        <v>0</v>
      </c>
      <c r="S111" s="168">
        <v>8</v>
      </c>
      <c r="T111" s="170">
        <v>8</v>
      </c>
      <c r="U111" s="170">
        <v>8</v>
      </c>
      <c r="V111" s="38">
        <f t="shared" si="36"/>
        <v>0</v>
      </c>
      <c r="W111" s="240"/>
      <c r="X111" s="179"/>
      <c r="Y111" s="179"/>
      <c r="Z111" s="179"/>
      <c r="AA111" s="179"/>
      <c r="AB111" s="179"/>
      <c r="AC111" s="179"/>
      <c r="AD111" s="179"/>
      <c r="AE111" s="179"/>
      <c r="AF111" s="179"/>
      <c r="AG111" s="179"/>
      <c r="AH111" s="179"/>
      <c r="AI111" s="179"/>
    </row>
    <row r="112" spans="1:35" s="40" customFormat="1" ht="12.75">
      <c r="A112" s="187" t="s">
        <v>50</v>
      </c>
      <c r="B112" s="168">
        <v>392</v>
      </c>
      <c r="C112" s="170">
        <v>392</v>
      </c>
      <c r="D112" s="170">
        <v>407</v>
      </c>
      <c r="E112" s="170">
        <v>160</v>
      </c>
      <c r="F112" s="170">
        <v>0</v>
      </c>
      <c r="G112" s="170">
        <v>302</v>
      </c>
      <c r="H112" s="170">
        <v>625</v>
      </c>
      <c r="I112" s="38">
        <f t="shared" si="34"/>
        <v>174</v>
      </c>
      <c r="J112" s="168">
        <v>150</v>
      </c>
      <c r="K112" s="170">
        <v>150</v>
      </c>
      <c r="L112" s="170">
        <v>2</v>
      </c>
      <c r="M112" s="170">
        <v>72</v>
      </c>
      <c r="N112" s="38">
        <f t="shared" si="35"/>
        <v>80</v>
      </c>
      <c r="O112" s="168">
        <f>180+60</f>
        <v>240</v>
      </c>
      <c r="P112" s="170">
        <v>240</v>
      </c>
      <c r="Q112" s="170">
        <v>231</v>
      </c>
      <c r="R112" s="38">
        <f t="shared" si="37"/>
        <v>9</v>
      </c>
      <c r="S112" s="168">
        <v>2</v>
      </c>
      <c r="T112" s="170">
        <v>2</v>
      </c>
      <c r="U112" s="170">
        <v>0</v>
      </c>
      <c r="V112" s="38">
        <f t="shared" si="36"/>
        <v>2</v>
      </c>
      <c r="W112" s="240"/>
      <c r="X112" s="179"/>
      <c r="Y112" s="179"/>
      <c r="Z112" s="179"/>
      <c r="AA112" s="179"/>
      <c r="AB112" s="179"/>
      <c r="AC112" s="179"/>
      <c r="AD112" s="179"/>
      <c r="AE112" s="179"/>
      <c r="AF112" s="179"/>
      <c r="AG112" s="179"/>
      <c r="AH112" s="179"/>
      <c r="AI112" s="179"/>
    </row>
    <row r="113" spans="1:35" s="40" customFormat="1" ht="12.75">
      <c r="A113" s="245" t="s">
        <v>51</v>
      </c>
      <c r="B113" s="168">
        <v>302</v>
      </c>
      <c r="C113" s="170">
        <v>302</v>
      </c>
      <c r="D113" s="170">
        <v>66</v>
      </c>
      <c r="E113" s="170">
        <v>0</v>
      </c>
      <c r="F113" s="170">
        <v>0</v>
      </c>
      <c r="G113" s="170">
        <v>0</v>
      </c>
      <c r="H113" s="170">
        <v>15</v>
      </c>
      <c r="I113" s="38">
        <f t="shared" si="34"/>
        <v>353</v>
      </c>
      <c r="J113" s="168">
        <f>4+248</f>
        <v>252</v>
      </c>
      <c r="K113" s="170">
        <v>252</v>
      </c>
      <c r="L113" s="170">
        <v>63</v>
      </c>
      <c r="M113" s="170">
        <v>100</v>
      </c>
      <c r="N113" s="38">
        <f t="shared" si="35"/>
        <v>215</v>
      </c>
      <c r="O113" s="168">
        <f>45+24</f>
        <v>69</v>
      </c>
      <c r="P113" s="170">
        <v>69</v>
      </c>
      <c r="Q113" s="170">
        <v>46</v>
      </c>
      <c r="R113" s="38">
        <f t="shared" si="37"/>
        <v>23</v>
      </c>
      <c r="S113" s="168">
        <v>0</v>
      </c>
      <c r="T113" s="170">
        <v>0</v>
      </c>
      <c r="U113" s="170">
        <v>0</v>
      </c>
      <c r="V113" s="38">
        <f t="shared" si="36"/>
        <v>0</v>
      </c>
      <c r="W113" s="240"/>
      <c r="X113" s="179"/>
      <c r="Y113" s="179"/>
      <c r="Z113" s="179"/>
      <c r="AA113" s="179"/>
      <c r="AB113" s="179"/>
      <c r="AC113" s="179"/>
      <c r="AD113" s="179"/>
      <c r="AE113" s="179"/>
      <c r="AF113" s="179"/>
      <c r="AG113" s="179"/>
      <c r="AH113" s="179"/>
      <c r="AI113" s="179"/>
    </row>
    <row r="114" spans="1:35" s="40" customFormat="1" ht="12.75">
      <c r="A114" s="182" t="s">
        <v>52</v>
      </c>
      <c r="B114" s="168">
        <v>670</v>
      </c>
      <c r="C114" s="170">
        <v>670</v>
      </c>
      <c r="D114" s="170">
        <v>259</v>
      </c>
      <c r="E114" s="170">
        <v>0</v>
      </c>
      <c r="F114" s="170">
        <v>0</v>
      </c>
      <c r="G114" s="170">
        <v>500</v>
      </c>
      <c r="H114" s="170">
        <v>620</v>
      </c>
      <c r="I114" s="38">
        <f t="shared" si="34"/>
        <v>309</v>
      </c>
      <c r="J114" s="168">
        <f>3+175</f>
        <v>178</v>
      </c>
      <c r="K114" s="170">
        <v>178</v>
      </c>
      <c r="L114" s="170">
        <v>74</v>
      </c>
      <c r="M114" s="170">
        <v>153</v>
      </c>
      <c r="N114" s="38">
        <f t="shared" si="35"/>
        <v>99</v>
      </c>
      <c r="O114" s="168">
        <f>216+40</f>
        <v>256</v>
      </c>
      <c r="P114" s="170">
        <v>256</v>
      </c>
      <c r="Q114" s="170">
        <v>170</v>
      </c>
      <c r="R114" s="38">
        <f t="shared" si="37"/>
        <v>86</v>
      </c>
      <c r="S114" s="168">
        <v>1</v>
      </c>
      <c r="T114" s="170">
        <v>1</v>
      </c>
      <c r="U114" s="170">
        <v>1</v>
      </c>
      <c r="V114" s="38">
        <f t="shared" si="36"/>
        <v>0</v>
      </c>
      <c r="W114" s="240"/>
      <c r="X114" s="179"/>
      <c r="Y114" s="179"/>
      <c r="Z114" s="179"/>
      <c r="AA114" s="179"/>
      <c r="AB114" s="179"/>
      <c r="AC114" s="179"/>
      <c r="AD114" s="179"/>
      <c r="AE114" s="179"/>
      <c r="AF114" s="179"/>
      <c r="AG114" s="179"/>
      <c r="AH114" s="179"/>
      <c r="AI114" s="179"/>
    </row>
    <row r="115" spans="1:35" s="40" customFormat="1" ht="12.75">
      <c r="A115" s="245" t="s">
        <v>59</v>
      </c>
      <c r="B115" s="168">
        <v>70</v>
      </c>
      <c r="C115" s="170">
        <v>70</v>
      </c>
      <c r="D115" s="170">
        <v>32</v>
      </c>
      <c r="E115" s="170">
        <v>0</v>
      </c>
      <c r="F115" s="170">
        <v>0</v>
      </c>
      <c r="G115" s="170">
        <v>0</v>
      </c>
      <c r="H115" s="170">
        <v>15</v>
      </c>
      <c r="I115" s="38">
        <f t="shared" si="34"/>
        <v>87</v>
      </c>
      <c r="J115" s="168">
        <f>2+142</f>
        <v>144</v>
      </c>
      <c r="K115" s="170">
        <v>144</v>
      </c>
      <c r="L115" s="170">
        <v>23</v>
      </c>
      <c r="M115" s="170">
        <v>155</v>
      </c>
      <c r="N115" s="38">
        <f t="shared" si="35"/>
        <v>12</v>
      </c>
      <c r="O115" s="168">
        <f>58+26</f>
        <v>84</v>
      </c>
      <c r="P115" s="170">
        <v>84</v>
      </c>
      <c r="Q115" s="170">
        <v>54</v>
      </c>
      <c r="R115" s="38">
        <f t="shared" si="37"/>
        <v>30</v>
      </c>
      <c r="S115" s="168">
        <v>1</v>
      </c>
      <c r="T115" s="170">
        <v>1</v>
      </c>
      <c r="U115" s="170">
        <v>0</v>
      </c>
      <c r="V115" s="38">
        <f t="shared" si="36"/>
        <v>1</v>
      </c>
      <c r="W115" s="240"/>
      <c r="X115" s="179"/>
      <c r="Y115" s="179"/>
      <c r="Z115" s="179"/>
      <c r="AA115" s="179"/>
      <c r="AB115" s="179"/>
      <c r="AC115" s="179"/>
      <c r="AD115" s="179"/>
      <c r="AE115" s="179"/>
      <c r="AF115" s="179"/>
      <c r="AG115" s="179"/>
      <c r="AH115" s="179"/>
      <c r="AI115" s="179"/>
    </row>
    <row r="116" spans="1:35" s="40" customFormat="1" ht="13.5" thickBot="1">
      <c r="A116" s="272" t="s">
        <v>53</v>
      </c>
      <c r="B116" s="205">
        <v>59</v>
      </c>
      <c r="C116" s="207">
        <v>59</v>
      </c>
      <c r="D116" s="207">
        <v>171</v>
      </c>
      <c r="E116" s="207">
        <v>0</v>
      </c>
      <c r="F116" s="207">
        <v>0</v>
      </c>
      <c r="G116" s="207">
        <v>75</v>
      </c>
      <c r="H116" s="207">
        <v>148</v>
      </c>
      <c r="I116" s="63">
        <f t="shared" si="34"/>
        <v>82</v>
      </c>
      <c r="J116" s="205">
        <f>122+31</f>
        <v>153</v>
      </c>
      <c r="K116" s="207">
        <v>153</v>
      </c>
      <c r="L116" s="207">
        <v>15</v>
      </c>
      <c r="M116" s="207">
        <f>54+46</f>
        <v>100</v>
      </c>
      <c r="N116" s="63">
        <f>J116+L116-M116</f>
        <v>68</v>
      </c>
      <c r="O116" s="205">
        <f>52+35</f>
        <v>87</v>
      </c>
      <c r="P116" s="207">
        <f>38+35</f>
        <v>73</v>
      </c>
      <c r="Q116" s="207">
        <v>70</v>
      </c>
      <c r="R116" s="63">
        <f t="shared" si="37"/>
        <v>17</v>
      </c>
      <c r="S116" s="205">
        <v>0</v>
      </c>
      <c r="T116" s="207">
        <v>0</v>
      </c>
      <c r="U116" s="207">
        <v>0</v>
      </c>
      <c r="V116" s="63">
        <f>S116-U116</f>
        <v>0</v>
      </c>
      <c r="W116" s="266"/>
      <c r="X116" s="179"/>
      <c r="Y116" s="179"/>
      <c r="Z116" s="179"/>
      <c r="AA116" s="179"/>
      <c r="AB116" s="179"/>
      <c r="AC116" s="179"/>
      <c r="AD116" s="179"/>
      <c r="AE116" s="179"/>
      <c r="AF116" s="179"/>
      <c r="AG116" s="179"/>
      <c r="AH116" s="179"/>
      <c r="AI116" s="179"/>
    </row>
    <row r="117" spans="1:35" s="40" customFormat="1" ht="12.75">
      <c r="A117" s="248"/>
      <c r="B117" s="210"/>
      <c r="C117" s="210"/>
      <c r="D117" s="210"/>
      <c r="E117" s="210"/>
      <c r="F117" s="210"/>
      <c r="G117" s="210"/>
      <c r="H117" s="210"/>
      <c r="I117" s="210"/>
      <c r="J117" s="210"/>
      <c r="K117" s="210"/>
      <c r="L117" s="210"/>
      <c r="M117" s="210"/>
      <c r="N117" s="210"/>
      <c r="O117" s="210"/>
      <c r="P117" s="210"/>
      <c r="Q117" s="210"/>
      <c r="R117" s="210"/>
      <c r="S117" s="210"/>
      <c r="T117" s="210"/>
      <c r="U117" s="210"/>
      <c r="V117" s="210"/>
      <c r="W117" s="267"/>
      <c r="X117" s="179"/>
      <c r="Y117" s="179"/>
      <c r="Z117" s="179"/>
      <c r="AA117" s="179"/>
      <c r="AB117" s="179"/>
      <c r="AC117" s="179"/>
      <c r="AD117" s="179"/>
      <c r="AE117" s="179"/>
      <c r="AF117" s="179"/>
      <c r="AG117" s="179"/>
      <c r="AH117" s="179"/>
      <c r="AI117" s="179"/>
    </row>
    <row r="118" spans="1:34" ht="20.25" customHeight="1" thickBot="1">
      <c r="A118" s="273" t="s">
        <v>201</v>
      </c>
      <c r="B118" s="162"/>
      <c r="C118" s="162"/>
      <c r="D118" s="162"/>
      <c r="E118" s="162"/>
      <c r="F118" s="162"/>
      <c r="G118" s="162"/>
      <c r="H118" s="162"/>
      <c r="I118" s="162"/>
      <c r="J118" s="162"/>
      <c r="K118" s="274"/>
      <c r="L118" s="162"/>
      <c r="M118" s="162"/>
      <c r="N118" s="162"/>
      <c r="O118" s="162"/>
      <c r="P118" s="162"/>
      <c r="Q118" s="162"/>
      <c r="R118" s="162"/>
      <c r="S118" s="162"/>
      <c r="T118" s="162"/>
      <c r="U118" s="162"/>
      <c r="V118" s="162"/>
      <c r="W118" s="16"/>
      <c r="X118" s="42"/>
      <c r="Y118" s="150"/>
      <c r="Z118" s="152"/>
      <c r="AA118" s="150"/>
      <c r="AC118" s="42"/>
      <c r="AH118" s="42"/>
    </row>
    <row r="119" spans="1:34" s="285" customFormat="1" ht="12.75">
      <c r="A119" s="315" t="s">
        <v>176</v>
      </c>
      <c r="B119" s="275"/>
      <c r="C119" s="629">
        <v>394</v>
      </c>
      <c r="D119" s="630"/>
      <c r="E119" s="277"/>
      <c r="F119" s="278"/>
      <c r="G119" s="279"/>
      <c r="H119" s="278"/>
      <c r="I119" s="276"/>
      <c r="J119" s="276"/>
      <c r="K119" s="277"/>
      <c r="L119" s="280"/>
      <c r="M119" s="281"/>
      <c r="N119" s="281"/>
      <c r="O119" s="620"/>
      <c r="P119" s="621"/>
      <c r="Q119" s="282"/>
      <c r="R119" s="282"/>
      <c r="S119" s="210"/>
      <c r="T119" s="210"/>
      <c r="U119" s="282"/>
      <c r="V119" s="283"/>
      <c r="W119" s="284"/>
      <c r="X119" s="17"/>
      <c r="Y119" s="150"/>
      <c r="Z119" s="152"/>
      <c r="AA119" s="150"/>
      <c r="AC119" s="17"/>
      <c r="AH119" s="17"/>
    </row>
    <row r="120" spans="1:34" s="285" customFormat="1" ht="12.75">
      <c r="A120" s="180"/>
      <c r="B120" s="286"/>
      <c r="C120" s="287"/>
      <c r="D120" s="288"/>
      <c r="E120" s="289"/>
      <c r="F120" s="290"/>
      <c r="G120" s="291"/>
      <c r="H120" s="292"/>
      <c r="I120" s="626"/>
      <c r="J120" s="627"/>
      <c r="K120" s="294"/>
      <c r="L120" s="295"/>
      <c r="M120" s="296"/>
      <c r="N120" s="296"/>
      <c r="O120" s="626"/>
      <c r="P120" s="628"/>
      <c r="Q120" s="282"/>
      <c r="R120" s="282"/>
      <c r="S120" s="210"/>
      <c r="T120" s="210"/>
      <c r="U120" s="282"/>
      <c r="V120" s="283"/>
      <c r="W120" s="284"/>
      <c r="X120" s="17"/>
      <c r="Y120" s="150"/>
      <c r="Z120" s="152"/>
      <c r="AA120" s="150"/>
      <c r="AC120" s="17"/>
      <c r="AH120" s="17"/>
    </row>
    <row r="121" spans="1:34" s="285" customFormat="1" ht="12.75">
      <c r="A121" s="313"/>
      <c r="B121" s="314"/>
      <c r="C121" s="292"/>
      <c r="D121" s="287"/>
      <c r="E121" s="297"/>
      <c r="F121" s="298"/>
      <c r="G121" s="299"/>
      <c r="H121" s="299"/>
      <c r="I121" s="287"/>
      <c r="J121" s="287"/>
      <c r="K121" s="294"/>
      <c r="L121" s="295"/>
      <c r="M121" s="296"/>
      <c r="N121" s="296"/>
      <c r="O121" s="293"/>
      <c r="P121" s="300"/>
      <c r="Q121" s="282"/>
      <c r="R121" s="282"/>
      <c r="S121" s="282"/>
      <c r="T121" s="282"/>
      <c r="U121" s="282"/>
      <c r="V121" s="282"/>
      <c r="W121" s="284"/>
      <c r="X121" s="17"/>
      <c r="Y121" s="150"/>
      <c r="Z121" s="152"/>
      <c r="AA121" s="150"/>
      <c r="AC121" s="17"/>
      <c r="AH121" s="17"/>
    </row>
    <row r="122" spans="1:34" s="285" customFormat="1" ht="12.75" customHeight="1">
      <c r="A122" s="141"/>
      <c r="B122" s="292"/>
      <c r="C122" s="292"/>
      <c r="D122" s="287"/>
      <c r="E122" s="289"/>
      <c r="F122" s="292"/>
      <c r="G122" s="291"/>
      <c r="H122" s="292"/>
      <c r="I122" s="287"/>
      <c r="J122" s="287"/>
      <c r="K122" s="301"/>
      <c r="L122" s="302"/>
      <c r="M122" s="302"/>
      <c r="N122" s="302"/>
      <c r="O122" s="302"/>
      <c r="P122" s="303"/>
      <c r="Q122" s="282"/>
      <c r="R122" s="282"/>
      <c r="S122" s="282"/>
      <c r="T122" s="282"/>
      <c r="U122" s="282"/>
      <c r="V122" s="282"/>
      <c r="W122" s="284"/>
      <c r="X122" s="17"/>
      <c r="Y122" s="150"/>
      <c r="Z122" s="152"/>
      <c r="AA122" s="150"/>
      <c r="AC122" s="17"/>
      <c r="AH122" s="17"/>
    </row>
    <row r="123" spans="1:34" s="285" customFormat="1" ht="12.75" customHeight="1" thickBot="1">
      <c r="A123" s="304"/>
      <c r="B123" s="305"/>
      <c r="C123" s="306"/>
      <c r="D123" s="307"/>
      <c r="E123" s="308"/>
      <c r="F123" s="305"/>
      <c r="G123" s="306"/>
      <c r="H123" s="309"/>
      <c r="I123" s="624"/>
      <c r="J123" s="625"/>
      <c r="K123" s="308"/>
      <c r="L123" s="306"/>
      <c r="M123" s="309"/>
      <c r="N123" s="309"/>
      <c r="O123" s="622"/>
      <c r="P123" s="623"/>
      <c r="Q123" s="282"/>
      <c r="R123" s="282"/>
      <c r="S123" s="282"/>
      <c r="T123" s="282"/>
      <c r="U123" s="282"/>
      <c r="V123" s="282"/>
      <c r="W123" s="284"/>
      <c r="X123" s="17"/>
      <c r="Y123" s="150"/>
      <c r="Z123" s="152"/>
      <c r="AA123" s="150"/>
      <c r="AC123" s="17"/>
      <c r="AH123" s="17"/>
    </row>
    <row r="124" spans="1:34" s="285" customFormat="1" ht="12.75" customHeight="1">
      <c r="A124" s="310"/>
      <c r="B124" s="283"/>
      <c r="C124" s="283"/>
      <c r="D124" s="152"/>
      <c r="E124" s="209"/>
      <c r="F124" s="311"/>
      <c r="G124" s="312"/>
      <c r="H124" s="283"/>
      <c r="I124" s="149"/>
      <c r="J124" s="149"/>
      <c r="K124" s="209"/>
      <c r="L124" s="312"/>
      <c r="M124" s="283"/>
      <c r="N124" s="283"/>
      <c r="O124" s="152"/>
      <c r="P124" s="150"/>
      <c r="Q124" s="282"/>
      <c r="R124" s="282"/>
      <c r="S124" s="282"/>
      <c r="T124" s="282"/>
      <c r="U124" s="282"/>
      <c r="V124" s="282"/>
      <c r="W124" s="284"/>
      <c r="X124" s="17"/>
      <c r="Y124" s="150"/>
      <c r="Z124" s="152"/>
      <c r="AA124" s="150"/>
      <c r="AC124" s="17"/>
      <c r="AH124" s="17"/>
    </row>
    <row r="125" spans="1:34" ht="18.75" thickBot="1">
      <c r="A125" s="423" t="s">
        <v>148</v>
      </c>
      <c r="B125" s="423"/>
      <c r="C125" s="423"/>
      <c r="D125" s="423"/>
      <c r="E125" s="423"/>
      <c r="F125" s="423"/>
      <c r="G125" s="423"/>
      <c r="H125" s="423"/>
      <c r="I125" s="423"/>
      <c r="J125" s="423"/>
      <c r="K125" s="423"/>
      <c r="L125" s="423"/>
      <c r="M125" s="423"/>
      <c r="N125" s="423"/>
      <c r="O125" s="423"/>
      <c r="P125" s="423"/>
      <c r="Q125" s="423"/>
      <c r="R125" s="423"/>
      <c r="S125" s="423"/>
      <c r="T125" s="423"/>
      <c r="U125" s="423"/>
      <c r="V125" s="423"/>
      <c r="W125" s="16"/>
      <c r="X125" s="17"/>
      <c r="Y125" s="451"/>
      <c r="Z125" s="452"/>
      <c r="AC125" s="17"/>
      <c r="AH125" s="17"/>
    </row>
    <row r="126" spans="1:34" ht="22.5">
      <c r="A126" s="18" t="s">
        <v>3</v>
      </c>
      <c r="B126" s="139" t="s">
        <v>89</v>
      </c>
      <c r="C126" s="139"/>
      <c r="D126" s="139"/>
      <c r="E126" s="139"/>
      <c r="F126" s="139"/>
      <c r="G126" s="140"/>
      <c r="H126" s="19" t="s">
        <v>32</v>
      </c>
      <c r="I126" s="424" t="s">
        <v>88</v>
      </c>
      <c r="J126" s="425"/>
      <c r="K126" s="425"/>
      <c r="L126" s="425"/>
      <c r="M126" s="425"/>
      <c r="N126" s="425"/>
      <c r="O126" s="425"/>
      <c r="P126" s="425"/>
      <c r="Q126" s="425"/>
      <c r="R126" s="425"/>
      <c r="S126" s="425"/>
      <c r="T126" s="425"/>
      <c r="U126" s="426"/>
      <c r="V126" s="20" t="s">
        <v>32</v>
      </c>
      <c r="W126" s="16"/>
      <c r="X126" s="17"/>
      <c r="Y126" s="451"/>
      <c r="Z126" s="452"/>
      <c r="AC126" s="17"/>
      <c r="AH126" s="17"/>
    </row>
    <row r="127" spans="1:34" ht="13.5" thickBot="1">
      <c r="A127" s="21"/>
      <c r="B127" s="22" t="s">
        <v>64</v>
      </c>
      <c r="C127" s="22"/>
      <c r="D127" s="22"/>
      <c r="E127" s="22"/>
      <c r="F127" s="22"/>
      <c r="G127" s="23"/>
      <c r="H127" s="24" t="s">
        <v>65</v>
      </c>
      <c r="I127" s="427"/>
      <c r="J127" s="428"/>
      <c r="K127" s="428"/>
      <c r="L127" s="428"/>
      <c r="M127" s="428"/>
      <c r="N127" s="428"/>
      <c r="O127" s="428"/>
      <c r="P127" s="428"/>
      <c r="Q127" s="428"/>
      <c r="R127" s="428"/>
      <c r="S127" s="428"/>
      <c r="T127" s="428"/>
      <c r="U127" s="429"/>
      <c r="V127" s="25" t="s">
        <v>66</v>
      </c>
      <c r="W127" s="16"/>
      <c r="X127" s="17"/>
      <c r="Y127" s="451"/>
      <c r="Z127" s="452"/>
      <c r="AC127" s="17"/>
      <c r="AH127" s="17"/>
    </row>
    <row r="128" spans="1:34" s="367" customFormat="1" ht="17.25" customHeight="1" thickBot="1">
      <c r="A128" s="164" t="s">
        <v>248</v>
      </c>
      <c r="B128" s="23"/>
      <c r="C128" s="365"/>
      <c r="D128" s="365"/>
      <c r="E128" s="365"/>
      <c r="F128" s="365"/>
      <c r="G128" s="365"/>
      <c r="H128" s="368">
        <f>H129+H144+H167+H193+H218+H220+H224+H230+H233+H241+H245+H243+H247</f>
        <v>11692</v>
      </c>
      <c r="I128" s="360"/>
      <c r="J128" s="361"/>
      <c r="K128" s="361"/>
      <c r="L128" s="361"/>
      <c r="M128" s="361"/>
      <c r="N128" s="361"/>
      <c r="O128" s="361"/>
      <c r="P128" s="361"/>
      <c r="Q128" s="361"/>
      <c r="R128" s="361"/>
      <c r="S128" s="361"/>
      <c r="T128" s="361"/>
      <c r="U128" s="361"/>
      <c r="V128" s="368">
        <f>V129+V144+V167+V193+V218+V220+V224+V230+V233+V241+V245+V243+V247</f>
        <v>29119</v>
      </c>
      <c r="W128" s="16"/>
      <c r="X128" s="42"/>
      <c r="Y128" s="83"/>
      <c r="Z128" s="366"/>
      <c r="AC128" s="42"/>
      <c r="AH128" s="42"/>
    </row>
    <row r="129" spans="1:34" ht="13.5" thickBot="1">
      <c r="A129" s="26" t="s">
        <v>17</v>
      </c>
      <c r="B129" s="27"/>
      <c r="C129" s="28"/>
      <c r="D129" s="28"/>
      <c r="E129" s="28"/>
      <c r="F129" s="28"/>
      <c r="G129" s="28"/>
      <c r="H129" s="29">
        <f>SUM(H130:H143)</f>
        <v>0</v>
      </c>
      <c r="I129" s="30"/>
      <c r="J129" s="28"/>
      <c r="K129" s="28"/>
      <c r="L129" s="28"/>
      <c r="M129" s="28"/>
      <c r="N129" s="28"/>
      <c r="O129" s="28"/>
      <c r="P129" s="28"/>
      <c r="Q129" s="28"/>
      <c r="R129" s="28"/>
      <c r="S129" s="28"/>
      <c r="T129" s="28"/>
      <c r="U129" s="28"/>
      <c r="V129" s="29">
        <f>SUM(V130:V143)</f>
        <v>502</v>
      </c>
      <c r="W129" s="16"/>
      <c r="X129" s="17"/>
      <c r="Y129" s="611"/>
      <c r="Z129" s="452"/>
      <c r="AC129" s="17"/>
      <c r="AH129" s="17"/>
    </row>
    <row r="130" spans="1:34" ht="12.75">
      <c r="A130" s="141" t="s">
        <v>107</v>
      </c>
      <c r="B130" s="32"/>
      <c r="C130" s="33"/>
      <c r="D130" s="33"/>
      <c r="E130" s="33"/>
      <c r="F130" s="33"/>
      <c r="G130" s="33"/>
      <c r="H130" s="34">
        <v>0</v>
      </c>
      <c r="I130" s="32"/>
      <c r="J130" s="33"/>
      <c r="K130" s="33"/>
      <c r="L130" s="33"/>
      <c r="M130" s="33"/>
      <c r="N130" s="33"/>
      <c r="O130" s="33"/>
      <c r="P130" s="33"/>
      <c r="Q130" s="33"/>
      <c r="R130" s="33"/>
      <c r="S130" s="33"/>
      <c r="T130" s="33"/>
      <c r="U130" s="33"/>
      <c r="V130" s="35">
        <v>0</v>
      </c>
      <c r="W130" s="16"/>
      <c r="X130" s="17"/>
      <c r="Y130" s="611"/>
      <c r="Z130" s="452"/>
      <c r="AC130" s="17"/>
      <c r="AH130" s="17"/>
    </row>
    <row r="131" spans="1:34" ht="12.75">
      <c r="A131" s="141" t="s">
        <v>117</v>
      </c>
      <c r="B131" s="32"/>
      <c r="C131" s="33"/>
      <c r="D131" s="33"/>
      <c r="E131" s="33"/>
      <c r="F131" s="33"/>
      <c r="G131" s="33"/>
      <c r="H131" s="34">
        <v>0</v>
      </c>
      <c r="I131" s="36"/>
      <c r="J131" s="33"/>
      <c r="K131" s="33"/>
      <c r="L131" s="33"/>
      <c r="M131" s="33"/>
      <c r="N131" s="33"/>
      <c r="O131" s="33"/>
      <c r="P131" s="33"/>
      <c r="Q131" s="33"/>
      <c r="R131" s="33"/>
      <c r="S131" s="33"/>
      <c r="T131" s="33"/>
      <c r="U131" s="33"/>
      <c r="V131" s="35">
        <v>0</v>
      </c>
      <c r="W131" s="16"/>
      <c r="X131" s="17"/>
      <c r="Y131" s="611"/>
      <c r="Z131" s="452"/>
      <c r="AC131" s="17"/>
      <c r="AH131" s="17"/>
    </row>
    <row r="132" spans="1:34" ht="12.75">
      <c r="A132" s="173" t="s">
        <v>45</v>
      </c>
      <c r="B132" s="32"/>
      <c r="C132" s="33"/>
      <c r="D132" s="33"/>
      <c r="E132" s="33"/>
      <c r="F132" s="33"/>
      <c r="G132" s="33"/>
      <c r="H132" s="34">
        <v>0</v>
      </c>
      <c r="I132" s="36"/>
      <c r="J132" s="33"/>
      <c r="K132" s="33"/>
      <c r="L132" s="33"/>
      <c r="M132" s="33"/>
      <c r="N132" s="33"/>
      <c r="O132" s="33"/>
      <c r="P132" s="33"/>
      <c r="Q132" s="33"/>
      <c r="R132" s="33"/>
      <c r="S132" s="33"/>
      <c r="T132" s="33"/>
      <c r="U132" s="33"/>
      <c r="V132" s="35">
        <v>0</v>
      </c>
      <c r="W132" s="16"/>
      <c r="X132" s="17"/>
      <c r="Y132" s="611"/>
      <c r="Z132" s="452"/>
      <c r="AC132" s="17"/>
      <c r="AH132" s="17"/>
    </row>
    <row r="133" spans="1:34" s="40" customFormat="1" ht="12.75">
      <c r="A133" s="141" t="s">
        <v>108</v>
      </c>
      <c r="B133" s="36"/>
      <c r="C133" s="37"/>
      <c r="D133" s="37"/>
      <c r="E133" s="37"/>
      <c r="F133" s="37"/>
      <c r="G133" s="37"/>
      <c r="H133" s="38">
        <v>0</v>
      </c>
      <c r="I133" s="36"/>
      <c r="J133" s="37"/>
      <c r="K133" s="37"/>
      <c r="L133" s="37"/>
      <c r="M133" s="37"/>
      <c r="N133" s="37"/>
      <c r="O133" s="37"/>
      <c r="P133" s="37"/>
      <c r="Q133" s="37"/>
      <c r="R133" s="37"/>
      <c r="S133" s="37"/>
      <c r="T133" s="37"/>
      <c r="U133" s="37"/>
      <c r="V133" s="39">
        <v>0</v>
      </c>
      <c r="X133" s="41"/>
      <c r="Y133" s="611"/>
      <c r="Z133" s="452"/>
      <c r="AC133" s="41"/>
      <c r="AH133" s="41"/>
    </row>
    <row r="134" spans="1:34" ht="12.75">
      <c r="A134" s="141" t="s">
        <v>60</v>
      </c>
      <c r="B134" s="32"/>
      <c r="C134" s="33"/>
      <c r="D134" s="33"/>
      <c r="E134" s="33"/>
      <c r="F134" s="33"/>
      <c r="G134" s="33"/>
      <c r="H134" s="34">
        <v>0</v>
      </c>
      <c r="I134" s="32"/>
      <c r="J134" s="33"/>
      <c r="K134" s="33"/>
      <c r="L134" s="33"/>
      <c r="M134" s="33"/>
      <c r="N134" s="33"/>
      <c r="O134" s="33"/>
      <c r="P134" s="33"/>
      <c r="Q134" s="33"/>
      <c r="R134" s="33"/>
      <c r="S134" s="33"/>
      <c r="T134" s="33"/>
      <c r="U134" s="33"/>
      <c r="V134" s="35">
        <v>0</v>
      </c>
      <c r="W134" s="16"/>
      <c r="X134" s="42"/>
      <c r="Y134" s="611"/>
      <c r="Z134" s="452"/>
      <c r="AC134" s="42"/>
      <c r="AH134" s="42"/>
    </row>
    <row r="135" spans="1:26" ht="12.75">
      <c r="A135" s="141" t="s">
        <v>109</v>
      </c>
      <c r="B135" s="32"/>
      <c r="C135" s="33"/>
      <c r="D135" s="33"/>
      <c r="E135" s="33"/>
      <c r="F135" s="33"/>
      <c r="G135" s="33"/>
      <c r="H135" s="34">
        <v>0</v>
      </c>
      <c r="I135" s="32"/>
      <c r="J135" s="33"/>
      <c r="K135" s="33"/>
      <c r="L135" s="33"/>
      <c r="M135" s="33"/>
      <c r="N135" s="33"/>
      <c r="O135" s="33"/>
      <c r="P135" s="33"/>
      <c r="Q135" s="33"/>
      <c r="R135" s="33"/>
      <c r="S135" s="33"/>
      <c r="T135" s="33"/>
      <c r="U135" s="33"/>
      <c r="V135" s="35">
        <v>0</v>
      </c>
      <c r="W135" s="16" t="s">
        <v>19</v>
      </c>
      <c r="Z135" s="42"/>
    </row>
    <row r="136" spans="1:22" s="40" customFormat="1" ht="12.75">
      <c r="A136" s="141" t="s">
        <v>106</v>
      </c>
      <c r="B136" s="36"/>
      <c r="C136" s="37"/>
      <c r="D136" s="37"/>
      <c r="E136" s="37"/>
      <c r="F136" s="37"/>
      <c r="G136" s="37"/>
      <c r="H136" s="38">
        <v>0</v>
      </c>
      <c r="I136" s="36"/>
      <c r="J136" s="37"/>
      <c r="K136" s="37"/>
      <c r="L136" s="37"/>
      <c r="M136" s="37"/>
      <c r="N136" s="37"/>
      <c r="O136" s="37"/>
      <c r="P136" s="37"/>
      <c r="Q136" s="37"/>
      <c r="R136" s="37"/>
      <c r="S136" s="37"/>
      <c r="T136" s="37"/>
      <c r="U136" s="37"/>
      <c r="V136" s="39">
        <v>0</v>
      </c>
    </row>
    <row r="137" spans="1:22" s="40" customFormat="1" ht="12.75">
      <c r="A137" s="141" t="s">
        <v>114</v>
      </c>
      <c r="B137" s="36"/>
      <c r="C137" s="43"/>
      <c r="D137" s="37"/>
      <c r="E137" s="37"/>
      <c r="F137" s="37"/>
      <c r="G137" s="37"/>
      <c r="H137" s="38">
        <v>0</v>
      </c>
      <c r="I137" s="36" t="s">
        <v>258</v>
      </c>
      <c r="J137" s="37"/>
      <c r="K137" s="37"/>
      <c r="L137" s="37"/>
      <c r="M137" s="37"/>
      <c r="N137" s="37"/>
      <c r="O137" s="44"/>
      <c r="P137" s="44"/>
      <c r="Q137" s="44"/>
      <c r="R137" s="44"/>
      <c r="S137" s="44"/>
      <c r="T137" s="44"/>
      <c r="U137" s="37"/>
      <c r="V137" s="39">
        <v>67</v>
      </c>
    </row>
    <row r="138" spans="1:23" ht="12.75">
      <c r="A138" s="141" t="s">
        <v>115</v>
      </c>
      <c r="B138" s="32"/>
      <c r="C138" s="33"/>
      <c r="D138" s="33"/>
      <c r="E138" s="33"/>
      <c r="F138" s="33"/>
      <c r="G138" s="33"/>
      <c r="H138" s="34">
        <v>0</v>
      </c>
      <c r="I138" s="36" t="s">
        <v>219</v>
      </c>
      <c r="J138" s="33"/>
      <c r="K138" s="33"/>
      <c r="L138" s="33"/>
      <c r="M138" s="33"/>
      <c r="N138" s="33"/>
      <c r="O138" s="33"/>
      <c r="P138" s="33"/>
      <c r="Q138" s="33"/>
      <c r="R138" s="33"/>
      <c r="S138" s="33"/>
      <c r="T138" s="33"/>
      <c r="U138" s="33"/>
      <c r="V138" s="35">
        <v>235</v>
      </c>
      <c r="W138" s="16"/>
    </row>
    <row r="139" spans="1:23" ht="12.75">
      <c r="A139" s="141" t="s">
        <v>171</v>
      </c>
      <c r="B139" s="36"/>
      <c r="C139" s="33"/>
      <c r="D139" s="33"/>
      <c r="E139" s="33"/>
      <c r="F139" s="33"/>
      <c r="G139" s="33"/>
      <c r="H139" s="34">
        <v>0</v>
      </c>
      <c r="J139" s="33"/>
      <c r="K139" s="33"/>
      <c r="L139" s="33"/>
      <c r="M139" s="33"/>
      <c r="N139" s="33"/>
      <c r="O139" s="33"/>
      <c r="P139" s="33"/>
      <c r="Q139" s="33"/>
      <c r="R139" s="33"/>
      <c r="S139" s="33"/>
      <c r="T139" s="33"/>
      <c r="U139" s="33"/>
      <c r="V139" s="35">
        <v>0</v>
      </c>
      <c r="W139" s="16"/>
    </row>
    <row r="140" spans="1:23" ht="12.75">
      <c r="A140" s="141" t="s">
        <v>110</v>
      </c>
      <c r="B140" s="32"/>
      <c r="C140" s="33"/>
      <c r="D140" s="33"/>
      <c r="E140" s="33"/>
      <c r="F140" s="33"/>
      <c r="G140" s="33"/>
      <c r="H140" s="34">
        <v>0</v>
      </c>
      <c r="I140" s="51"/>
      <c r="J140" s="33"/>
      <c r="K140" s="33"/>
      <c r="L140" s="33"/>
      <c r="M140" s="33"/>
      <c r="N140" s="33"/>
      <c r="O140" s="33"/>
      <c r="P140" s="33"/>
      <c r="Q140" s="33"/>
      <c r="R140" s="33"/>
      <c r="S140" s="33"/>
      <c r="T140" s="33"/>
      <c r="U140" s="33"/>
      <c r="V140" s="35">
        <v>0</v>
      </c>
      <c r="W140" s="16"/>
    </row>
    <row r="141" spans="1:23" ht="12.75">
      <c r="A141" s="141" t="s">
        <v>111</v>
      </c>
      <c r="B141" s="32"/>
      <c r="C141" s="33"/>
      <c r="D141" s="33"/>
      <c r="E141" s="33"/>
      <c r="F141" s="33"/>
      <c r="G141" s="33"/>
      <c r="H141" s="34">
        <v>0</v>
      </c>
      <c r="I141" s="32"/>
      <c r="J141" s="33"/>
      <c r="K141" s="33"/>
      <c r="L141" s="33"/>
      <c r="M141" s="33"/>
      <c r="N141" s="33"/>
      <c r="O141" s="33"/>
      <c r="P141" s="33"/>
      <c r="Q141" s="33"/>
      <c r="R141" s="33"/>
      <c r="S141" s="33"/>
      <c r="T141" s="33"/>
      <c r="U141" s="33"/>
      <c r="V141" s="35">
        <v>0</v>
      </c>
      <c r="W141" s="16"/>
    </row>
    <row r="142" spans="1:23" ht="12.75">
      <c r="A142" s="141" t="s">
        <v>112</v>
      </c>
      <c r="B142" s="45"/>
      <c r="C142" s="46"/>
      <c r="D142" s="46"/>
      <c r="E142" s="46"/>
      <c r="F142" s="46"/>
      <c r="G142" s="46"/>
      <c r="H142" s="47">
        <v>0</v>
      </c>
      <c r="I142" s="48"/>
      <c r="J142" s="46"/>
      <c r="K142" s="46"/>
      <c r="L142" s="46"/>
      <c r="M142" s="46"/>
      <c r="N142" s="46"/>
      <c r="O142" s="46"/>
      <c r="P142" s="46"/>
      <c r="Q142" s="46"/>
      <c r="R142" s="46"/>
      <c r="S142" s="46"/>
      <c r="T142" s="46"/>
      <c r="U142" s="46"/>
      <c r="V142" s="49">
        <v>0</v>
      </c>
      <c r="W142" s="16"/>
    </row>
    <row r="143" spans="1:23" ht="13.5" thickBot="1">
      <c r="A143" s="180" t="s">
        <v>113</v>
      </c>
      <c r="B143" s="51"/>
      <c r="C143" s="33"/>
      <c r="D143" s="33"/>
      <c r="E143" s="33"/>
      <c r="F143" s="33"/>
      <c r="G143" s="33"/>
      <c r="H143" s="34">
        <v>0</v>
      </c>
      <c r="I143" s="51" t="s">
        <v>220</v>
      </c>
      <c r="J143" s="33"/>
      <c r="K143" s="33"/>
      <c r="L143" s="33"/>
      <c r="M143" s="33"/>
      <c r="N143" s="33"/>
      <c r="O143" s="33"/>
      <c r="P143" s="33"/>
      <c r="Q143" s="33"/>
      <c r="R143" s="33"/>
      <c r="S143" s="33"/>
      <c r="T143" s="33"/>
      <c r="U143" s="33"/>
      <c r="V143" s="38">
        <v>200</v>
      </c>
      <c r="W143" s="16"/>
    </row>
    <row r="144" spans="1:22" ht="13.5" thickBot="1">
      <c r="A144" s="52" t="s">
        <v>67</v>
      </c>
      <c r="B144" s="27"/>
      <c r="C144" s="28"/>
      <c r="D144" s="28"/>
      <c r="E144" s="28"/>
      <c r="F144" s="28"/>
      <c r="G144" s="28"/>
      <c r="H144" s="29">
        <f>SUM(H145:H162)</f>
        <v>1047</v>
      </c>
      <c r="I144" s="27"/>
      <c r="J144" s="28"/>
      <c r="K144" s="28"/>
      <c r="L144" s="28"/>
      <c r="M144" s="28"/>
      <c r="N144" s="28"/>
      <c r="O144" s="28"/>
      <c r="P144" s="28"/>
      <c r="Q144" s="28"/>
      <c r="R144" s="28"/>
      <c r="S144" s="28"/>
      <c r="T144" s="28"/>
      <c r="U144" s="28"/>
      <c r="V144" s="29">
        <f>SUM(V145:V162)</f>
        <v>1840</v>
      </c>
    </row>
    <row r="145" spans="1:22" s="40" customFormat="1" ht="12.75">
      <c r="A145" s="50" t="s">
        <v>68</v>
      </c>
      <c r="B145" s="403" t="s">
        <v>208</v>
      </c>
      <c r="C145" s="404"/>
      <c r="D145" s="404"/>
      <c r="E145" s="404"/>
      <c r="F145" s="404"/>
      <c r="G145" s="405"/>
      <c r="H145" s="53">
        <v>80</v>
      </c>
      <c r="I145" s="403" t="s">
        <v>221</v>
      </c>
      <c r="J145" s="404"/>
      <c r="K145" s="404"/>
      <c r="L145" s="404"/>
      <c r="M145" s="404"/>
      <c r="N145" s="404"/>
      <c r="O145" s="404"/>
      <c r="P145" s="404"/>
      <c r="Q145" s="404"/>
      <c r="R145" s="404"/>
      <c r="S145" s="404"/>
      <c r="T145" s="404"/>
      <c r="U145" s="405"/>
      <c r="V145" s="54">
        <v>150</v>
      </c>
    </row>
    <row r="146" spans="1:22" s="40" customFormat="1" ht="12.75">
      <c r="A146" s="31" t="s">
        <v>4</v>
      </c>
      <c r="B146" s="36"/>
      <c r="C146" s="37"/>
      <c r="D146" s="37"/>
      <c r="E146" s="37"/>
      <c r="F146" s="37"/>
      <c r="G146" s="37"/>
      <c r="H146" s="38">
        <v>0</v>
      </c>
      <c r="I146" s="36"/>
      <c r="J146" s="37"/>
      <c r="K146" s="37"/>
      <c r="L146" s="37"/>
      <c r="M146" s="37"/>
      <c r="N146" s="37"/>
      <c r="O146" s="37"/>
      <c r="P146" s="37"/>
      <c r="Q146" s="37"/>
      <c r="R146" s="37"/>
      <c r="S146" s="37"/>
      <c r="T146" s="37"/>
      <c r="U146" s="37"/>
      <c r="V146" s="39"/>
    </row>
    <row r="147" spans="1:22" s="40" customFormat="1" ht="36.75" customHeight="1">
      <c r="A147" s="55" t="s">
        <v>98</v>
      </c>
      <c r="B147" s="36"/>
      <c r="C147" s="37"/>
      <c r="D147" s="37"/>
      <c r="E147" s="37"/>
      <c r="F147" s="37"/>
      <c r="G147" s="37"/>
      <c r="H147" s="38">
        <v>0</v>
      </c>
      <c r="I147" s="406" t="s">
        <v>252</v>
      </c>
      <c r="J147" s="407"/>
      <c r="K147" s="407"/>
      <c r="L147" s="407"/>
      <c r="M147" s="407"/>
      <c r="N147" s="407"/>
      <c r="O147" s="407"/>
      <c r="P147" s="407"/>
      <c r="Q147" s="407"/>
      <c r="R147" s="407"/>
      <c r="S147" s="407"/>
      <c r="T147" s="407"/>
      <c r="U147" s="408"/>
      <c r="V147" s="39">
        <f>1030-140-130</f>
        <v>760</v>
      </c>
    </row>
    <row r="148" spans="1:22" s="40" customFormat="1" ht="21" customHeight="1">
      <c r="A148" s="31" t="s">
        <v>5</v>
      </c>
      <c r="B148" s="406"/>
      <c r="C148" s="407"/>
      <c r="D148" s="407"/>
      <c r="E148" s="407"/>
      <c r="F148" s="407"/>
      <c r="G148" s="408"/>
      <c r="H148" s="38">
        <v>0</v>
      </c>
      <c r="I148" s="612" t="s">
        <v>247</v>
      </c>
      <c r="J148" s="643"/>
      <c r="K148" s="643"/>
      <c r="L148" s="643"/>
      <c r="M148" s="643"/>
      <c r="N148" s="643"/>
      <c r="O148" s="643"/>
      <c r="P148" s="643"/>
      <c r="Q148" s="643"/>
      <c r="R148" s="643"/>
      <c r="S148" s="643"/>
      <c r="T148" s="643"/>
      <c r="U148" s="644"/>
      <c r="V148" s="39">
        <v>110</v>
      </c>
    </row>
    <row r="149" spans="1:22" s="40" customFormat="1" ht="12.75">
      <c r="A149" s="31" t="s">
        <v>99</v>
      </c>
      <c r="B149" s="36"/>
      <c r="C149" s="44"/>
      <c r="D149" s="37"/>
      <c r="E149" s="37"/>
      <c r="F149" s="37"/>
      <c r="G149" s="37"/>
      <c r="H149" s="38">
        <v>0</v>
      </c>
      <c r="I149" s="406" t="s">
        <v>232</v>
      </c>
      <c r="J149" s="407"/>
      <c r="K149" s="407"/>
      <c r="L149" s="407"/>
      <c r="M149" s="407"/>
      <c r="N149" s="407"/>
      <c r="O149" s="407"/>
      <c r="P149" s="407"/>
      <c r="Q149" s="407"/>
      <c r="R149" s="407"/>
      <c r="S149" s="407"/>
      <c r="T149" s="407"/>
      <c r="U149" s="408"/>
      <c r="V149" s="39">
        <v>170</v>
      </c>
    </row>
    <row r="150" spans="1:22" s="40" customFormat="1" ht="12.75" customHeight="1">
      <c r="A150" s="447" t="s">
        <v>100</v>
      </c>
      <c r="B150" s="397"/>
      <c r="C150" s="398"/>
      <c r="D150" s="398"/>
      <c r="E150" s="398"/>
      <c r="F150" s="398"/>
      <c r="G150" s="399"/>
      <c r="H150" s="449">
        <v>0</v>
      </c>
      <c r="I150" s="453" t="s">
        <v>204</v>
      </c>
      <c r="J150" s="454"/>
      <c r="K150" s="454"/>
      <c r="L150" s="454"/>
      <c r="M150" s="454"/>
      <c r="N150" s="454"/>
      <c r="O150" s="454"/>
      <c r="P150" s="454"/>
      <c r="Q150" s="454"/>
      <c r="R150" s="454"/>
      <c r="S150" s="454"/>
      <c r="T150" s="454"/>
      <c r="U150" s="455"/>
      <c r="V150" s="449">
        <v>430</v>
      </c>
    </row>
    <row r="151" spans="1:22" s="40" customFormat="1" ht="10.5" customHeight="1">
      <c r="A151" s="448"/>
      <c r="B151" s="409"/>
      <c r="C151" s="410"/>
      <c r="D151" s="410"/>
      <c r="E151" s="410"/>
      <c r="F151" s="410"/>
      <c r="G151" s="411"/>
      <c r="H151" s="450"/>
      <c r="I151" s="456"/>
      <c r="J151" s="457"/>
      <c r="K151" s="457"/>
      <c r="L151" s="457"/>
      <c r="M151" s="457"/>
      <c r="N151" s="457"/>
      <c r="O151" s="457"/>
      <c r="P151" s="457"/>
      <c r="Q151" s="457"/>
      <c r="R151" s="457"/>
      <c r="S151" s="457"/>
      <c r="T151" s="457"/>
      <c r="U151" s="458"/>
      <c r="V151" s="450"/>
    </row>
    <row r="152" spans="1:22" s="40" customFormat="1" ht="12.75">
      <c r="A152" s="31" t="s">
        <v>6</v>
      </c>
      <c r="B152" s="36"/>
      <c r="C152" s="37"/>
      <c r="D152" s="37"/>
      <c r="E152" s="37"/>
      <c r="F152" s="37"/>
      <c r="G152" s="37"/>
      <c r="H152" s="38">
        <v>0</v>
      </c>
      <c r="I152" s="406" t="s">
        <v>246</v>
      </c>
      <c r="J152" s="407"/>
      <c r="K152" s="407"/>
      <c r="L152" s="407"/>
      <c r="M152" s="407"/>
      <c r="N152" s="407"/>
      <c r="O152" s="407"/>
      <c r="P152" s="407"/>
      <c r="Q152" s="407"/>
      <c r="R152" s="407"/>
      <c r="S152" s="407"/>
      <c r="T152" s="407"/>
      <c r="U152" s="408"/>
      <c r="V152" s="39">
        <v>70</v>
      </c>
    </row>
    <row r="153" spans="1:22" s="40" customFormat="1" ht="12.75">
      <c r="A153" s="57" t="s">
        <v>7</v>
      </c>
      <c r="B153" s="36"/>
      <c r="C153" s="37"/>
      <c r="D153" s="37"/>
      <c r="E153" s="37"/>
      <c r="F153" s="37"/>
      <c r="G153" s="37"/>
      <c r="H153" s="38">
        <v>0</v>
      </c>
      <c r="I153" s="36"/>
      <c r="J153" s="37"/>
      <c r="K153" s="37"/>
      <c r="L153" s="37"/>
      <c r="M153" s="37"/>
      <c r="N153" s="37"/>
      <c r="O153" s="37"/>
      <c r="P153" s="37"/>
      <c r="Q153" s="37"/>
      <c r="R153" s="37"/>
      <c r="S153" s="37"/>
      <c r="T153" s="37"/>
      <c r="U153" s="37"/>
      <c r="V153" s="39">
        <v>0</v>
      </c>
    </row>
    <row r="154" spans="1:22" s="40" customFormat="1" ht="22.5" customHeight="1">
      <c r="A154" s="412" t="s">
        <v>104</v>
      </c>
      <c r="B154" s="397" t="s">
        <v>212</v>
      </c>
      <c r="C154" s="398"/>
      <c r="D154" s="398"/>
      <c r="E154" s="398"/>
      <c r="F154" s="398"/>
      <c r="G154" s="399"/>
      <c r="H154" s="449">
        <v>532</v>
      </c>
      <c r="I154" s="397"/>
      <c r="J154" s="398"/>
      <c r="K154" s="398"/>
      <c r="L154" s="398"/>
      <c r="M154" s="398"/>
      <c r="N154" s="398"/>
      <c r="O154" s="398"/>
      <c r="P154" s="398"/>
      <c r="Q154" s="398"/>
      <c r="R154" s="398"/>
      <c r="S154" s="398"/>
      <c r="T154" s="398"/>
      <c r="U154" s="399"/>
      <c r="V154" s="449">
        <v>0</v>
      </c>
    </row>
    <row r="155" spans="1:22" s="40" customFormat="1" ht="12.75">
      <c r="A155" s="413"/>
      <c r="B155" s="409"/>
      <c r="C155" s="410"/>
      <c r="D155" s="410"/>
      <c r="E155" s="410"/>
      <c r="F155" s="410"/>
      <c r="G155" s="411"/>
      <c r="H155" s="450"/>
      <c r="I155" s="409"/>
      <c r="J155" s="410"/>
      <c r="K155" s="410"/>
      <c r="L155" s="410"/>
      <c r="M155" s="410"/>
      <c r="N155" s="410"/>
      <c r="O155" s="410"/>
      <c r="P155" s="410"/>
      <c r="Q155" s="410"/>
      <c r="R155" s="410"/>
      <c r="S155" s="410"/>
      <c r="T155" s="410"/>
      <c r="U155" s="411"/>
      <c r="V155" s="450"/>
    </row>
    <row r="156" spans="1:22" s="40" customFormat="1" ht="23.25" customHeight="1">
      <c r="A156" s="55" t="s">
        <v>8</v>
      </c>
      <c r="B156" s="397" t="s">
        <v>205</v>
      </c>
      <c r="C156" s="398"/>
      <c r="D156" s="398"/>
      <c r="E156" s="398"/>
      <c r="F156" s="398"/>
      <c r="G156" s="399"/>
      <c r="H156" s="38">
        <v>200</v>
      </c>
      <c r="I156" s="36"/>
      <c r="J156" s="37"/>
      <c r="K156" s="37"/>
      <c r="L156" s="37"/>
      <c r="M156" s="37"/>
      <c r="N156" s="37"/>
      <c r="O156" s="37"/>
      <c r="P156" s="37"/>
      <c r="Q156" s="37"/>
      <c r="R156" s="37"/>
      <c r="S156" s="37"/>
      <c r="T156" s="37"/>
      <c r="U156" s="37"/>
      <c r="V156" s="38">
        <v>0</v>
      </c>
    </row>
    <row r="157" spans="1:22" s="40" customFormat="1" ht="22.5" customHeight="1">
      <c r="A157" s="412" t="s">
        <v>85</v>
      </c>
      <c r="B157" s="397" t="s">
        <v>266</v>
      </c>
      <c r="C157" s="398"/>
      <c r="D157" s="398"/>
      <c r="E157" s="398"/>
      <c r="F157" s="398"/>
      <c r="G157" s="399"/>
      <c r="H157" s="449">
        <v>35</v>
      </c>
      <c r="I157" s="397"/>
      <c r="J157" s="398"/>
      <c r="K157" s="398"/>
      <c r="L157" s="398"/>
      <c r="M157" s="398"/>
      <c r="N157" s="398"/>
      <c r="O157" s="398"/>
      <c r="P157" s="398"/>
      <c r="Q157" s="398"/>
      <c r="R157" s="398"/>
      <c r="S157" s="398"/>
      <c r="T157" s="398"/>
      <c r="U157" s="399"/>
      <c r="V157" s="449">
        <v>0</v>
      </c>
    </row>
    <row r="158" spans="1:22" s="40" customFormat="1" ht="21.75" customHeight="1">
      <c r="A158" s="413"/>
      <c r="B158" s="409"/>
      <c r="C158" s="410"/>
      <c r="D158" s="410"/>
      <c r="E158" s="410"/>
      <c r="F158" s="410"/>
      <c r="G158" s="411"/>
      <c r="H158" s="450"/>
      <c r="I158" s="409"/>
      <c r="J158" s="410"/>
      <c r="K158" s="410"/>
      <c r="L158" s="410"/>
      <c r="M158" s="410"/>
      <c r="N158" s="410"/>
      <c r="O158" s="410"/>
      <c r="P158" s="410"/>
      <c r="Q158" s="410"/>
      <c r="R158" s="410"/>
      <c r="S158" s="410"/>
      <c r="T158" s="410"/>
      <c r="U158" s="411"/>
      <c r="V158" s="450"/>
    </row>
    <row r="159" spans="1:22" s="40" customFormat="1" ht="12.75" customHeight="1">
      <c r="A159" s="412" t="s">
        <v>103</v>
      </c>
      <c r="B159" s="397" t="s">
        <v>207</v>
      </c>
      <c r="C159" s="398"/>
      <c r="D159" s="398"/>
      <c r="E159" s="398"/>
      <c r="F159" s="398"/>
      <c r="G159" s="399"/>
      <c r="H159" s="449">
        <v>150</v>
      </c>
      <c r="I159" s="397"/>
      <c r="J159" s="398"/>
      <c r="K159" s="398"/>
      <c r="L159" s="398"/>
      <c r="M159" s="398"/>
      <c r="N159" s="398"/>
      <c r="O159" s="398"/>
      <c r="P159" s="398"/>
      <c r="Q159" s="398"/>
      <c r="R159" s="398"/>
      <c r="S159" s="398"/>
      <c r="T159" s="398"/>
      <c r="U159" s="399"/>
      <c r="V159" s="449">
        <v>0</v>
      </c>
    </row>
    <row r="160" spans="1:22" s="40" customFormat="1" ht="12.75" customHeight="1">
      <c r="A160" s="413"/>
      <c r="B160" s="409"/>
      <c r="C160" s="410"/>
      <c r="D160" s="410"/>
      <c r="E160" s="410"/>
      <c r="F160" s="410"/>
      <c r="G160" s="411"/>
      <c r="H160" s="450"/>
      <c r="I160" s="409"/>
      <c r="J160" s="410"/>
      <c r="K160" s="410"/>
      <c r="L160" s="410"/>
      <c r="M160" s="410"/>
      <c r="N160" s="410"/>
      <c r="O160" s="410"/>
      <c r="P160" s="410"/>
      <c r="Q160" s="410"/>
      <c r="R160" s="410"/>
      <c r="S160" s="410"/>
      <c r="T160" s="410"/>
      <c r="U160" s="411"/>
      <c r="V160" s="450"/>
    </row>
    <row r="161" spans="1:22" s="40" customFormat="1" ht="19.5" customHeight="1">
      <c r="A161" s="31" t="s">
        <v>34</v>
      </c>
      <c r="B161" s="397" t="s">
        <v>211</v>
      </c>
      <c r="C161" s="398"/>
      <c r="D161" s="398"/>
      <c r="E161" s="398"/>
      <c r="F161" s="398"/>
      <c r="G161" s="399"/>
      <c r="H161" s="38">
        <v>50</v>
      </c>
      <c r="I161" s="36"/>
      <c r="J161" s="37"/>
      <c r="K161" s="37"/>
      <c r="L161" s="37"/>
      <c r="M161" s="37"/>
      <c r="N161" s="37"/>
      <c r="O161" s="37"/>
      <c r="P161" s="37"/>
      <c r="Q161" s="37"/>
      <c r="R161" s="37"/>
      <c r="S161" s="37"/>
      <c r="T161" s="37"/>
      <c r="U161" s="37"/>
      <c r="V161" s="39">
        <v>0</v>
      </c>
    </row>
    <row r="162" spans="1:22" s="40" customFormat="1" ht="13.5" thickBot="1">
      <c r="A162" s="60" t="s">
        <v>35</v>
      </c>
      <c r="B162" s="61"/>
      <c r="C162" s="62"/>
      <c r="D162" s="62"/>
      <c r="E162" s="62"/>
      <c r="F162" s="62"/>
      <c r="G162" s="62"/>
      <c r="H162" s="63">
        <v>0</v>
      </c>
      <c r="I162" s="400" t="s">
        <v>267</v>
      </c>
      <c r="J162" s="401"/>
      <c r="K162" s="401"/>
      <c r="L162" s="401"/>
      <c r="M162" s="401"/>
      <c r="N162" s="401"/>
      <c r="O162" s="401"/>
      <c r="P162" s="401"/>
      <c r="Q162" s="401"/>
      <c r="R162" s="401"/>
      <c r="S162" s="401"/>
      <c r="T162" s="401"/>
      <c r="U162" s="402"/>
      <c r="V162" s="64">
        <v>150</v>
      </c>
    </row>
    <row r="163" ht="12.75">
      <c r="A163" s="65"/>
    </row>
    <row r="164" spans="1:24" ht="18.75" thickBot="1">
      <c r="A164" s="423" t="s">
        <v>148</v>
      </c>
      <c r="B164" s="423"/>
      <c r="C164" s="423"/>
      <c r="D164" s="423"/>
      <c r="E164" s="423"/>
      <c r="F164" s="423"/>
      <c r="G164" s="423"/>
      <c r="H164" s="423"/>
      <c r="I164" s="423"/>
      <c r="J164" s="423"/>
      <c r="K164" s="423"/>
      <c r="L164" s="423"/>
      <c r="M164" s="423"/>
      <c r="N164" s="423"/>
      <c r="O164" s="423"/>
      <c r="P164" s="423"/>
      <c r="Q164" s="423"/>
      <c r="R164" s="423"/>
      <c r="S164" s="423"/>
      <c r="T164" s="423"/>
      <c r="U164" s="423"/>
      <c r="V164" s="423"/>
      <c r="X164" s="66"/>
    </row>
    <row r="165" spans="1:34" ht="22.5">
      <c r="A165" s="18" t="s">
        <v>3</v>
      </c>
      <c r="B165" s="139" t="s">
        <v>89</v>
      </c>
      <c r="C165" s="139"/>
      <c r="D165" s="139"/>
      <c r="E165" s="139"/>
      <c r="F165" s="139"/>
      <c r="G165" s="140"/>
      <c r="H165" s="19" t="s">
        <v>32</v>
      </c>
      <c r="I165" s="424" t="s">
        <v>88</v>
      </c>
      <c r="J165" s="425"/>
      <c r="K165" s="425"/>
      <c r="L165" s="425"/>
      <c r="M165" s="425"/>
      <c r="N165" s="425"/>
      <c r="O165" s="425"/>
      <c r="P165" s="425"/>
      <c r="Q165" s="425"/>
      <c r="R165" s="425"/>
      <c r="S165" s="425"/>
      <c r="T165" s="425"/>
      <c r="U165" s="426"/>
      <c r="V165" s="20" t="s">
        <v>32</v>
      </c>
      <c r="W165" s="16"/>
      <c r="X165" s="17"/>
      <c r="Y165" s="451"/>
      <c r="Z165" s="452"/>
      <c r="AC165" s="17"/>
      <c r="AH165" s="17"/>
    </row>
    <row r="166" spans="1:34" ht="13.5" thickBot="1">
      <c r="A166" s="21"/>
      <c r="B166" s="22" t="s">
        <v>64</v>
      </c>
      <c r="C166" s="22"/>
      <c r="D166" s="22"/>
      <c r="E166" s="22"/>
      <c r="F166" s="22"/>
      <c r="G166" s="23"/>
      <c r="H166" s="24" t="s">
        <v>65</v>
      </c>
      <c r="I166" s="427"/>
      <c r="J166" s="428"/>
      <c r="K166" s="428"/>
      <c r="L166" s="428"/>
      <c r="M166" s="428"/>
      <c r="N166" s="428"/>
      <c r="O166" s="428"/>
      <c r="P166" s="428"/>
      <c r="Q166" s="428"/>
      <c r="R166" s="428"/>
      <c r="S166" s="428"/>
      <c r="T166" s="428"/>
      <c r="U166" s="429"/>
      <c r="V166" s="25" t="s">
        <v>66</v>
      </c>
      <c r="W166" s="16"/>
      <c r="X166" s="17"/>
      <c r="Y166" s="451"/>
      <c r="Z166" s="452"/>
      <c r="AC166" s="17"/>
      <c r="AH166" s="17"/>
    </row>
    <row r="167" spans="1:23" ht="13.5" thickBot="1">
      <c r="A167" s="26" t="s">
        <v>69</v>
      </c>
      <c r="B167" s="27"/>
      <c r="C167" s="28"/>
      <c r="D167" s="28"/>
      <c r="E167" s="28"/>
      <c r="F167" s="28"/>
      <c r="G167" s="28"/>
      <c r="H167" s="29">
        <f>SUM(H168:H192)</f>
        <v>6359</v>
      </c>
      <c r="I167" s="27"/>
      <c r="J167" s="28"/>
      <c r="K167" s="28"/>
      <c r="L167" s="28"/>
      <c r="M167" s="28"/>
      <c r="N167" s="28"/>
      <c r="O167" s="28"/>
      <c r="P167" s="28"/>
      <c r="Q167" s="28"/>
      <c r="R167" s="28"/>
      <c r="S167" s="28"/>
      <c r="T167" s="28"/>
      <c r="U167" s="28"/>
      <c r="V167" s="29">
        <f>SUM(I168+V168+V170+V171+V172+V173+V175+V177+V178+V179+V180+V181+V182+V183+V184+V185+V186+V187+V188+V189+V190+V191+V192)</f>
        <v>5956</v>
      </c>
      <c r="W167" s="67"/>
    </row>
    <row r="168" spans="1:22" s="40" customFormat="1" ht="12.75">
      <c r="A168" s="440" t="s">
        <v>118</v>
      </c>
      <c r="B168" s="441" t="s">
        <v>177</v>
      </c>
      <c r="C168" s="442"/>
      <c r="D168" s="442"/>
      <c r="E168" s="442"/>
      <c r="F168" s="442"/>
      <c r="G168" s="443"/>
      <c r="H168" s="479">
        <f>370+45</f>
        <v>415</v>
      </c>
      <c r="I168" s="475"/>
      <c r="J168" s="475"/>
      <c r="K168" s="475"/>
      <c r="L168" s="475"/>
      <c r="M168" s="475"/>
      <c r="N168" s="475"/>
      <c r="O168" s="475"/>
      <c r="P168" s="475"/>
      <c r="Q168" s="475"/>
      <c r="R168" s="475"/>
      <c r="S168" s="475"/>
      <c r="T168" s="475"/>
      <c r="U168" s="476"/>
      <c r="V168" s="473">
        <v>0</v>
      </c>
    </row>
    <row r="169" spans="1:22" s="40" customFormat="1" ht="7.5" customHeight="1">
      <c r="A169" s="413"/>
      <c r="B169" s="409"/>
      <c r="C169" s="410"/>
      <c r="D169" s="410"/>
      <c r="E169" s="410"/>
      <c r="F169" s="410"/>
      <c r="G169" s="411"/>
      <c r="H169" s="415"/>
      <c r="I169" s="477"/>
      <c r="J169" s="477"/>
      <c r="K169" s="477"/>
      <c r="L169" s="477"/>
      <c r="M169" s="477"/>
      <c r="N169" s="477"/>
      <c r="O169" s="477"/>
      <c r="P169" s="477"/>
      <c r="Q169" s="477"/>
      <c r="R169" s="477"/>
      <c r="S169" s="477"/>
      <c r="T169" s="477"/>
      <c r="U169" s="478"/>
      <c r="V169" s="474"/>
    </row>
    <row r="170" spans="1:22" s="40" customFormat="1" ht="22.5" customHeight="1">
      <c r="A170" s="50" t="s">
        <v>119</v>
      </c>
      <c r="B170" s="68" t="s">
        <v>198</v>
      </c>
      <c r="C170" s="69"/>
      <c r="D170" s="69"/>
      <c r="E170" s="69"/>
      <c r="F170" s="69"/>
      <c r="G170" s="69"/>
      <c r="H170" s="70">
        <v>200</v>
      </c>
      <c r="I170" s="68" t="s">
        <v>259</v>
      </c>
      <c r="J170" s="69"/>
      <c r="K170" s="69"/>
      <c r="L170" s="69"/>
      <c r="M170" s="69"/>
      <c r="N170" s="69"/>
      <c r="O170" s="69"/>
      <c r="P170" s="69"/>
      <c r="Q170" s="69"/>
      <c r="R170" s="69"/>
      <c r="S170" s="69"/>
      <c r="T170" s="69"/>
      <c r="U170" s="69"/>
      <c r="V170" s="59">
        <f>800-400</f>
        <v>400</v>
      </c>
    </row>
    <row r="171" spans="1:22" s="40" customFormat="1" ht="12.75">
      <c r="A171" s="31" t="s">
        <v>120</v>
      </c>
      <c r="B171" s="36"/>
      <c r="C171" s="43"/>
      <c r="D171" s="37"/>
      <c r="E171" s="37"/>
      <c r="F171" s="37"/>
      <c r="G171" s="37"/>
      <c r="H171" s="38">
        <v>0</v>
      </c>
      <c r="I171" s="36" t="s">
        <v>179</v>
      </c>
      <c r="J171" s="37"/>
      <c r="K171" s="37"/>
      <c r="L171" s="37"/>
      <c r="M171" s="37"/>
      <c r="N171" s="37"/>
      <c r="O171" s="37"/>
      <c r="P171" s="37"/>
      <c r="Q171" s="37"/>
      <c r="R171" s="37"/>
      <c r="S171" s="37"/>
      <c r="T171" s="37"/>
      <c r="U171" s="37"/>
      <c r="V171" s="39">
        <v>60</v>
      </c>
    </row>
    <row r="172" spans="1:22" s="40" customFormat="1" ht="23.25" customHeight="1">
      <c r="A172" s="57" t="s">
        <v>121</v>
      </c>
      <c r="B172" s="36"/>
      <c r="C172" s="37"/>
      <c r="D172" s="37"/>
      <c r="E172" s="37"/>
      <c r="F172" s="37"/>
      <c r="G172" s="37"/>
      <c r="H172" s="38">
        <v>0</v>
      </c>
      <c r="I172" s="36" t="s">
        <v>180</v>
      </c>
      <c r="J172" s="37"/>
      <c r="K172" s="37"/>
      <c r="L172" s="37"/>
      <c r="M172" s="37"/>
      <c r="N172" s="37"/>
      <c r="O172" s="37"/>
      <c r="P172" s="37"/>
      <c r="Q172" s="37"/>
      <c r="R172" s="37"/>
      <c r="S172" s="37"/>
      <c r="T172" s="37"/>
      <c r="U172" s="37"/>
      <c r="V172" s="58">
        <v>200</v>
      </c>
    </row>
    <row r="173" spans="1:26" s="40" customFormat="1" ht="12.75" customHeight="1">
      <c r="A173" s="470" t="s">
        <v>122</v>
      </c>
      <c r="B173" s="397" t="s">
        <v>182</v>
      </c>
      <c r="C173" s="459"/>
      <c r="D173" s="459"/>
      <c r="E173" s="459"/>
      <c r="F173" s="459"/>
      <c r="G173" s="460"/>
      <c r="H173" s="449">
        <v>484</v>
      </c>
      <c r="I173" s="397" t="s">
        <v>260</v>
      </c>
      <c r="J173" s="459"/>
      <c r="K173" s="459"/>
      <c r="L173" s="459"/>
      <c r="M173" s="459"/>
      <c r="N173" s="459"/>
      <c r="O173" s="459"/>
      <c r="P173" s="459"/>
      <c r="Q173" s="459"/>
      <c r="R173" s="459"/>
      <c r="S173" s="459"/>
      <c r="T173" s="459"/>
      <c r="U173" s="459"/>
      <c r="V173" s="472">
        <f>300+400+90+274+100</f>
        <v>1164</v>
      </c>
      <c r="W173" s="8"/>
      <c r="X173" s="8"/>
      <c r="Y173" s="8"/>
      <c r="Z173" s="8"/>
    </row>
    <row r="174" spans="1:26" s="40" customFormat="1" ht="33.75" customHeight="1">
      <c r="A174" s="413"/>
      <c r="B174" s="481"/>
      <c r="C174" s="482"/>
      <c r="D174" s="482"/>
      <c r="E174" s="482"/>
      <c r="F174" s="482"/>
      <c r="G174" s="483"/>
      <c r="H174" s="450"/>
      <c r="I174" s="481"/>
      <c r="J174" s="482"/>
      <c r="K174" s="482"/>
      <c r="L174" s="482"/>
      <c r="M174" s="482"/>
      <c r="N174" s="482"/>
      <c r="O174" s="482"/>
      <c r="P174" s="482"/>
      <c r="Q174" s="482"/>
      <c r="R174" s="482"/>
      <c r="S174" s="482"/>
      <c r="T174" s="482"/>
      <c r="U174" s="482"/>
      <c r="V174" s="415"/>
      <c r="W174" s="8"/>
      <c r="X174" s="8"/>
      <c r="Y174" s="8"/>
      <c r="Z174" s="8"/>
    </row>
    <row r="175" spans="1:22" s="40" customFormat="1" ht="12.75">
      <c r="A175" s="447" t="s">
        <v>123</v>
      </c>
      <c r="B175" s="397" t="s">
        <v>183</v>
      </c>
      <c r="C175" s="398"/>
      <c r="D175" s="398"/>
      <c r="E175" s="398"/>
      <c r="F175" s="398"/>
      <c r="G175" s="399"/>
      <c r="H175" s="414">
        <v>750</v>
      </c>
      <c r="I175" s="606" t="s">
        <v>249</v>
      </c>
      <c r="J175" s="614"/>
      <c r="K175" s="614"/>
      <c r="L175" s="614"/>
      <c r="M175" s="614"/>
      <c r="N175" s="614"/>
      <c r="O175" s="614"/>
      <c r="P175" s="614"/>
      <c r="Q175" s="614"/>
      <c r="R175" s="614"/>
      <c r="S175" s="614"/>
      <c r="T175" s="614"/>
      <c r="U175" s="615"/>
      <c r="V175" s="449">
        <f>147+137</f>
        <v>284</v>
      </c>
    </row>
    <row r="176" spans="1:22" s="40" customFormat="1" ht="42" customHeight="1">
      <c r="A176" s="480"/>
      <c r="B176" s="409"/>
      <c r="C176" s="410"/>
      <c r="D176" s="410"/>
      <c r="E176" s="410"/>
      <c r="F176" s="410"/>
      <c r="G176" s="411"/>
      <c r="H176" s="422"/>
      <c r="I176" s="616"/>
      <c r="J176" s="579"/>
      <c r="K176" s="579"/>
      <c r="L176" s="579"/>
      <c r="M176" s="579"/>
      <c r="N176" s="579"/>
      <c r="O176" s="579"/>
      <c r="P176" s="579"/>
      <c r="Q176" s="579"/>
      <c r="R176" s="579"/>
      <c r="S176" s="579"/>
      <c r="T176" s="579"/>
      <c r="U176" s="580"/>
      <c r="V176" s="474"/>
    </row>
    <row r="177" spans="1:22" s="40" customFormat="1" ht="12.75">
      <c r="A177" s="31" t="s">
        <v>124</v>
      </c>
      <c r="B177" s="36"/>
      <c r="C177" s="37"/>
      <c r="D177" s="37"/>
      <c r="E177" s="37"/>
      <c r="F177" s="37"/>
      <c r="G177" s="37"/>
      <c r="H177" s="38">
        <v>0</v>
      </c>
      <c r="I177" s="36"/>
      <c r="J177" s="37"/>
      <c r="K177" s="37"/>
      <c r="L177" s="37"/>
      <c r="M177" s="37"/>
      <c r="N177" s="37"/>
      <c r="O177" s="37"/>
      <c r="P177" s="37"/>
      <c r="Q177" s="37"/>
      <c r="R177" s="37"/>
      <c r="S177" s="37"/>
      <c r="T177" s="37"/>
      <c r="U177" s="37"/>
      <c r="V177" s="39">
        <v>0</v>
      </c>
    </row>
    <row r="178" spans="1:22" ht="33.75" customHeight="1">
      <c r="A178" s="56" t="s">
        <v>56</v>
      </c>
      <c r="B178" s="397" t="s">
        <v>261</v>
      </c>
      <c r="C178" s="398"/>
      <c r="D178" s="398"/>
      <c r="E178" s="398"/>
      <c r="F178" s="398"/>
      <c r="G178" s="399"/>
      <c r="H178" s="72">
        <f>30+180</f>
        <v>210</v>
      </c>
      <c r="I178" s="68"/>
      <c r="J178" s="73"/>
      <c r="K178" s="73"/>
      <c r="L178" s="73"/>
      <c r="M178" s="73"/>
      <c r="N178" s="73"/>
      <c r="O178" s="73"/>
      <c r="P178" s="73"/>
      <c r="Q178" s="73"/>
      <c r="R178" s="73"/>
      <c r="S178" s="73"/>
      <c r="T178" s="73"/>
      <c r="U178" s="73"/>
      <c r="V178" s="74">
        <v>0</v>
      </c>
    </row>
    <row r="179" spans="1:47" ht="12.75" customHeight="1">
      <c r="A179" s="412" t="s">
        <v>86</v>
      </c>
      <c r="B179" s="416" t="s">
        <v>244</v>
      </c>
      <c r="C179" s="417"/>
      <c r="D179" s="417"/>
      <c r="E179" s="417"/>
      <c r="F179" s="417"/>
      <c r="G179" s="418"/>
      <c r="H179" s="430">
        <v>700</v>
      </c>
      <c r="I179" s="547" t="s">
        <v>262</v>
      </c>
      <c r="J179" s="593"/>
      <c r="K179" s="593"/>
      <c r="L179" s="593"/>
      <c r="M179" s="593"/>
      <c r="N179" s="593"/>
      <c r="O179" s="593"/>
      <c r="P179" s="593"/>
      <c r="Q179" s="593"/>
      <c r="R179" s="593"/>
      <c r="S179" s="593"/>
      <c r="T179" s="593"/>
      <c r="U179" s="593"/>
      <c r="V179" s="430">
        <f>180+250+200</f>
        <v>630</v>
      </c>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row>
    <row r="180" spans="1:22" ht="29.25" customHeight="1">
      <c r="A180" s="413"/>
      <c r="B180" s="419"/>
      <c r="C180" s="420"/>
      <c r="D180" s="420"/>
      <c r="E180" s="420"/>
      <c r="F180" s="420"/>
      <c r="G180" s="421"/>
      <c r="H180" s="431"/>
      <c r="I180" s="640"/>
      <c r="J180" s="641"/>
      <c r="K180" s="641"/>
      <c r="L180" s="641"/>
      <c r="M180" s="641"/>
      <c r="N180" s="641"/>
      <c r="O180" s="641"/>
      <c r="P180" s="641"/>
      <c r="Q180" s="641"/>
      <c r="R180" s="641"/>
      <c r="S180" s="641"/>
      <c r="T180" s="641"/>
      <c r="U180" s="641"/>
      <c r="V180" s="431"/>
    </row>
    <row r="181" spans="1:22" s="40" customFormat="1" ht="12.75" customHeight="1">
      <c r="A181" s="412" t="s">
        <v>130</v>
      </c>
      <c r="B181" s="397"/>
      <c r="C181" s="398"/>
      <c r="D181" s="398"/>
      <c r="E181" s="398"/>
      <c r="F181" s="398"/>
      <c r="G181" s="399"/>
      <c r="H181" s="414">
        <v>0</v>
      </c>
      <c r="I181" s="606" t="s">
        <v>185</v>
      </c>
      <c r="J181" s="607"/>
      <c r="K181" s="607"/>
      <c r="L181" s="607"/>
      <c r="M181" s="607"/>
      <c r="N181" s="607"/>
      <c r="O181" s="607"/>
      <c r="P181" s="607"/>
      <c r="Q181" s="607"/>
      <c r="R181" s="607"/>
      <c r="S181" s="607"/>
      <c r="T181" s="607"/>
      <c r="U181" s="608"/>
      <c r="V181" s="449">
        <v>130</v>
      </c>
    </row>
    <row r="182" spans="1:22" s="40" customFormat="1" ht="12.75" customHeight="1">
      <c r="A182" s="413"/>
      <c r="B182" s="409"/>
      <c r="C182" s="410"/>
      <c r="D182" s="410"/>
      <c r="E182" s="410"/>
      <c r="F182" s="410"/>
      <c r="G182" s="411"/>
      <c r="H182" s="415"/>
      <c r="I182" s="578"/>
      <c r="J182" s="609"/>
      <c r="K182" s="609"/>
      <c r="L182" s="609"/>
      <c r="M182" s="609"/>
      <c r="N182" s="609"/>
      <c r="O182" s="609"/>
      <c r="P182" s="609"/>
      <c r="Q182" s="609"/>
      <c r="R182" s="609"/>
      <c r="S182" s="609"/>
      <c r="T182" s="609"/>
      <c r="U182" s="610"/>
      <c r="V182" s="474"/>
    </row>
    <row r="183" spans="1:22" s="40" customFormat="1" ht="46.5" customHeight="1">
      <c r="A183" s="57" t="s">
        <v>70</v>
      </c>
      <c r="B183" s="645" t="s">
        <v>268</v>
      </c>
      <c r="C183" s="646"/>
      <c r="D183" s="646"/>
      <c r="E183" s="646"/>
      <c r="F183" s="646"/>
      <c r="G183" s="646"/>
      <c r="H183" s="153">
        <v>1140</v>
      </c>
      <c r="I183" s="631" t="s">
        <v>263</v>
      </c>
      <c r="J183" s="631"/>
      <c r="K183" s="631"/>
      <c r="L183" s="631"/>
      <c r="M183" s="631"/>
      <c r="N183" s="631"/>
      <c r="O183" s="631"/>
      <c r="P183" s="631"/>
      <c r="Q183" s="631"/>
      <c r="R183" s="631"/>
      <c r="S183" s="631"/>
      <c r="T183" s="631"/>
      <c r="U183" s="632"/>
      <c r="V183" s="39">
        <v>350</v>
      </c>
    </row>
    <row r="184" spans="1:22" s="40" customFormat="1" ht="12.75">
      <c r="A184" s="412" t="s">
        <v>125</v>
      </c>
      <c r="B184" s="397" t="s">
        <v>245</v>
      </c>
      <c r="C184" s="459"/>
      <c r="D184" s="459"/>
      <c r="E184" s="459"/>
      <c r="F184" s="459"/>
      <c r="G184" s="460"/>
      <c r="H184" s="449">
        <f>200+60+30+120+250+400+220+300+280+200+200</f>
        <v>2260</v>
      </c>
      <c r="I184" s="397" t="s">
        <v>240</v>
      </c>
      <c r="J184" s="398"/>
      <c r="K184" s="398"/>
      <c r="L184" s="398"/>
      <c r="M184" s="398"/>
      <c r="N184" s="398"/>
      <c r="O184" s="398"/>
      <c r="P184" s="398"/>
      <c r="Q184" s="398"/>
      <c r="R184" s="398"/>
      <c r="S184" s="398"/>
      <c r="T184" s="398"/>
      <c r="U184" s="399"/>
      <c r="V184" s="449">
        <v>363</v>
      </c>
    </row>
    <row r="185" spans="1:22" s="40" customFormat="1" ht="101.25" customHeight="1">
      <c r="A185" s="413"/>
      <c r="B185" s="481"/>
      <c r="C185" s="482"/>
      <c r="D185" s="482"/>
      <c r="E185" s="482"/>
      <c r="F185" s="482"/>
      <c r="G185" s="483"/>
      <c r="H185" s="450"/>
      <c r="I185" s="409"/>
      <c r="J185" s="410"/>
      <c r="K185" s="410"/>
      <c r="L185" s="410"/>
      <c r="M185" s="410"/>
      <c r="N185" s="410"/>
      <c r="O185" s="410"/>
      <c r="P185" s="410"/>
      <c r="Q185" s="410"/>
      <c r="R185" s="410"/>
      <c r="S185" s="410"/>
      <c r="T185" s="410"/>
      <c r="U185" s="411"/>
      <c r="V185" s="474"/>
    </row>
    <row r="186" spans="1:22" ht="12.75" customHeight="1">
      <c r="A186" s="412" t="s">
        <v>126</v>
      </c>
      <c r="B186" s="432"/>
      <c r="C186" s="433"/>
      <c r="D186" s="433"/>
      <c r="E186" s="433"/>
      <c r="F186" s="433"/>
      <c r="G186" s="434"/>
      <c r="H186" s="590">
        <v>0</v>
      </c>
      <c r="I186" s="397" t="s">
        <v>188</v>
      </c>
      <c r="J186" s="398"/>
      <c r="K186" s="398"/>
      <c r="L186" s="398"/>
      <c r="M186" s="398"/>
      <c r="N186" s="398"/>
      <c r="O186" s="398"/>
      <c r="P186" s="398"/>
      <c r="Q186" s="398"/>
      <c r="R186" s="398"/>
      <c r="S186" s="398"/>
      <c r="T186" s="398"/>
      <c r="U186" s="399"/>
      <c r="V186" s="590">
        <v>620</v>
      </c>
    </row>
    <row r="187" spans="1:22" ht="12" customHeight="1">
      <c r="A187" s="413"/>
      <c r="B187" s="435"/>
      <c r="C187" s="436"/>
      <c r="D187" s="436"/>
      <c r="E187" s="436"/>
      <c r="F187" s="436"/>
      <c r="G187" s="437"/>
      <c r="H187" s="605"/>
      <c r="I187" s="409"/>
      <c r="J187" s="410"/>
      <c r="K187" s="410"/>
      <c r="L187" s="410"/>
      <c r="M187" s="410"/>
      <c r="N187" s="410"/>
      <c r="O187" s="410"/>
      <c r="P187" s="410"/>
      <c r="Q187" s="410"/>
      <c r="R187" s="410"/>
      <c r="S187" s="410"/>
      <c r="T187" s="410"/>
      <c r="U187" s="411"/>
      <c r="V187" s="474"/>
    </row>
    <row r="188" spans="1:22" s="40" customFormat="1" ht="18.75" customHeight="1">
      <c r="A188" s="50" t="s">
        <v>127</v>
      </c>
      <c r="B188" s="578"/>
      <c r="C188" s="579"/>
      <c r="D188" s="579"/>
      <c r="E188" s="579"/>
      <c r="F188" s="579"/>
      <c r="G188" s="580"/>
      <c r="H188" s="70">
        <v>0</v>
      </c>
      <c r="I188" s="68" t="s">
        <v>190</v>
      </c>
      <c r="J188" s="69"/>
      <c r="K188" s="69"/>
      <c r="L188" s="69"/>
      <c r="M188" s="69"/>
      <c r="N188" s="69"/>
      <c r="O188" s="69"/>
      <c r="P188" s="69"/>
      <c r="Q188" s="69"/>
      <c r="R188" s="69"/>
      <c r="S188" s="69"/>
      <c r="T188" s="69"/>
      <c r="U188" s="69"/>
      <c r="V188" s="59">
        <v>835</v>
      </c>
    </row>
    <row r="189" spans="1:22" s="40" customFormat="1" ht="31.5" customHeight="1">
      <c r="A189" s="31" t="s">
        <v>131</v>
      </c>
      <c r="B189" s="406" t="s">
        <v>239</v>
      </c>
      <c r="C189" s="407"/>
      <c r="D189" s="407"/>
      <c r="E189" s="407"/>
      <c r="F189" s="407"/>
      <c r="G189" s="408"/>
      <c r="H189" s="38">
        <v>200</v>
      </c>
      <c r="I189" s="555" t="s">
        <v>264</v>
      </c>
      <c r="J189" s="601"/>
      <c r="K189" s="601"/>
      <c r="L189" s="601"/>
      <c r="M189" s="601"/>
      <c r="N189" s="601"/>
      <c r="O189" s="601"/>
      <c r="P189" s="601"/>
      <c r="Q189" s="601"/>
      <c r="R189" s="601"/>
      <c r="S189" s="601"/>
      <c r="T189" s="601"/>
      <c r="U189" s="602"/>
      <c r="V189" s="39">
        <v>720</v>
      </c>
    </row>
    <row r="190" spans="1:22" s="40" customFormat="1" ht="12.75" customHeight="1">
      <c r="A190" s="412" t="s">
        <v>128</v>
      </c>
      <c r="B190" s="432"/>
      <c r="C190" s="433"/>
      <c r="D190" s="433"/>
      <c r="E190" s="433"/>
      <c r="F190" s="433"/>
      <c r="G190" s="434"/>
      <c r="H190" s="590">
        <v>0</v>
      </c>
      <c r="I190" s="633" t="s">
        <v>265</v>
      </c>
      <c r="J190" s="634"/>
      <c r="K190" s="634"/>
      <c r="L190" s="634"/>
      <c r="M190" s="634"/>
      <c r="N190" s="634"/>
      <c r="O190" s="634"/>
      <c r="P190" s="634"/>
      <c r="Q190" s="634"/>
      <c r="R190" s="634"/>
      <c r="S190" s="634"/>
      <c r="T190" s="634"/>
      <c r="U190" s="635"/>
      <c r="V190" s="512">
        <v>200</v>
      </c>
    </row>
    <row r="191" spans="1:22" s="40" customFormat="1" ht="12.75" customHeight="1">
      <c r="A191" s="413"/>
      <c r="B191" s="435"/>
      <c r="C191" s="436"/>
      <c r="D191" s="436"/>
      <c r="E191" s="436"/>
      <c r="F191" s="436"/>
      <c r="G191" s="437"/>
      <c r="H191" s="605"/>
      <c r="I191" s="636"/>
      <c r="J191" s="637"/>
      <c r="K191" s="637"/>
      <c r="L191" s="637"/>
      <c r="M191" s="637"/>
      <c r="N191" s="637"/>
      <c r="O191" s="637"/>
      <c r="P191" s="637"/>
      <c r="Q191" s="637"/>
      <c r="R191" s="637"/>
      <c r="S191" s="637"/>
      <c r="T191" s="637"/>
      <c r="U191" s="638"/>
      <c r="V191" s="639"/>
    </row>
    <row r="192" spans="1:22" s="40" customFormat="1" ht="23.25" thickBot="1">
      <c r="A192" s="31" t="s">
        <v>129</v>
      </c>
      <c r="B192" s="36"/>
      <c r="C192" s="37"/>
      <c r="D192" s="37"/>
      <c r="E192" s="37"/>
      <c r="F192" s="37"/>
      <c r="G192" s="37"/>
      <c r="H192" s="38">
        <v>0</v>
      </c>
      <c r="I192" s="36"/>
      <c r="J192" s="37"/>
      <c r="K192" s="37"/>
      <c r="L192" s="37"/>
      <c r="M192" s="37"/>
      <c r="N192" s="37"/>
      <c r="O192" s="37"/>
      <c r="P192" s="37"/>
      <c r="Q192" s="37"/>
      <c r="R192" s="37"/>
      <c r="S192" s="37"/>
      <c r="T192" s="37"/>
      <c r="U192" s="37"/>
      <c r="V192" s="39">
        <v>0</v>
      </c>
    </row>
    <row r="193" spans="1:22" ht="13.5" thickBot="1">
      <c r="A193" s="26" t="s">
        <v>71</v>
      </c>
      <c r="B193" s="27"/>
      <c r="C193" s="28"/>
      <c r="D193" s="28"/>
      <c r="E193" s="28"/>
      <c r="F193" s="28"/>
      <c r="G193" s="28"/>
      <c r="H193" s="29">
        <f>SUM(H194:H217)</f>
        <v>2832</v>
      </c>
      <c r="I193" s="30"/>
      <c r="J193" s="28"/>
      <c r="K193" s="28"/>
      <c r="L193" s="28"/>
      <c r="M193" s="28"/>
      <c r="N193" s="28"/>
      <c r="O193" s="28"/>
      <c r="P193" s="28"/>
      <c r="Q193" s="28"/>
      <c r="R193" s="28"/>
      <c r="S193" s="28"/>
      <c r="T193" s="28"/>
      <c r="U193" s="28"/>
      <c r="V193" s="29">
        <f>SUM(V194:V217)</f>
        <v>10691</v>
      </c>
    </row>
    <row r="194" spans="1:22" s="40" customFormat="1" ht="12.75" customHeight="1">
      <c r="A194" s="440" t="s">
        <v>72</v>
      </c>
      <c r="B194" s="441" t="s">
        <v>155</v>
      </c>
      <c r="C194" s="442"/>
      <c r="D194" s="442"/>
      <c r="E194" s="442"/>
      <c r="F194" s="442"/>
      <c r="G194" s="443"/>
      <c r="H194" s="591">
        <v>100</v>
      </c>
      <c r="I194" s="441" t="s">
        <v>160</v>
      </c>
      <c r="J194" s="442"/>
      <c r="K194" s="442"/>
      <c r="L194" s="442"/>
      <c r="M194" s="442"/>
      <c r="N194" s="442"/>
      <c r="O194" s="442"/>
      <c r="P194" s="442"/>
      <c r="Q194" s="442"/>
      <c r="R194" s="442"/>
      <c r="S194" s="442"/>
      <c r="T194" s="442"/>
      <c r="U194" s="443"/>
      <c r="V194" s="586">
        <v>660</v>
      </c>
    </row>
    <row r="195" spans="1:22" s="40" customFormat="1" ht="19.5" customHeight="1">
      <c r="A195" s="413"/>
      <c r="B195" s="444"/>
      <c r="C195" s="445"/>
      <c r="D195" s="445"/>
      <c r="E195" s="445"/>
      <c r="F195" s="445"/>
      <c r="G195" s="446"/>
      <c r="H195" s="592"/>
      <c r="I195" s="409"/>
      <c r="J195" s="410"/>
      <c r="K195" s="410"/>
      <c r="L195" s="410"/>
      <c r="M195" s="410"/>
      <c r="N195" s="410"/>
      <c r="O195" s="410"/>
      <c r="P195" s="410"/>
      <c r="Q195" s="410"/>
      <c r="R195" s="410"/>
      <c r="S195" s="410"/>
      <c r="T195" s="410"/>
      <c r="U195" s="411"/>
      <c r="V195" s="587"/>
    </row>
    <row r="196" spans="1:22" s="40" customFormat="1" ht="21" customHeight="1">
      <c r="A196" s="141" t="s">
        <v>87</v>
      </c>
      <c r="B196" s="406" t="s">
        <v>202</v>
      </c>
      <c r="C196" s="407"/>
      <c r="D196" s="407"/>
      <c r="E196" s="407"/>
      <c r="F196" s="407"/>
      <c r="G196" s="408"/>
      <c r="H196" s="70">
        <v>550</v>
      </c>
      <c r="I196" s="555" t="s">
        <v>156</v>
      </c>
      <c r="J196" s="588"/>
      <c r="K196" s="588"/>
      <c r="L196" s="588"/>
      <c r="M196" s="588"/>
      <c r="N196" s="588"/>
      <c r="O196" s="588"/>
      <c r="P196" s="588"/>
      <c r="Q196" s="588"/>
      <c r="R196" s="588"/>
      <c r="S196" s="588"/>
      <c r="T196" s="588"/>
      <c r="U196" s="589"/>
      <c r="V196" s="59">
        <f>340+250</f>
        <v>590</v>
      </c>
    </row>
    <row r="197" spans="1:22" s="40" customFormat="1" ht="12.75" customHeight="1">
      <c r="A197" s="412" t="s">
        <v>97</v>
      </c>
      <c r="B197" s="397" t="s">
        <v>253</v>
      </c>
      <c r="C197" s="459"/>
      <c r="D197" s="459"/>
      <c r="E197" s="459"/>
      <c r="F197" s="459"/>
      <c r="G197" s="460"/>
      <c r="H197" s="467">
        <f>220+150</f>
        <v>370</v>
      </c>
      <c r="I197" s="547" t="s">
        <v>255</v>
      </c>
      <c r="J197" s="593"/>
      <c r="K197" s="593"/>
      <c r="L197" s="593"/>
      <c r="M197" s="593"/>
      <c r="N197" s="593"/>
      <c r="O197" s="593"/>
      <c r="P197" s="593"/>
      <c r="Q197" s="593"/>
      <c r="R197" s="593"/>
      <c r="S197" s="593"/>
      <c r="T197" s="593"/>
      <c r="U197" s="594"/>
      <c r="V197" s="467">
        <v>380</v>
      </c>
    </row>
    <row r="198" spans="1:22" s="40" customFormat="1" ht="12.75" customHeight="1">
      <c r="A198" s="470"/>
      <c r="B198" s="461"/>
      <c r="C198" s="462"/>
      <c r="D198" s="462"/>
      <c r="E198" s="462"/>
      <c r="F198" s="462"/>
      <c r="G198" s="463"/>
      <c r="H198" s="468"/>
      <c r="I198" s="595"/>
      <c r="J198" s="596"/>
      <c r="K198" s="596"/>
      <c r="L198" s="596"/>
      <c r="M198" s="596"/>
      <c r="N198" s="596"/>
      <c r="O198" s="596"/>
      <c r="P198" s="596"/>
      <c r="Q198" s="596"/>
      <c r="R198" s="596"/>
      <c r="S198" s="596"/>
      <c r="T198" s="596"/>
      <c r="U198" s="597"/>
      <c r="V198" s="468"/>
    </row>
    <row r="199" spans="1:22" s="40" customFormat="1" ht="32.25" customHeight="1" thickBot="1">
      <c r="A199" s="471"/>
      <c r="B199" s="464"/>
      <c r="C199" s="465"/>
      <c r="D199" s="465"/>
      <c r="E199" s="465"/>
      <c r="F199" s="465"/>
      <c r="G199" s="466"/>
      <c r="H199" s="469"/>
      <c r="I199" s="598"/>
      <c r="J199" s="599"/>
      <c r="K199" s="599"/>
      <c r="L199" s="599"/>
      <c r="M199" s="599"/>
      <c r="N199" s="599"/>
      <c r="O199" s="599"/>
      <c r="P199" s="599"/>
      <c r="Q199" s="599"/>
      <c r="R199" s="599"/>
      <c r="S199" s="599"/>
      <c r="T199" s="599"/>
      <c r="U199" s="600"/>
      <c r="V199" s="469"/>
    </row>
    <row r="200" spans="1:22" s="86" customFormat="1" ht="6.75" customHeight="1">
      <c r="A200" s="81"/>
      <c r="B200" s="82"/>
      <c r="C200" s="79"/>
      <c r="D200" s="79"/>
      <c r="E200" s="79"/>
      <c r="F200" s="79"/>
      <c r="G200" s="79"/>
      <c r="H200" s="83"/>
      <c r="I200" s="84"/>
      <c r="J200" s="79"/>
      <c r="K200" s="79"/>
      <c r="L200" s="79"/>
      <c r="M200" s="79"/>
      <c r="N200" s="79"/>
      <c r="O200" s="79"/>
      <c r="P200" s="79"/>
      <c r="Q200" s="79"/>
      <c r="R200" s="79"/>
      <c r="S200" s="79"/>
      <c r="T200" s="79"/>
      <c r="U200" s="79"/>
      <c r="V200" s="85"/>
    </row>
    <row r="201" spans="1:22" ht="23.25" customHeight="1" thickBot="1">
      <c r="A201" s="423" t="s">
        <v>148</v>
      </c>
      <c r="B201" s="423"/>
      <c r="C201" s="423"/>
      <c r="D201" s="423"/>
      <c r="E201" s="423"/>
      <c r="F201" s="423"/>
      <c r="G201" s="423"/>
      <c r="H201" s="423"/>
      <c r="I201" s="423"/>
      <c r="J201" s="423"/>
      <c r="K201" s="423"/>
      <c r="L201" s="423"/>
      <c r="M201" s="423"/>
      <c r="N201" s="423"/>
      <c r="O201" s="423"/>
      <c r="P201" s="423"/>
      <c r="Q201" s="423"/>
      <c r="R201" s="423"/>
      <c r="S201" s="423"/>
      <c r="T201" s="423"/>
      <c r="U201" s="423"/>
      <c r="V201" s="423"/>
    </row>
    <row r="202" spans="1:34" ht="22.5">
      <c r="A202" s="18" t="s">
        <v>3</v>
      </c>
      <c r="B202" s="139" t="s">
        <v>89</v>
      </c>
      <c r="C202" s="139"/>
      <c r="D202" s="139"/>
      <c r="E202" s="139"/>
      <c r="F202" s="139"/>
      <c r="G202" s="140"/>
      <c r="H202" s="19" t="s">
        <v>32</v>
      </c>
      <c r="I202" s="424" t="s">
        <v>88</v>
      </c>
      <c r="J202" s="425"/>
      <c r="K202" s="425"/>
      <c r="L202" s="425"/>
      <c r="M202" s="425"/>
      <c r="N202" s="425"/>
      <c r="O202" s="425"/>
      <c r="P202" s="425"/>
      <c r="Q202" s="425"/>
      <c r="R202" s="425"/>
      <c r="S202" s="425"/>
      <c r="T202" s="425"/>
      <c r="U202" s="426"/>
      <c r="V202" s="20" t="s">
        <v>32</v>
      </c>
      <c r="W202" s="16"/>
      <c r="X202" s="17"/>
      <c r="Y202" s="451"/>
      <c r="Z202" s="452"/>
      <c r="AC202" s="17"/>
      <c r="AH202" s="17"/>
    </row>
    <row r="203" spans="1:34" ht="13.5" thickBot="1">
      <c r="A203" s="21"/>
      <c r="B203" s="22" t="s">
        <v>64</v>
      </c>
      <c r="C203" s="22"/>
      <c r="D203" s="22"/>
      <c r="E203" s="22"/>
      <c r="F203" s="22"/>
      <c r="G203" s="23"/>
      <c r="H203" s="24" t="s">
        <v>65</v>
      </c>
      <c r="I203" s="427"/>
      <c r="J203" s="428"/>
      <c r="K203" s="428"/>
      <c r="L203" s="428"/>
      <c r="M203" s="428"/>
      <c r="N203" s="428"/>
      <c r="O203" s="428"/>
      <c r="P203" s="428"/>
      <c r="Q203" s="428"/>
      <c r="R203" s="428"/>
      <c r="S203" s="428"/>
      <c r="T203" s="428"/>
      <c r="U203" s="429"/>
      <c r="V203" s="25" t="s">
        <v>66</v>
      </c>
      <c r="W203" s="16"/>
      <c r="X203" s="17"/>
      <c r="Y203" s="451"/>
      <c r="Z203" s="452"/>
      <c r="AC203" s="17"/>
      <c r="AH203" s="17"/>
    </row>
    <row r="204" spans="1:22" ht="24.75" customHeight="1">
      <c r="A204" s="87" t="s">
        <v>37</v>
      </c>
      <c r="B204" s="403" t="s">
        <v>158</v>
      </c>
      <c r="C204" s="404"/>
      <c r="D204" s="404"/>
      <c r="E204" s="404"/>
      <c r="F204" s="404"/>
      <c r="G204" s="405"/>
      <c r="H204" s="54">
        <f>100+110</f>
        <v>210</v>
      </c>
      <c r="I204" s="575" t="s">
        <v>159</v>
      </c>
      <c r="J204" s="576"/>
      <c r="K204" s="576"/>
      <c r="L204" s="576"/>
      <c r="M204" s="576"/>
      <c r="N204" s="576"/>
      <c r="O204" s="576"/>
      <c r="P204" s="576"/>
      <c r="Q204" s="576"/>
      <c r="R204" s="576"/>
      <c r="S204" s="576"/>
      <c r="T204" s="576"/>
      <c r="U204" s="577"/>
      <c r="V204" s="88">
        <v>300</v>
      </c>
    </row>
    <row r="205" spans="1:22" s="40" customFormat="1" ht="12.75" customHeight="1">
      <c r="A205" s="141" t="s">
        <v>91</v>
      </c>
      <c r="B205" s="578"/>
      <c r="C205" s="579"/>
      <c r="D205" s="579"/>
      <c r="E205" s="579"/>
      <c r="F205" s="579"/>
      <c r="G205" s="580"/>
      <c r="H205" s="70">
        <v>0</v>
      </c>
      <c r="I205" s="583" t="s">
        <v>170</v>
      </c>
      <c r="J205" s="584"/>
      <c r="K205" s="584"/>
      <c r="L205" s="584"/>
      <c r="M205" s="584"/>
      <c r="N205" s="584"/>
      <c r="O205" s="584"/>
      <c r="P205" s="584"/>
      <c r="Q205" s="584"/>
      <c r="R205" s="584"/>
      <c r="S205" s="584"/>
      <c r="T205" s="584"/>
      <c r="U205" s="585"/>
      <c r="V205" s="147">
        <f>100+400</f>
        <v>500</v>
      </c>
    </row>
    <row r="206" spans="1:22" s="40" customFormat="1" ht="37.5" customHeight="1">
      <c r="A206" s="141" t="s">
        <v>92</v>
      </c>
      <c r="B206" s="406"/>
      <c r="C206" s="438"/>
      <c r="D206" s="438"/>
      <c r="E206" s="438"/>
      <c r="F206" s="438"/>
      <c r="G206" s="439"/>
      <c r="H206" s="38">
        <v>0</v>
      </c>
      <c r="I206" s="36"/>
      <c r="J206" s="37"/>
      <c r="K206" s="37"/>
      <c r="L206" s="37"/>
      <c r="M206" s="37"/>
      <c r="N206" s="37"/>
      <c r="O206" s="37"/>
      <c r="P206" s="37"/>
      <c r="Q206" s="37"/>
      <c r="R206" s="37"/>
      <c r="S206" s="37"/>
      <c r="T206" s="37"/>
      <c r="U206" s="37"/>
      <c r="V206" s="39">
        <v>0</v>
      </c>
    </row>
    <row r="207" spans="1:22" s="92" customFormat="1" ht="24.75" customHeight="1">
      <c r="A207" s="89" t="s">
        <v>38</v>
      </c>
      <c r="B207" s="509"/>
      <c r="C207" s="581"/>
      <c r="D207" s="581"/>
      <c r="E207" s="581"/>
      <c r="F207" s="581"/>
      <c r="G207" s="582"/>
      <c r="H207" s="90">
        <v>0</v>
      </c>
      <c r="I207" s="509"/>
      <c r="J207" s="510"/>
      <c r="K207" s="510"/>
      <c r="L207" s="510"/>
      <c r="M207" s="510"/>
      <c r="N207" s="510"/>
      <c r="O207" s="510"/>
      <c r="P207" s="510"/>
      <c r="Q207" s="510"/>
      <c r="R207" s="510"/>
      <c r="S207" s="510"/>
      <c r="T207" s="510"/>
      <c r="U207" s="511"/>
      <c r="V207" s="91">
        <v>0</v>
      </c>
    </row>
    <row r="208" spans="1:22" s="40" customFormat="1" ht="12.75" customHeight="1">
      <c r="A208" s="31" t="s">
        <v>39</v>
      </c>
      <c r="B208" s="36"/>
      <c r="C208" s="37"/>
      <c r="D208" s="37"/>
      <c r="E208" s="37"/>
      <c r="F208" s="37"/>
      <c r="G208" s="37"/>
      <c r="H208" s="38">
        <v>0</v>
      </c>
      <c r="I208" s="36" t="s">
        <v>162</v>
      </c>
      <c r="J208" s="37"/>
      <c r="K208" s="37"/>
      <c r="L208" s="37"/>
      <c r="M208" s="37"/>
      <c r="N208" s="37"/>
      <c r="O208" s="37"/>
      <c r="P208" s="37"/>
      <c r="Q208" s="37"/>
      <c r="R208" s="37"/>
      <c r="S208" s="37"/>
      <c r="T208" s="37"/>
      <c r="U208" s="37"/>
      <c r="V208" s="39">
        <f>480+320</f>
        <v>800</v>
      </c>
    </row>
    <row r="209" spans="1:22" s="40" customFormat="1" ht="69.75" customHeight="1">
      <c r="A209" s="31" t="s">
        <v>40</v>
      </c>
      <c r="B209" s="406" t="s">
        <v>269</v>
      </c>
      <c r="C209" s="438"/>
      <c r="D209" s="438"/>
      <c r="E209" s="438"/>
      <c r="F209" s="438"/>
      <c r="G209" s="439"/>
      <c r="H209" s="38">
        <f>100+150+150+600</f>
        <v>1000</v>
      </c>
      <c r="I209" s="406" t="s">
        <v>233</v>
      </c>
      <c r="J209" s="601"/>
      <c r="K209" s="601"/>
      <c r="L209" s="601"/>
      <c r="M209" s="601"/>
      <c r="N209" s="601"/>
      <c r="O209" s="601"/>
      <c r="P209" s="601"/>
      <c r="Q209" s="601"/>
      <c r="R209" s="601"/>
      <c r="S209" s="601"/>
      <c r="T209" s="601"/>
      <c r="U209" s="602"/>
      <c r="V209" s="39">
        <f>350+250</f>
        <v>600</v>
      </c>
    </row>
    <row r="210" spans="1:22" s="40" customFormat="1" ht="19.5" customHeight="1">
      <c r="A210" s="31" t="s">
        <v>93</v>
      </c>
      <c r="B210" s="406"/>
      <c r="C210" s="407"/>
      <c r="D210" s="407"/>
      <c r="E210" s="407"/>
      <c r="F210" s="407"/>
      <c r="G210" s="408"/>
      <c r="H210" s="38">
        <v>0</v>
      </c>
      <c r="I210" s="32"/>
      <c r="J210" s="37"/>
      <c r="K210" s="37"/>
      <c r="L210" s="37"/>
      <c r="M210" s="37"/>
      <c r="N210" s="37"/>
      <c r="O210" s="37"/>
      <c r="P210" s="37"/>
      <c r="Q210" s="37"/>
      <c r="R210" s="37"/>
      <c r="S210" s="37"/>
      <c r="T210" s="37"/>
      <c r="U210" s="37"/>
      <c r="V210" s="39">
        <v>0</v>
      </c>
    </row>
    <row r="211" spans="1:22" s="40" customFormat="1" ht="22.5" customHeight="1">
      <c r="A211" s="148" t="s">
        <v>41</v>
      </c>
      <c r="B211" s="509" t="s">
        <v>250</v>
      </c>
      <c r="C211" s="510"/>
      <c r="D211" s="510"/>
      <c r="E211" s="510"/>
      <c r="F211" s="510"/>
      <c r="G211" s="511"/>
      <c r="H211" s="90">
        <v>202</v>
      </c>
      <c r="I211" s="36"/>
      <c r="J211" s="37"/>
      <c r="K211" s="37"/>
      <c r="L211" s="37"/>
      <c r="M211" s="37"/>
      <c r="N211" s="37"/>
      <c r="O211" s="37"/>
      <c r="P211" s="37"/>
      <c r="Q211" s="37"/>
      <c r="R211" s="37"/>
      <c r="S211" s="37"/>
      <c r="T211" s="37"/>
      <c r="U211" s="37"/>
      <c r="V211" s="39">
        <v>0</v>
      </c>
    </row>
    <row r="212" spans="1:22" s="40" customFormat="1" ht="33.75" customHeight="1">
      <c r="A212" s="55" t="s">
        <v>73</v>
      </c>
      <c r="B212" s="36"/>
      <c r="C212" s="37"/>
      <c r="D212" s="37"/>
      <c r="E212" s="37"/>
      <c r="F212" s="37"/>
      <c r="G212" s="37"/>
      <c r="H212" s="38">
        <v>0</v>
      </c>
      <c r="I212" s="555" t="s">
        <v>256</v>
      </c>
      <c r="J212" s="556"/>
      <c r="K212" s="556"/>
      <c r="L212" s="556"/>
      <c r="M212" s="556"/>
      <c r="N212" s="556"/>
      <c r="O212" s="556"/>
      <c r="P212" s="556"/>
      <c r="Q212" s="556"/>
      <c r="R212" s="556"/>
      <c r="S212" s="556"/>
      <c r="T212" s="556"/>
      <c r="U212" s="557"/>
      <c r="V212" s="39">
        <f>400+3461+50</f>
        <v>3911</v>
      </c>
    </row>
    <row r="213" spans="1:22" s="40" customFormat="1" ht="12.75" customHeight="1">
      <c r="A213" s="55" t="s">
        <v>42</v>
      </c>
      <c r="B213" s="36"/>
      <c r="C213" s="37"/>
      <c r="D213" s="37"/>
      <c r="E213" s="37"/>
      <c r="F213" s="37"/>
      <c r="G213" s="37"/>
      <c r="H213" s="38">
        <v>0</v>
      </c>
      <c r="I213" s="572" t="s">
        <v>166</v>
      </c>
      <c r="J213" s="573"/>
      <c r="K213" s="573"/>
      <c r="L213" s="573"/>
      <c r="M213" s="573"/>
      <c r="N213" s="573"/>
      <c r="O213" s="573"/>
      <c r="P213" s="573"/>
      <c r="Q213" s="573"/>
      <c r="R213" s="573"/>
      <c r="S213" s="573"/>
      <c r="T213" s="573"/>
      <c r="U213" s="574"/>
      <c r="V213" s="39">
        <f>235+75</f>
        <v>310</v>
      </c>
    </row>
    <row r="214" spans="1:22" s="40" customFormat="1" ht="12.75" customHeight="1">
      <c r="A214" s="412" t="s">
        <v>43</v>
      </c>
      <c r="B214" s="397"/>
      <c r="C214" s="459"/>
      <c r="D214" s="459"/>
      <c r="E214" s="459"/>
      <c r="F214" s="459"/>
      <c r="G214" s="460"/>
      <c r="H214" s="449">
        <v>0</v>
      </c>
      <c r="I214" s="561" t="s">
        <v>229</v>
      </c>
      <c r="J214" s="562"/>
      <c r="K214" s="562"/>
      <c r="L214" s="562"/>
      <c r="M214" s="562"/>
      <c r="N214" s="562"/>
      <c r="O214" s="562"/>
      <c r="P214" s="562"/>
      <c r="Q214" s="562"/>
      <c r="R214" s="562"/>
      <c r="S214" s="562"/>
      <c r="T214" s="562"/>
      <c r="U214" s="563"/>
      <c r="V214" s="449">
        <f>100+200+80+380</f>
        <v>760</v>
      </c>
    </row>
    <row r="215" spans="1:22" s="40" customFormat="1" ht="12.75" customHeight="1">
      <c r="A215" s="413"/>
      <c r="B215" s="481"/>
      <c r="C215" s="482"/>
      <c r="D215" s="482"/>
      <c r="E215" s="482"/>
      <c r="F215" s="482"/>
      <c r="G215" s="483"/>
      <c r="H215" s="450"/>
      <c r="I215" s="564"/>
      <c r="J215" s="565"/>
      <c r="K215" s="565"/>
      <c r="L215" s="565"/>
      <c r="M215" s="565"/>
      <c r="N215" s="565"/>
      <c r="O215" s="565"/>
      <c r="P215" s="565"/>
      <c r="Q215" s="565"/>
      <c r="R215" s="565"/>
      <c r="S215" s="565"/>
      <c r="T215" s="565"/>
      <c r="U215" s="566"/>
      <c r="V215" s="450"/>
    </row>
    <row r="216" spans="1:22" s="40" customFormat="1" ht="36.75" customHeight="1">
      <c r="A216" s="142" t="s">
        <v>95</v>
      </c>
      <c r="B216" s="406" t="s">
        <v>254</v>
      </c>
      <c r="C216" s="438"/>
      <c r="D216" s="438"/>
      <c r="E216" s="438"/>
      <c r="F216" s="438"/>
      <c r="G216" s="439"/>
      <c r="H216" s="38">
        <v>400</v>
      </c>
      <c r="I216" s="406" t="s">
        <v>168</v>
      </c>
      <c r="J216" s="438"/>
      <c r="K216" s="438"/>
      <c r="L216" s="438"/>
      <c r="M216" s="438"/>
      <c r="N216" s="438"/>
      <c r="O216" s="438"/>
      <c r="P216" s="438"/>
      <c r="Q216" s="438"/>
      <c r="R216" s="438"/>
      <c r="S216" s="438"/>
      <c r="T216" s="438"/>
      <c r="U216" s="439"/>
      <c r="V216" s="39">
        <f>900+150+250+315</f>
        <v>1615</v>
      </c>
    </row>
    <row r="217" spans="1:22" s="40" customFormat="1" ht="21" customHeight="1" thickBot="1">
      <c r="A217" s="187" t="s">
        <v>96</v>
      </c>
      <c r="B217" s="567"/>
      <c r="C217" s="568"/>
      <c r="D217" s="568"/>
      <c r="E217" s="568"/>
      <c r="F217" s="568"/>
      <c r="G217" s="569"/>
      <c r="H217" s="38">
        <v>0</v>
      </c>
      <c r="I217" s="400" t="s">
        <v>257</v>
      </c>
      <c r="J217" s="570"/>
      <c r="K217" s="570"/>
      <c r="L217" s="570"/>
      <c r="M217" s="570"/>
      <c r="N217" s="570"/>
      <c r="O217" s="570"/>
      <c r="P217" s="570"/>
      <c r="Q217" s="570"/>
      <c r="R217" s="570"/>
      <c r="S217" s="570"/>
      <c r="T217" s="570"/>
      <c r="U217" s="571"/>
      <c r="V217" s="39">
        <f>130+135</f>
        <v>265</v>
      </c>
    </row>
    <row r="218" spans="1:22" s="40" customFormat="1" ht="12.75" customHeight="1" thickBot="1">
      <c r="A218" s="26" t="s">
        <v>44</v>
      </c>
      <c r="B218" s="93"/>
      <c r="C218" s="94"/>
      <c r="D218" s="94"/>
      <c r="E218" s="94"/>
      <c r="F218" s="94"/>
      <c r="G218" s="94"/>
      <c r="H218" s="29">
        <f>SUM(H219)</f>
        <v>0</v>
      </c>
      <c r="I218" s="93"/>
      <c r="J218" s="94"/>
      <c r="K218" s="94"/>
      <c r="L218" s="94"/>
      <c r="M218" s="94"/>
      <c r="N218" s="94"/>
      <c r="O218" s="94"/>
      <c r="P218" s="94"/>
      <c r="Q218" s="94"/>
      <c r="R218" s="94"/>
      <c r="S218" s="94"/>
      <c r="T218" s="94"/>
      <c r="U218" s="95"/>
      <c r="V218" s="29">
        <f>SUM(V219)</f>
        <v>210</v>
      </c>
    </row>
    <row r="219" spans="1:22" s="40" customFormat="1" ht="23.25" customHeight="1" thickBot="1">
      <c r="A219" s="96" t="s">
        <v>134</v>
      </c>
      <c r="B219" s="97"/>
      <c r="C219" s="98"/>
      <c r="D219" s="98"/>
      <c r="E219" s="98"/>
      <c r="F219" s="98"/>
      <c r="G219" s="98"/>
      <c r="H219" s="99">
        <v>0</v>
      </c>
      <c r="I219" s="100" t="s">
        <v>173</v>
      </c>
      <c r="J219" s="98"/>
      <c r="K219" s="98"/>
      <c r="L219" s="98"/>
      <c r="M219" s="98"/>
      <c r="N219" s="98"/>
      <c r="O219" s="98"/>
      <c r="P219" s="98"/>
      <c r="Q219" s="98"/>
      <c r="R219" s="98"/>
      <c r="S219" s="98"/>
      <c r="T219" s="98"/>
      <c r="U219" s="98"/>
      <c r="V219" s="99">
        <v>210</v>
      </c>
    </row>
    <row r="220" spans="1:22" ht="12.75" customHeight="1" thickBot="1">
      <c r="A220" s="101" t="s">
        <v>22</v>
      </c>
      <c r="B220" s="97"/>
      <c r="C220" s="98"/>
      <c r="D220" s="98"/>
      <c r="E220" s="98"/>
      <c r="F220" s="98"/>
      <c r="G220" s="98"/>
      <c r="H220" s="102">
        <f>SUM(H221+H223)</f>
        <v>0</v>
      </c>
      <c r="I220" s="97"/>
      <c r="J220" s="98"/>
      <c r="K220" s="98"/>
      <c r="L220" s="98"/>
      <c r="M220" s="98"/>
      <c r="N220" s="98"/>
      <c r="O220" s="98"/>
      <c r="P220" s="98"/>
      <c r="Q220" s="98"/>
      <c r="R220" s="98"/>
      <c r="S220" s="98"/>
      <c r="T220" s="98"/>
      <c r="U220" s="98"/>
      <c r="V220" s="102">
        <f>SUM(V221)</f>
        <v>9180</v>
      </c>
    </row>
    <row r="221" spans="1:22" ht="12.75" customHeight="1">
      <c r="A221" s="516" t="s">
        <v>74</v>
      </c>
      <c r="B221" s="529"/>
      <c r="C221" s="530"/>
      <c r="D221" s="530"/>
      <c r="E221" s="530"/>
      <c r="F221" s="530"/>
      <c r="G221" s="531"/>
      <c r="H221" s="558">
        <v>0</v>
      </c>
      <c r="I221" s="519" t="s">
        <v>237</v>
      </c>
      <c r="J221" s="520"/>
      <c r="K221" s="520"/>
      <c r="L221" s="520"/>
      <c r="M221" s="520"/>
      <c r="N221" s="520"/>
      <c r="O221" s="520"/>
      <c r="P221" s="520"/>
      <c r="Q221" s="520"/>
      <c r="R221" s="520"/>
      <c r="S221" s="520"/>
      <c r="T221" s="520"/>
      <c r="U221" s="521"/>
      <c r="V221" s="514">
        <v>9180</v>
      </c>
    </row>
    <row r="222" spans="1:22" ht="12.75" customHeight="1" hidden="1">
      <c r="A222" s="517"/>
      <c r="B222" s="532"/>
      <c r="C222" s="533"/>
      <c r="D222" s="533"/>
      <c r="E222" s="533"/>
      <c r="F222" s="533"/>
      <c r="G222" s="534"/>
      <c r="H222" s="559"/>
      <c r="I222" s="522"/>
      <c r="J222" s="523"/>
      <c r="K222" s="523"/>
      <c r="L222" s="523"/>
      <c r="M222" s="523"/>
      <c r="N222" s="523"/>
      <c r="O222" s="523"/>
      <c r="P222" s="523"/>
      <c r="Q222" s="523"/>
      <c r="R222" s="523"/>
      <c r="S222" s="523"/>
      <c r="T222" s="523"/>
      <c r="U222" s="524"/>
      <c r="V222" s="528"/>
    </row>
    <row r="223" spans="1:22" ht="39" customHeight="1" thickBot="1">
      <c r="A223" s="518"/>
      <c r="B223" s="535"/>
      <c r="C223" s="536"/>
      <c r="D223" s="536"/>
      <c r="E223" s="536"/>
      <c r="F223" s="536"/>
      <c r="G223" s="537"/>
      <c r="H223" s="560"/>
      <c r="I223" s="525"/>
      <c r="J223" s="526"/>
      <c r="K223" s="526"/>
      <c r="L223" s="526"/>
      <c r="M223" s="526"/>
      <c r="N223" s="526"/>
      <c r="O223" s="526"/>
      <c r="P223" s="526"/>
      <c r="Q223" s="526"/>
      <c r="R223" s="526"/>
      <c r="S223" s="526"/>
      <c r="T223" s="526"/>
      <c r="U223" s="527"/>
      <c r="V223" s="450"/>
    </row>
    <row r="224" spans="1:22" ht="12.75" customHeight="1" thickBot="1">
      <c r="A224" s="26" t="s">
        <v>75</v>
      </c>
      <c r="B224" s="27"/>
      <c r="C224" s="28"/>
      <c r="D224" s="28"/>
      <c r="E224" s="28"/>
      <c r="F224" s="28"/>
      <c r="G224" s="28"/>
      <c r="H224" s="29">
        <f>SUM(H225+H226+H227+H228+H229)</f>
        <v>0</v>
      </c>
      <c r="I224" s="28"/>
      <c r="J224" s="28"/>
      <c r="K224" s="28"/>
      <c r="L224" s="28"/>
      <c r="M224" s="28"/>
      <c r="N224" s="28"/>
      <c r="O224" s="28"/>
      <c r="P224" s="28"/>
      <c r="Q224" s="28"/>
      <c r="R224" s="28"/>
      <c r="S224" s="28"/>
      <c r="T224" s="28"/>
      <c r="U224" s="28"/>
      <c r="V224" s="29">
        <f>SUM(V225+V226+V227+V228+V229)</f>
        <v>0</v>
      </c>
    </row>
    <row r="225" spans="1:22" ht="12.75" customHeight="1">
      <c r="A225" s="105" t="s">
        <v>136</v>
      </c>
      <c r="B225" s="106"/>
      <c r="C225" s="106"/>
      <c r="D225" s="106"/>
      <c r="E225" s="106"/>
      <c r="F225" s="106"/>
      <c r="G225" s="106"/>
      <c r="H225" s="107">
        <v>0</v>
      </c>
      <c r="I225" s="106"/>
      <c r="J225" s="106"/>
      <c r="K225" s="106"/>
      <c r="L225" s="106"/>
      <c r="M225" s="106"/>
      <c r="N225" s="106"/>
      <c r="O225" s="106"/>
      <c r="P225" s="106"/>
      <c r="Q225" s="106"/>
      <c r="R225" s="106"/>
      <c r="S225" s="106"/>
      <c r="T225" s="106"/>
      <c r="U225" s="106"/>
      <c r="V225" s="88">
        <v>0</v>
      </c>
    </row>
    <row r="226" spans="1:22" ht="12.75">
      <c r="A226" s="108" t="s">
        <v>24</v>
      </c>
      <c r="B226" s="109"/>
      <c r="C226" s="110"/>
      <c r="D226" s="110"/>
      <c r="E226" s="110"/>
      <c r="F226" s="110"/>
      <c r="G226" s="110"/>
      <c r="H226" s="35">
        <v>0</v>
      </c>
      <c r="I226" s="111"/>
      <c r="J226" s="112"/>
      <c r="K226" s="112"/>
      <c r="L226" s="112"/>
      <c r="M226" s="112"/>
      <c r="N226" s="112"/>
      <c r="O226" s="112"/>
      <c r="P226" s="112"/>
      <c r="Q226" s="112"/>
      <c r="R226" s="112"/>
      <c r="S226" s="112"/>
      <c r="T226" s="112"/>
      <c r="U226" s="112"/>
      <c r="V226" s="113">
        <v>0</v>
      </c>
    </row>
    <row r="227" spans="1:22" s="86" customFormat="1" ht="12.75" customHeight="1">
      <c r="A227" s="114" t="s">
        <v>25</v>
      </c>
      <c r="B227" s="115"/>
      <c r="C227" s="116"/>
      <c r="D227" s="116"/>
      <c r="E227" s="116"/>
      <c r="F227" s="116"/>
      <c r="G227" s="116"/>
      <c r="H227" s="70">
        <v>0</v>
      </c>
      <c r="I227" s="117"/>
      <c r="J227" s="118"/>
      <c r="K227" s="118"/>
      <c r="L227" s="118"/>
      <c r="M227" s="118"/>
      <c r="N227" s="118"/>
      <c r="O227" s="118"/>
      <c r="P227" s="118"/>
      <c r="Q227" s="118"/>
      <c r="R227" s="118"/>
      <c r="S227" s="118"/>
      <c r="T227" s="118"/>
      <c r="U227" s="118"/>
      <c r="V227" s="59">
        <v>0</v>
      </c>
    </row>
    <row r="228" spans="1:22" ht="12.75">
      <c r="A228" s="119" t="s">
        <v>26</v>
      </c>
      <c r="B228" s="120"/>
      <c r="C228" s="77"/>
      <c r="D228" s="77"/>
      <c r="E228" s="77"/>
      <c r="F228" s="77"/>
      <c r="G228" s="77"/>
      <c r="H228" s="78">
        <v>0</v>
      </c>
      <c r="I228" s="68"/>
      <c r="J228" s="77"/>
      <c r="K228" s="77"/>
      <c r="L228" s="77"/>
      <c r="M228" s="77"/>
      <c r="N228" s="77"/>
      <c r="O228" s="77"/>
      <c r="P228" s="77"/>
      <c r="Q228" s="77"/>
      <c r="R228" s="77"/>
      <c r="S228" s="77"/>
      <c r="T228" s="77"/>
      <c r="U228" s="77"/>
      <c r="V228" s="72">
        <v>0</v>
      </c>
    </row>
    <row r="229" spans="1:22" ht="13.5" thickBot="1">
      <c r="A229" s="121" t="s">
        <v>36</v>
      </c>
      <c r="B229" s="103"/>
      <c r="C229" s="104"/>
      <c r="D229" s="104"/>
      <c r="E229" s="104"/>
      <c r="F229" s="104"/>
      <c r="G229" s="104"/>
      <c r="H229" s="122">
        <v>0</v>
      </c>
      <c r="I229" s="123"/>
      <c r="J229" s="104"/>
      <c r="K229" s="104"/>
      <c r="L229" s="104"/>
      <c r="M229" s="104"/>
      <c r="N229" s="104"/>
      <c r="O229" s="104"/>
      <c r="P229" s="104"/>
      <c r="Q229" s="104"/>
      <c r="R229" s="104"/>
      <c r="S229" s="104"/>
      <c r="T229" s="104"/>
      <c r="U229" s="104"/>
      <c r="V229" s="80">
        <v>0</v>
      </c>
    </row>
    <row r="230" spans="1:22" ht="13.5" thickBot="1">
      <c r="A230" s="26" t="s">
        <v>27</v>
      </c>
      <c r="B230" s="27"/>
      <c r="C230" s="28"/>
      <c r="D230" s="28"/>
      <c r="E230" s="28"/>
      <c r="F230" s="28"/>
      <c r="G230" s="28"/>
      <c r="H230" s="29">
        <f>SUM(H231:H231)</f>
        <v>227</v>
      </c>
      <c r="I230" s="27"/>
      <c r="J230" s="28"/>
      <c r="K230" s="28"/>
      <c r="L230" s="28"/>
      <c r="M230" s="28"/>
      <c r="N230" s="28"/>
      <c r="O230" s="28"/>
      <c r="P230" s="28"/>
      <c r="Q230" s="28"/>
      <c r="R230" s="28"/>
      <c r="S230" s="28"/>
      <c r="T230" s="28"/>
      <c r="U230" s="28"/>
      <c r="V230" s="29">
        <f>SUM(V231:V231)</f>
        <v>0</v>
      </c>
    </row>
    <row r="231" spans="1:22" ht="12.75">
      <c r="A231" s="516" t="s">
        <v>132</v>
      </c>
      <c r="B231" s="529" t="s">
        <v>194</v>
      </c>
      <c r="C231" s="530"/>
      <c r="D231" s="530"/>
      <c r="E231" s="530"/>
      <c r="F231" s="530"/>
      <c r="G231" s="531"/>
      <c r="H231" s="514">
        <v>227</v>
      </c>
      <c r="I231" s="541"/>
      <c r="J231" s="442"/>
      <c r="K231" s="442"/>
      <c r="L231" s="442"/>
      <c r="M231" s="442"/>
      <c r="N231" s="442"/>
      <c r="O231" s="442"/>
      <c r="P231" s="442"/>
      <c r="Q231" s="442"/>
      <c r="R231" s="442"/>
      <c r="S231" s="442"/>
      <c r="T231" s="442"/>
      <c r="U231" s="443"/>
      <c r="V231" s="586">
        <v>0</v>
      </c>
    </row>
    <row r="232" spans="1:22" ht="34.5" customHeight="1" thickBot="1">
      <c r="A232" s="518"/>
      <c r="B232" s="535"/>
      <c r="C232" s="536"/>
      <c r="D232" s="536"/>
      <c r="E232" s="536"/>
      <c r="F232" s="536"/>
      <c r="G232" s="537"/>
      <c r="H232" s="515"/>
      <c r="I232" s="548"/>
      <c r="J232" s="549"/>
      <c r="K232" s="549"/>
      <c r="L232" s="549"/>
      <c r="M232" s="549"/>
      <c r="N232" s="549"/>
      <c r="O232" s="549"/>
      <c r="P232" s="549"/>
      <c r="Q232" s="549"/>
      <c r="R232" s="549"/>
      <c r="S232" s="549"/>
      <c r="T232" s="549"/>
      <c r="U232" s="550"/>
      <c r="V232" s="513"/>
    </row>
    <row r="233" spans="1:22" ht="13.5" thickBot="1">
      <c r="A233" s="26" t="s">
        <v>76</v>
      </c>
      <c r="B233" s="27"/>
      <c r="C233" s="28"/>
      <c r="D233" s="28"/>
      <c r="E233" s="28"/>
      <c r="F233" s="28"/>
      <c r="G233" s="28"/>
      <c r="H233" s="29">
        <f>SUM(H234:H236)</f>
        <v>0</v>
      </c>
      <c r="I233" s="27"/>
      <c r="J233" s="28"/>
      <c r="K233" s="28"/>
      <c r="L233" s="28"/>
      <c r="M233" s="28"/>
      <c r="N233" s="28"/>
      <c r="O233" s="28"/>
      <c r="P233" s="28"/>
      <c r="Q233" s="28"/>
      <c r="R233" s="28"/>
      <c r="S233" s="28"/>
      <c r="T233" s="28"/>
      <c r="U233" s="28"/>
      <c r="V233" s="29">
        <f>SUM(V234:V236)</f>
        <v>0</v>
      </c>
    </row>
    <row r="234" spans="1:22" ht="12.75">
      <c r="A234" s="126" t="s">
        <v>10</v>
      </c>
      <c r="B234" s="120"/>
      <c r="C234" s="77"/>
      <c r="D234" s="77"/>
      <c r="E234" s="77"/>
      <c r="F234" s="77"/>
      <c r="G234" s="77"/>
      <c r="H234" s="78">
        <v>0</v>
      </c>
      <c r="I234" s="120"/>
      <c r="J234" s="77"/>
      <c r="K234" s="77"/>
      <c r="L234" s="77"/>
      <c r="M234" s="77"/>
      <c r="N234" s="77"/>
      <c r="O234" s="77"/>
      <c r="P234" s="77"/>
      <c r="Q234" s="77"/>
      <c r="R234" s="77"/>
      <c r="S234" s="77"/>
      <c r="T234" s="77"/>
      <c r="U234" s="77"/>
      <c r="V234" s="72">
        <v>0</v>
      </c>
    </row>
    <row r="235" spans="1:22" s="40" customFormat="1" ht="12.75" customHeight="1">
      <c r="A235" s="553" t="s">
        <v>58</v>
      </c>
      <c r="B235" s="547"/>
      <c r="C235" s="398"/>
      <c r="D235" s="398"/>
      <c r="E235" s="398"/>
      <c r="F235" s="398"/>
      <c r="G235" s="399"/>
      <c r="H235" s="551">
        <v>0</v>
      </c>
      <c r="I235" s="547"/>
      <c r="J235" s="398"/>
      <c r="K235" s="398"/>
      <c r="L235" s="398"/>
      <c r="M235" s="398"/>
      <c r="N235" s="398"/>
      <c r="O235" s="398"/>
      <c r="P235" s="398"/>
      <c r="Q235" s="398"/>
      <c r="R235" s="398"/>
      <c r="S235" s="398"/>
      <c r="T235" s="398"/>
      <c r="U235" s="399"/>
      <c r="V235" s="512">
        <v>0</v>
      </c>
    </row>
    <row r="236" spans="1:22" s="40" customFormat="1" ht="13.5" thickBot="1">
      <c r="A236" s="554"/>
      <c r="B236" s="548"/>
      <c r="C236" s="549"/>
      <c r="D236" s="549"/>
      <c r="E236" s="549"/>
      <c r="F236" s="549"/>
      <c r="G236" s="550"/>
      <c r="H236" s="552"/>
      <c r="I236" s="548"/>
      <c r="J236" s="549"/>
      <c r="K236" s="549"/>
      <c r="L236" s="549"/>
      <c r="M236" s="549"/>
      <c r="N236" s="549"/>
      <c r="O236" s="549"/>
      <c r="P236" s="549"/>
      <c r="Q236" s="549"/>
      <c r="R236" s="549"/>
      <c r="S236" s="549"/>
      <c r="T236" s="549"/>
      <c r="U236" s="550"/>
      <c r="V236" s="513"/>
    </row>
    <row r="237" spans="1:22" s="40" customFormat="1" ht="12.75">
      <c r="A237" s="127"/>
      <c r="B237" s="104"/>
      <c r="C237" s="104"/>
      <c r="D237" s="104"/>
      <c r="E237" s="104"/>
      <c r="F237" s="104"/>
      <c r="G237" s="104"/>
      <c r="H237" s="128"/>
      <c r="I237" s="104"/>
      <c r="J237" s="104"/>
      <c r="K237" s="104"/>
      <c r="L237" s="104"/>
      <c r="M237" s="104"/>
      <c r="N237" s="104"/>
      <c r="O237" s="104"/>
      <c r="P237" s="104"/>
      <c r="Q237" s="104"/>
      <c r="R237" s="104"/>
      <c r="S237" s="104"/>
      <c r="T237" s="104"/>
      <c r="U237" s="104"/>
      <c r="V237" s="85"/>
    </row>
    <row r="238" spans="1:34" ht="18.75" thickBot="1">
      <c r="A238" s="423" t="s">
        <v>148</v>
      </c>
      <c r="B238" s="423"/>
      <c r="C238" s="423"/>
      <c r="D238" s="423"/>
      <c r="E238" s="423"/>
      <c r="F238" s="423"/>
      <c r="G238" s="423"/>
      <c r="H238" s="423"/>
      <c r="I238" s="423"/>
      <c r="J238" s="423"/>
      <c r="K238" s="423"/>
      <c r="L238" s="423"/>
      <c r="M238" s="423"/>
      <c r="N238" s="423"/>
      <c r="O238" s="423"/>
      <c r="P238" s="423"/>
      <c r="Q238" s="423"/>
      <c r="R238" s="423"/>
      <c r="S238" s="423"/>
      <c r="T238" s="423"/>
      <c r="U238" s="423"/>
      <c r="V238" s="423"/>
      <c r="W238" s="16"/>
      <c r="X238" s="17"/>
      <c r="Y238" s="451"/>
      <c r="Z238" s="452"/>
      <c r="AC238" s="17"/>
      <c r="AH238" s="17"/>
    </row>
    <row r="239" spans="1:34" ht="22.5">
      <c r="A239" s="18" t="s">
        <v>3</v>
      </c>
      <c r="B239" s="139" t="s">
        <v>89</v>
      </c>
      <c r="C239" s="139"/>
      <c r="D239" s="139"/>
      <c r="E239" s="139"/>
      <c r="F239" s="139"/>
      <c r="G239" s="140"/>
      <c r="H239" s="19" t="s">
        <v>32</v>
      </c>
      <c r="I239" s="424" t="s">
        <v>88</v>
      </c>
      <c r="J239" s="425"/>
      <c r="K239" s="425"/>
      <c r="L239" s="425"/>
      <c r="M239" s="425"/>
      <c r="N239" s="425"/>
      <c r="O239" s="425"/>
      <c r="P239" s="425"/>
      <c r="Q239" s="425"/>
      <c r="R239" s="425"/>
      <c r="S239" s="425"/>
      <c r="T239" s="425"/>
      <c r="U239" s="426"/>
      <c r="V239" s="20" t="s">
        <v>32</v>
      </c>
      <c r="W239" s="16"/>
      <c r="X239" s="17"/>
      <c r="Y239" s="451"/>
      <c r="Z239" s="452"/>
      <c r="AC239" s="17"/>
      <c r="AH239" s="17"/>
    </row>
    <row r="240" spans="1:34" ht="13.5" thickBot="1">
      <c r="A240" s="21"/>
      <c r="B240" s="22" t="s">
        <v>64</v>
      </c>
      <c r="C240" s="22"/>
      <c r="D240" s="22"/>
      <c r="E240" s="22"/>
      <c r="F240" s="22"/>
      <c r="G240" s="23"/>
      <c r="H240" s="24" t="s">
        <v>65</v>
      </c>
      <c r="I240" s="427"/>
      <c r="J240" s="428"/>
      <c r="K240" s="428"/>
      <c r="L240" s="428"/>
      <c r="M240" s="428"/>
      <c r="N240" s="428"/>
      <c r="O240" s="428"/>
      <c r="P240" s="428"/>
      <c r="Q240" s="428"/>
      <c r="R240" s="428"/>
      <c r="S240" s="428"/>
      <c r="T240" s="428"/>
      <c r="U240" s="429"/>
      <c r="V240" s="25" t="s">
        <v>66</v>
      </c>
      <c r="W240" s="16"/>
      <c r="X240" s="17"/>
      <c r="Y240" s="451"/>
      <c r="Z240" s="452"/>
      <c r="AC240" s="17"/>
      <c r="AH240" s="17"/>
    </row>
    <row r="241" spans="1:22" ht="13.5" thickBot="1">
      <c r="A241" s="26" t="s">
        <v>77</v>
      </c>
      <c r="B241" s="27"/>
      <c r="C241" s="28"/>
      <c r="D241" s="28"/>
      <c r="E241" s="28"/>
      <c r="F241" s="28"/>
      <c r="G241" s="28"/>
      <c r="H241" s="29">
        <f>SUM(H242:H242)</f>
        <v>100</v>
      </c>
      <c r="I241" s="27"/>
      <c r="J241" s="28"/>
      <c r="K241" s="28"/>
      <c r="L241" s="28"/>
      <c r="M241" s="28"/>
      <c r="N241" s="28"/>
      <c r="O241" s="28"/>
      <c r="P241" s="28"/>
      <c r="Q241" s="28"/>
      <c r="R241" s="28"/>
      <c r="S241" s="28"/>
      <c r="T241" s="28"/>
      <c r="U241" s="28"/>
      <c r="V241" s="29">
        <f>SUM(V242:V242)</f>
        <v>150</v>
      </c>
    </row>
    <row r="242" spans="1:22" s="40" customFormat="1" ht="13.5" thickBot="1">
      <c r="A242" s="244" t="s">
        <v>116</v>
      </c>
      <c r="B242" s="68" t="s">
        <v>213</v>
      </c>
      <c r="C242" s="69"/>
      <c r="D242" s="69"/>
      <c r="E242" s="69"/>
      <c r="F242" s="69"/>
      <c r="G242" s="69"/>
      <c r="H242" s="70">
        <v>100</v>
      </c>
      <c r="I242" s="68" t="s">
        <v>230</v>
      </c>
      <c r="J242" s="69"/>
      <c r="K242" s="69"/>
      <c r="L242" s="69"/>
      <c r="M242" s="69"/>
      <c r="N242" s="69"/>
      <c r="O242" s="69"/>
      <c r="P242" s="69"/>
      <c r="Q242" s="69"/>
      <c r="R242" s="69"/>
      <c r="S242" s="69"/>
      <c r="T242" s="69"/>
      <c r="U242" s="69"/>
      <c r="V242" s="59">
        <f>45+105</f>
        <v>150</v>
      </c>
    </row>
    <row r="243" spans="1:22" s="40" customFormat="1" ht="13.5" thickBot="1">
      <c r="A243" s="132" t="s">
        <v>78</v>
      </c>
      <c r="B243" s="133"/>
      <c r="C243" s="134"/>
      <c r="D243" s="134"/>
      <c r="E243" s="134"/>
      <c r="F243" s="134"/>
      <c r="G243" s="134"/>
      <c r="H243" s="102">
        <f>SUM(H244)</f>
        <v>0</v>
      </c>
      <c r="I243" s="133"/>
      <c r="J243" s="134"/>
      <c r="K243" s="134"/>
      <c r="L243" s="134"/>
      <c r="M243" s="134"/>
      <c r="N243" s="134"/>
      <c r="O243" s="134"/>
      <c r="P243" s="134"/>
      <c r="Q243" s="134"/>
      <c r="R243" s="134"/>
      <c r="S243" s="134"/>
      <c r="T243" s="134"/>
      <c r="U243" s="134"/>
      <c r="V243" s="102">
        <f>SUM(V244)</f>
        <v>0</v>
      </c>
    </row>
    <row r="244" spans="1:22" s="40" customFormat="1" ht="13.5" thickBot="1">
      <c r="A244" s="121" t="s">
        <v>133</v>
      </c>
      <c r="B244" s="75"/>
      <c r="C244" s="76"/>
      <c r="D244" s="76"/>
      <c r="E244" s="76"/>
      <c r="F244" s="76"/>
      <c r="G244" s="76"/>
      <c r="H244" s="124">
        <v>0</v>
      </c>
      <c r="I244" s="75"/>
      <c r="J244" s="76"/>
      <c r="K244" s="76"/>
      <c r="L244" s="76"/>
      <c r="M244" s="76"/>
      <c r="N244" s="76"/>
      <c r="O244" s="76"/>
      <c r="P244" s="76"/>
      <c r="Q244" s="76"/>
      <c r="R244" s="76"/>
      <c r="S244" s="76"/>
      <c r="T244" s="76"/>
      <c r="U244" s="76"/>
      <c r="V244" s="125">
        <v>0</v>
      </c>
    </row>
    <row r="245" spans="1:22" ht="13.5" thickBot="1">
      <c r="A245" s="132" t="s">
        <v>79</v>
      </c>
      <c r="B245" s="27"/>
      <c r="C245" s="28"/>
      <c r="D245" s="28"/>
      <c r="E245" s="28"/>
      <c r="F245" s="28"/>
      <c r="G245" s="28"/>
      <c r="H245" s="29">
        <f>SUM(H246:H246)</f>
        <v>250</v>
      </c>
      <c r="I245" s="27"/>
      <c r="J245" s="28"/>
      <c r="K245" s="28"/>
      <c r="L245" s="28"/>
      <c r="M245" s="28"/>
      <c r="N245" s="28"/>
      <c r="O245" s="28"/>
      <c r="P245" s="28"/>
      <c r="Q245" s="28"/>
      <c r="R245" s="28"/>
      <c r="S245" s="28"/>
      <c r="T245" s="28"/>
      <c r="U245" s="28"/>
      <c r="V245" s="29">
        <f>SUM(V246:V246)</f>
        <v>0</v>
      </c>
    </row>
    <row r="246" spans="1:22" s="40" customFormat="1" ht="59.25" customHeight="1" thickBot="1">
      <c r="A246" s="245" t="s">
        <v>9</v>
      </c>
      <c r="B246" s="406" t="s">
        <v>214</v>
      </c>
      <c r="C246" s="407"/>
      <c r="D246" s="407"/>
      <c r="E246" s="407"/>
      <c r="F246" s="407"/>
      <c r="G246" s="408"/>
      <c r="H246" s="38">
        <f>30+80+30+70+40</f>
        <v>250</v>
      </c>
      <c r="I246" s="538"/>
      <c r="J246" s="539"/>
      <c r="K246" s="539"/>
      <c r="L246" s="539"/>
      <c r="M246" s="539"/>
      <c r="N246" s="539"/>
      <c r="O246" s="539"/>
      <c r="P246" s="539"/>
      <c r="Q246" s="539"/>
      <c r="R246" s="539"/>
      <c r="S246" s="539"/>
      <c r="T246" s="539"/>
      <c r="U246" s="540"/>
      <c r="V246" s="39">
        <v>0</v>
      </c>
    </row>
    <row r="247" spans="1:22" ht="13.5" thickBot="1">
      <c r="A247" s="132" t="s">
        <v>80</v>
      </c>
      <c r="B247" s="27"/>
      <c r="C247" s="28"/>
      <c r="D247" s="28"/>
      <c r="E247" s="28"/>
      <c r="F247" s="28"/>
      <c r="G247" s="28"/>
      <c r="H247" s="29">
        <f>SUM(H248:H256)</f>
        <v>877</v>
      </c>
      <c r="I247" s="136"/>
      <c r="J247" s="28"/>
      <c r="K247" s="28"/>
      <c r="L247" s="28"/>
      <c r="M247" s="28"/>
      <c r="N247" s="28"/>
      <c r="O247" s="28"/>
      <c r="P247" s="28"/>
      <c r="Q247" s="28"/>
      <c r="R247" s="28"/>
      <c r="S247" s="28"/>
      <c r="T247" s="28"/>
      <c r="U247" s="28"/>
      <c r="V247" s="29">
        <f>SUM(V248:V256)</f>
        <v>590</v>
      </c>
    </row>
    <row r="248" spans="1:22" s="40" customFormat="1" ht="24.75" customHeight="1">
      <c r="A248" s="129" t="s">
        <v>137</v>
      </c>
      <c r="B248" s="403"/>
      <c r="C248" s="404"/>
      <c r="D248" s="404"/>
      <c r="E248" s="404"/>
      <c r="F248" s="404"/>
      <c r="G248" s="405"/>
      <c r="H248" s="70">
        <v>0</v>
      </c>
      <c r="I248" s="68" t="s">
        <v>231</v>
      </c>
      <c r="J248" s="69"/>
      <c r="K248" s="69"/>
      <c r="L248" s="69"/>
      <c r="M248" s="69"/>
      <c r="N248" s="69"/>
      <c r="O248" s="69"/>
      <c r="P248" s="69"/>
      <c r="Q248" s="69"/>
      <c r="R248" s="69"/>
      <c r="S248" s="69"/>
      <c r="T248" s="69"/>
      <c r="U248" s="69"/>
      <c r="V248" s="59">
        <v>300</v>
      </c>
    </row>
    <row r="249" spans="1:22" s="40" customFormat="1" ht="12.75">
      <c r="A249" s="130" t="s">
        <v>138</v>
      </c>
      <c r="B249" s="36"/>
      <c r="C249" s="37"/>
      <c r="D249" s="37"/>
      <c r="E249" s="37"/>
      <c r="F249" s="37"/>
      <c r="G249" s="37"/>
      <c r="H249" s="38">
        <v>0</v>
      </c>
      <c r="I249" s="36"/>
      <c r="J249" s="37"/>
      <c r="K249" s="37"/>
      <c r="L249" s="37"/>
      <c r="M249" s="37"/>
      <c r="N249" s="37"/>
      <c r="O249" s="37"/>
      <c r="P249" s="37"/>
      <c r="Q249" s="37"/>
      <c r="R249" s="37"/>
      <c r="S249" s="37"/>
      <c r="T249" s="37"/>
      <c r="U249" s="37"/>
      <c r="V249" s="39">
        <v>0</v>
      </c>
    </row>
    <row r="250" spans="1:22" s="40" customFormat="1" ht="12.75">
      <c r="A250" s="31" t="s">
        <v>139</v>
      </c>
      <c r="B250" s="68"/>
      <c r="C250" s="69"/>
      <c r="D250" s="69"/>
      <c r="E250" s="69"/>
      <c r="F250" s="69"/>
      <c r="G250" s="69"/>
      <c r="H250" s="70">
        <v>0</v>
      </c>
      <c r="I250" s="68"/>
      <c r="J250" s="69"/>
      <c r="K250" s="69"/>
      <c r="L250" s="69"/>
      <c r="M250" s="69"/>
      <c r="N250" s="69"/>
      <c r="O250" s="69"/>
      <c r="P250" s="69"/>
      <c r="Q250" s="69"/>
      <c r="R250" s="69"/>
      <c r="S250" s="69"/>
      <c r="T250" s="69"/>
      <c r="U250" s="69"/>
      <c r="V250" s="59">
        <v>0</v>
      </c>
    </row>
    <row r="251" spans="1:22" s="40" customFormat="1" ht="12.75">
      <c r="A251" s="129" t="s">
        <v>140</v>
      </c>
      <c r="B251" s="36"/>
      <c r="C251" s="37"/>
      <c r="D251" s="37"/>
      <c r="E251" s="37"/>
      <c r="F251" s="37"/>
      <c r="G251" s="37"/>
      <c r="H251" s="38">
        <v>0</v>
      </c>
      <c r="I251" s="36" t="s">
        <v>175</v>
      </c>
      <c r="J251" s="37"/>
      <c r="K251" s="37"/>
      <c r="L251" s="37"/>
      <c r="M251" s="37"/>
      <c r="N251" s="37"/>
      <c r="O251" s="37"/>
      <c r="P251" s="37"/>
      <c r="Q251" s="37"/>
      <c r="R251" s="37"/>
      <c r="S251" s="37"/>
      <c r="T251" s="37"/>
      <c r="U251" s="37"/>
      <c r="V251" s="39">
        <v>130</v>
      </c>
    </row>
    <row r="252" spans="1:22" s="40" customFormat="1" ht="25.5" customHeight="1">
      <c r="A252" s="55" t="s">
        <v>141</v>
      </c>
      <c r="B252" s="509" t="s">
        <v>215</v>
      </c>
      <c r="C252" s="510"/>
      <c r="D252" s="510"/>
      <c r="E252" s="510"/>
      <c r="F252" s="510"/>
      <c r="G252" s="511"/>
      <c r="H252" s="71">
        <v>302</v>
      </c>
      <c r="I252" s="48" t="s">
        <v>195</v>
      </c>
      <c r="J252" s="131"/>
      <c r="K252" s="131"/>
      <c r="L252" s="131"/>
      <c r="M252" s="131"/>
      <c r="N252" s="131"/>
      <c r="O252" s="131"/>
      <c r="P252" s="131"/>
      <c r="Q252" s="131"/>
      <c r="R252" s="131"/>
      <c r="S252" s="131"/>
      <c r="T252" s="131"/>
      <c r="U252" s="131"/>
      <c r="V252" s="58">
        <v>160</v>
      </c>
    </row>
    <row r="253" spans="1:22" ht="23.25" customHeight="1">
      <c r="A253" s="130" t="s">
        <v>142</v>
      </c>
      <c r="B253" s="406"/>
      <c r="C253" s="438"/>
      <c r="D253" s="438"/>
      <c r="E253" s="438"/>
      <c r="F253" s="438"/>
      <c r="G253" s="439"/>
      <c r="H253" s="34">
        <v>0</v>
      </c>
      <c r="I253" s="51"/>
      <c r="J253" s="33"/>
      <c r="K253" s="33"/>
      <c r="L253" s="33"/>
      <c r="M253" s="33"/>
      <c r="N253" s="33"/>
      <c r="O253" s="33"/>
      <c r="P253" s="33"/>
      <c r="Q253" s="33"/>
      <c r="R253" s="33"/>
      <c r="S253" s="33"/>
      <c r="T253" s="33"/>
      <c r="U253" s="33"/>
      <c r="V253" s="35">
        <v>0</v>
      </c>
    </row>
    <row r="254" spans="1:22" s="40" customFormat="1" ht="22.5" customHeight="1">
      <c r="A254" s="143" t="s">
        <v>143</v>
      </c>
      <c r="B254" s="406" t="s">
        <v>216</v>
      </c>
      <c r="C254" s="438"/>
      <c r="D254" s="438"/>
      <c r="E254" s="438"/>
      <c r="F254" s="438"/>
      <c r="G254" s="439"/>
      <c r="H254" s="38">
        <v>500</v>
      </c>
      <c r="I254" s="36"/>
      <c r="J254" s="37"/>
      <c r="K254" s="37"/>
      <c r="L254" s="37"/>
      <c r="M254" s="37"/>
      <c r="N254" s="37"/>
      <c r="O254" s="37"/>
      <c r="P254" s="37"/>
      <c r="Q254" s="37"/>
      <c r="R254" s="37"/>
      <c r="S254" s="37"/>
      <c r="T254" s="37"/>
      <c r="U254" s="37"/>
      <c r="V254" s="39">
        <v>0</v>
      </c>
    </row>
    <row r="255" spans="1:22" ht="14.25" customHeight="1">
      <c r="A255" s="144" t="s">
        <v>144</v>
      </c>
      <c r="B255" s="131"/>
      <c r="C255" s="46"/>
      <c r="D255" s="46"/>
      <c r="E255" s="46"/>
      <c r="F255" s="46"/>
      <c r="G255" s="46"/>
      <c r="H255" s="47">
        <v>0</v>
      </c>
      <c r="I255" s="48"/>
      <c r="J255" s="46"/>
      <c r="K255" s="46"/>
      <c r="L255" s="46"/>
      <c r="M255" s="46"/>
      <c r="N255" s="46"/>
      <c r="O255" s="46"/>
      <c r="P255" s="46"/>
      <c r="Q255" s="46"/>
      <c r="R255" s="46"/>
      <c r="S255" s="46"/>
      <c r="T255" s="46"/>
      <c r="U255" s="46"/>
      <c r="V255" s="49">
        <v>0</v>
      </c>
    </row>
    <row r="256" spans="1:22" s="40" customFormat="1" ht="16.5" customHeight="1" thickBot="1">
      <c r="A256" s="137" t="s">
        <v>145</v>
      </c>
      <c r="B256" s="61" t="s">
        <v>217</v>
      </c>
      <c r="C256" s="62"/>
      <c r="D256" s="62"/>
      <c r="E256" s="62"/>
      <c r="F256" s="62"/>
      <c r="G256" s="62"/>
      <c r="H256" s="63">
        <v>75</v>
      </c>
      <c r="I256" s="62"/>
      <c r="J256" s="62"/>
      <c r="K256" s="62"/>
      <c r="L256" s="62"/>
      <c r="M256" s="62"/>
      <c r="N256" s="62"/>
      <c r="O256" s="62"/>
      <c r="P256" s="62"/>
      <c r="Q256" s="62"/>
      <c r="R256" s="62"/>
      <c r="S256" s="62"/>
      <c r="T256" s="62"/>
      <c r="U256" s="62"/>
      <c r="V256" s="64">
        <v>0</v>
      </c>
    </row>
    <row r="257" spans="1:22" ht="12" customHeight="1">
      <c r="A257" s="138"/>
      <c r="B257" s="104"/>
      <c r="C257" s="104"/>
      <c r="E257" s="104"/>
      <c r="F257" s="104"/>
      <c r="G257" s="85"/>
      <c r="H257" s="128"/>
      <c r="I257" s="104"/>
      <c r="J257" s="104"/>
      <c r="K257" s="104"/>
      <c r="L257" s="104"/>
      <c r="M257" s="104"/>
      <c r="N257" s="104"/>
      <c r="O257" s="104"/>
      <c r="P257" s="104"/>
      <c r="Q257" s="104"/>
      <c r="R257" s="104"/>
      <c r="S257" s="104"/>
      <c r="T257" s="104"/>
      <c r="U257" s="104"/>
      <c r="V257" s="128"/>
    </row>
  </sheetData>
  <sheetProtection/>
  <mergeCells count="235">
    <mergeCell ref="B178:G178"/>
    <mergeCell ref="B189:G189"/>
    <mergeCell ref="C50:C52"/>
    <mergeCell ref="B50:B52"/>
    <mergeCell ref="B184:G185"/>
    <mergeCell ref="C93:C95"/>
    <mergeCell ref="D93:D95"/>
    <mergeCell ref="E51:E52"/>
    <mergeCell ref="F51:F52"/>
    <mergeCell ref="G51:G52"/>
    <mergeCell ref="H51:H52"/>
    <mergeCell ref="B254:G254"/>
    <mergeCell ref="V154:V155"/>
    <mergeCell ref="I157:U158"/>
    <mergeCell ref="V157:V158"/>
    <mergeCell ref="I231:U232"/>
    <mergeCell ref="V231:V232"/>
    <mergeCell ref="I190:U191"/>
    <mergeCell ref="V190:V191"/>
    <mergeCell ref="I179:U180"/>
    <mergeCell ref="B209:G209"/>
    <mergeCell ref="O119:P119"/>
    <mergeCell ref="A125:V125"/>
    <mergeCell ref="O123:P123"/>
    <mergeCell ref="I123:J123"/>
    <mergeCell ref="I120:J120"/>
    <mergeCell ref="O120:P120"/>
    <mergeCell ref="C119:D119"/>
    <mergeCell ref="I183:U183"/>
    <mergeCell ref="I184:U185"/>
    <mergeCell ref="M50:M52"/>
    <mergeCell ref="K6:K8"/>
    <mergeCell ref="N50:N52"/>
    <mergeCell ref="J50:J52"/>
    <mergeCell ref="K50:K52"/>
    <mergeCell ref="L50:L52"/>
    <mergeCell ref="A48:V48"/>
    <mergeCell ref="Q50:Q52"/>
    <mergeCell ref="P50:P52"/>
    <mergeCell ref="V50:V52"/>
    <mergeCell ref="R1:V1"/>
    <mergeCell ref="R2:V2"/>
    <mergeCell ref="A3:V3"/>
    <mergeCell ref="E7:E8"/>
    <mergeCell ref="O5:R5"/>
    <mergeCell ref="S5:V5"/>
    <mergeCell ref="B6:B8"/>
    <mergeCell ref="Q6:Q8"/>
    <mergeCell ref="H7:H8"/>
    <mergeCell ref="F7:F8"/>
    <mergeCell ref="Y129:Z129"/>
    <mergeCell ref="Y130:Z130"/>
    <mergeCell ref="Y131:Z131"/>
    <mergeCell ref="Y132:Z132"/>
    <mergeCell ref="Y125:Z125"/>
    <mergeCell ref="I126:U127"/>
    <mergeCell ref="Y126:Z126"/>
    <mergeCell ref="Y127:Z127"/>
    <mergeCell ref="V181:V182"/>
    <mergeCell ref="I181:U182"/>
    <mergeCell ref="Y166:Z166"/>
    <mergeCell ref="Y133:Z133"/>
    <mergeCell ref="Y134:Z134"/>
    <mergeCell ref="I147:U147"/>
    <mergeCell ref="I175:U176"/>
    <mergeCell ref="V175:V176"/>
    <mergeCell ref="I173:U174"/>
    <mergeCell ref="V173:V174"/>
    <mergeCell ref="H184:H185"/>
    <mergeCell ref="B183:G183"/>
    <mergeCell ref="H190:H191"/>
    <mergeCell ref="B188:G188"/>
    <mergeCell ref="H186:H187"/>
    <mergeCell ref="V184:V185"/>
    <mergeCell ref="I209:U209"/>
    <mergeCell ref="B210:G210"/>
    <mergeCell ref="V194:V195"/>
    <mergeCell ref="I186:U187"/>
    <mergeCell ref="I196:U196"/>
    <mergeCell ref="V186:V187"/>
    <mergeCell ref="H194:H195"/>
    <mergeCell ref="I194:U195"/>
    <mergeCell ref="I197:U199"/>
    <mergeCell ref="I189:U189"/>
    <mergeCell ref="I204:U204"/>
    <mergeCell ref="B205:G205"/>
    <mergeCell ref="B206:G206"/>
    <mergeCell ref="B207:G207"/>
    <mergeCell ref="I207:U207"/>
    <mergeCell ref="B204:G204"/>
    <mergeCell ref="I205:U205"/>
    <mergeCell ref="B211:G211"/>
    <mergeCell ref="I212:U212"/>
    <mergeCell ref="H221:H223"/>
    <mergeCell ref="A231:A232"/>
    <mergeCell ref="I214:U215"/>
    <mergeCell ref="B217:G217"/>
    <mergeCell ref="I217:U217"/>
    <mergeCell ref="I213:U213"/>
    <mergeCell ref="Y238:Z238"/>
    <mergeCell ref="I239:U240"/>
    <mergeCell ref="Y239:Z239"/>
    <mergeCell ref="Y240:Z240"/>
    <mergeCell ref="V214:V215"/>
    <mergeCell ref="B216:G216"/>
    <mergeCell ref="B214:G215"/>
    <mergeCell ref="H214:H215"/>
    <mergeCell ref="B253:G253"/>
    <mergeCell ref="B248:G248"/>
    <mergeCell ref="B190:G191"/>
    <mergeCell ref="B246:G246"/>
    <mergeCell ref="B231:G232"/>
    <mergeCell ref="A238:V238"/>
    <mergeCell ref="B235:G236"/>
    <mergeCell ref="H235:H236"/>
    <mergeCell ref="I235:U236"/>
    <mergeCell ref="A235:A236"/>
    <mergeCell ref="B252:G252"/>
    <mergeCell ref="V235:V236"/>
    <mergeCell ref="H231:H232"/>
    <mergeCell ref="A221:A223"/>
    <mergeCell ref="I221:U223"/>
    <mergeCell ref="V221:V223"/>
    <mergeCell ref="B221:G223"/>
    <mergeCell ref="I246:U246"/>
    <mergeCell ref="I93:I95"/>
    <mergeCell ref="B93:B95"/>
    <mergeCell ref="P6:P8"/>
    <mergeCell ref="S92:V92"/>
    <mergeCell ref="R6:R8"/>
    <mergeCell ref="R50:R52"/>
    <mergeCell ref="O92:R92"/>
    <mergeCell ref="O50:O52"/>
    <mergeCell ref="S50:S52"/>
    <mergeCell ref="S49:V49"/>
    <mergeCell ref="V6:V8"/>
    <mergeCell ref="C6:C8"/>
    <mergeCell ref="D6:D8"/>
    <mergeCell ref="G7:G8"/>
    <mergeCell ref="I6:I8"/>
    <mergeCell ref="L6:L8"/>
    <mergeCell ref="M6:M8"/>
    <mergeCell ref="N6:N8"/>
    <mergeCell ref="O6:O8"/>
    <mergeCell ref="J6:J8"/>
    <mergeCell ref="T93:T95"/>
    <mergeCell ref="U93:U95"/>
    <mergeCell ref="Q93:Q95"/>
    <mergeCell ref="T6:T8"/>
    <mergeCell ref="U6:U8"/>
    <mergeCell ref="S6:S8"/>
    <mergeCell ref="O49:R49"/>
    <mergeCell ref="U50:U52"/>
    <mergeCell ref="T50:T52"/>
    <mergeCell ref="V93:V95"/>
    <mergeCell ref="A91:V91"/>
    <mergeCell ref="D50:D52"/>
    <mergeCell ref="H94:H95"/>
    <mergeCell ref="J93:J95"/>
    <mergeCell ref="K93:K95"/>
    <mergeCell ref="E94:E95"/>
    <mergeCell ref="F94:F95"/>
    <mergeCell ref="G94:G95"/>
    <mergeCell ref="I50:I52"/>
    <mergeCell ref="L93:L95"/>
    <mergeCell ref="S93:S95"/>
    <mergeCell ref="R93:R95"/>
    <mergeCell ref="P93:P95"/>
    <mergeCell ref="N93:N95"/>
    <mergeCell ref="O93:O95"/>
    <mergeCell ref="M93:M95"/>
    <mergeCell ref="H179:H180"/>
    <mergeCell ref="V168:V169"/>
    <mergeCell ref="A168:A169"/>
    <mergeCell ref="I168:U169"/>
    <mergeCell ref="H168:H169"/>
    <mergeCell ref="B168:G169"/>
    <mergeCell ref="A175:A176"/>
    <mergeCell ref="A173:A174"/>
    <mergeCell ref="B173:G174"/>
    <mergeCell ref="H173:H174"/>
    <mergeCell ref="Y203:Z203"/>
    <mergeCell ref="B197:G199"/>
    <mergeCell ref="H197:H199"/>
    <mergeCell ref="Y202:Z202"/>
    <mergeCell ref="A201:V201"/>
    <mergeCell ref="I202:U203"/>
    <mergeCell ref="A197:A199"/>
    <mergeCell ref="V197:V199"/>
    <mergeCell ref="V150:V151"/>
    <mergeCell ref="B150:G151"/>
    <mergeCell ref="H150:H151"/>
    <mergeCell ref="Y165:Z165"/>
    <mergeCell ref="B159:G160"/>
    <mergeCell ref="H159:H160"/>
    <mergeCell ref="I159:U160"/>
    <mergeCell ref="V159:V160"/>
    <mergeCell ref="B154:G155"/>
    <mergeCell ref="I150:U151"/>
    <mergeCell ref="A150:A151"/>
    <mergeCell ref="B157:G158"/>
    <mergeCell ref="H157:H158"/>
    <mergeCell ref="A154:A155"/>
    <mergeCell ref="H154:H155"/>
    <mergeCell ref="A157:A158"/>
    <mergeCell ref="B156:G156"/>
    <mergeCell ref="A184:A185"/>
    <mergeCell ref="B186:G187"/>
    <mergeCell ref="B181:G182"/>
    <mergeCell ref="I216:U216"/>
    <mergeCell ref="A214:A215"/>
    <mergeCell ref="B196:G196"/>
    <mergeCell ref="A186:A187"/>
    <mergeCell ref="A194:A195"/>
    <mergeCell ref="B194:G195"/>
    <mergeCell ref="A190:A191"/>
    <mergeCell ref="A159:A160"/>
    <mergeCell ref="H181:H182"/>
    <mergeCell ref="A179:A180"/>
    <mergeCell ref="A181:A182"/>
    <mergeCell ref="B179:G180"/>
    <mergeCell ref="B175:G176"/>
    <mergeCell ref="H175:H176"/>
    <mergeCell ref="A164:V164"/>
    <mergeCell ref="I165:U166"/>
    <mergeCell ref="V179:V180"/>
    <mergeCell ref="B161:G161"/>
    <mergeCell ref="I162:U162"/>
    <mergeCell ref="B145:G145"/>
    <mergeCell ref="I145:U145"/>
    <mergeCell ref="B148:G148"/>
    <mergeCell ref="I149:U149"/>
    <mergeCell ref="I154:U155"/>
    <mergeCell ref="I152:U152"/>
    <mergeCell ref="I148:U148"/>
  </mergeCells>
  <printOptions horizontalCentered="1" verticalCentered="1"/>
  <pageMargins left="0.2755905511811024" right="0.2755905511811024" top="0.3937007874015748" bottom="0.35433070866141736" header="0.11811023622047245" footer="0.11811023622047245"/>
  <pageSetup firstPageNumber="1" useFirstPageNumber="1" fitToHeight="4" fitToWidth="1" horizontalDpi="600" verticalDpi="600" orientation="portrait" paperSize="8" scale="68" r:id="rId1"/>
  <headerFooter alignWithMargins="0">
    <oddFooter>&amp;C&amp;P</oddFooter>
  </headerFooter>
  <rowBreaks count="6" manualBreakCount="6">
    <brk id="47" max="21" man="1"/>
    <brk id="90" max="255" man="1"/>
    <brk id="124" max="21" man="1"/>
    <brk id="163" max="21" man="1"/>
    <brk id="200" max="21" man="1"/>
    <brk id="236" max="21" man="1"/>
  </rowBreaks>
</worksheet>
</file>

<file path=xl/worksheets/sheet4.xml><?xml version="1.0" encoding="utf-8"?>
<worksheet xmlns="http://schemas.openxmlformats.org/spreadsheetml/2006/main" xmlns:r="http://schemas.openxmlformats.org/officeDocument/2006/relationships">
  <dimension ref="A1:W112"/>
  <sheetViews>
    <sheetView showGridLines="0" tabSelected="1" view="pageLayout" workbookViewId="0" topLeftCell="D1">
      <selection activeCell="S2" sqref="S2:V2"/>
    </sheetView>
  </sheetViews>
  <sheetFormatPr defaultColWidth="9.00390625" defaultRowHeight="12.75"/>
  <cols>
    <col min="1" max="1" width="50.75390625" style="8" customWidth="1"/>
    <col min="2" max="6" width="7.25390625" style="8" customWidth="1"/>
    <col min="7" max="7" width="16.625" style="8" customWidth="1"/>
    <col min="8" max="19" width="7.25390625" style="8" customWidth="1"/>
    <col min="20" max="20" width="3.375" style="8" customWidth="1"/>
    <col min="21" max="21" width="7.25390625" style="8" hidden="1" customWidth="1"/>
    <col min="22" max="22" width="9.375" style="8" customWidth="1"/>
    <col min="23" max="16384" width="9.125" style="8" customWidth="1"/>
  </cols>
  <sheetData>
    <row r="1" spans="18:23" ht="12.75">
      <c r="R1" s="393"/>
      <c r="S1" s="393" t="s">
        <v>351</v>
      </c>
      <c r="T1" s="393"/>
      <c r="U1" s="393"/>
      <c r="V1" s="393"/>
      <c r="W1" s="86"/>
    </row>
    <row r="2" spans="18:22" ht="15">
      <c r="R2" s="392"/>
      <c r="S2" s="617" t="s">
        <v>352</v>
      </c>
      <c r="T2" s="647"/>
      <c r="U2" s="647"/>
      <c r="V2" s="647"/>
    </row>
    <row r="3" spans="1:22" ht="18.75" thickBot="1">
      <c r="A3" s="423" t="s">
        <v>270</v>
      </c>
      <c r="B3" s="423"/>
      <c r="C3" s="423"/>
      <c r="D3" s="423"/>
      <c r="E3" s="423"/>
      <c r="F3" s="423"/>
      <c r="G3" s="423"/>
      <c r="H3" s="423"/>
      <c r="I3" s="423"/>
      <c r="J3" s="423"/>
      <c r="K3" s="423"/>
      <c r="L3" s="423"/>
      <c r="M3" s="423"/>
      <c r="N3" s="423"/>
      <c r="O3" s="423"/>
      <c r="P3" s="423"/>
      <c r="Q3" s="423"/>
      <c r="R3" s="423"/>
      <c r="S3" s="423"/>
      <c r="T3" s="423"/>
      <c r="U3" s="423"/>
      <c r="V3" s="423"/>
    </row>
    <row r="4" spans="1:22" ht="22.5">
      <c r="A4" s="728" t="s">
        <v>3</v>
      </c>
      <c r="B4" s="139" t="s">
        <v>89</v>
      </c>
      <c r="C4" s="139"/>
      <c r="D4" s="139"/>
      <c r="E4" s="139"/>
      <c r="F4" s="139"/>
      <c r="G4" s="140"/>
      <c r="H4" s="19" t="s">
        <v>32</v>
      </c>
      <c r="I4" s="424" t="s">
        <v>88</v>
      </c>
      <c r="J4" s="425"/>
      <c r="K4" s="425"/>
      <c r="L4" s="425"/>
      <c r="M4" s="425"/>
      <c r="N4" s="425"/>
      <c r="O4" s="425"/>
      <c r="P4" s="425"/>
      <c r="Q4" s="425"/>
      <c r="R4" s="425"/>
      <c r="S4" s="425"/>
      <c r="T4" s="425"/>
      <c r="U4" s="426"/>
      <c r="V4" s="20" t="s">
        <v>32</v>
      </c>
    </row>
    <row r="5" spans="1:22" ht="13.5" thickBot="1">
      <c r="A5" s="729"/>
      <c r="B5" s="22" t="s">
        <v>64</v>
      </c>
      <c r="C5" s="22"/>
      <c r="D5" s="22"/>
      <c r="E5" s="22"/>
      <c r="F5" s="22"/>
      <c r="G5" s="23"/>
      <c r="H5" s="24" t="s">
        <v>65</v>
      </c>
      <c r="I5" s="427"/>
      <c r="J5" s="428"/>
      <c r="K5" s="428"/>
      <c r="L5" s="428"/>
      <c r="M5" s="428"/>
      <c r="N5" s="428"/>
      <c r="O5" s="428"/>
      <c r="P5" s="428"/>
      <c r="Q5" s="428"/>
      <c r="R5" s="428"/>
      <c r="S5" s="428"/>
      <c r="T5" s="428"/>
      <c r="U5" s="429"/>
      <c r="V5" s="25" t="s">
        <v>66</v>
      </c>
    </row>
    <row r="6" spans="1:22" s="367" customFormat="1" ht="17.25" customHeight="1" thickBot="1">
      <c r="A6" s="164" t="s">
        <v>248</v>
      </c>
      <c r="B6" s="378"/>
      <c r="C6" s="379"/>
      <c r="D6" s="379"/>
      <c r="E6" s="379"/>
      <c r="F6" s="379"/>
      <c r="G6" s="379"/>
      <c r="H6" s="380">
        <f>H7+H22+H39+H65+H86+H88+H92+H98+H100+H102</f>
        <v>21678</v>
      </c>
      <c r="I6" s="381"/>
      <c r="J6" s="382"/>
      <c r="K6" s="382"/>
      <c r="L6" s="382"/>
      <c r="M6" s="382"/>
      <c r="N6" s="382"/>
      <c r="O6" s="382"/>
      <c r="P6" s="382"/>
      <c r="Q6" s="382"/>
      <c r="R6" s="382"/>
      <c r="S6" s="382"/>
      <c r="T6" s="382"/>
      <c r="U6" s="382"/>
      <c r="V6" s="380">
        <f>V7+V22+V39+V65+V86+V88+V92+V98+V100+V102</f>
        <v>31689</v>
      </c>
    </row>
    <row r="7" spans="1:22" ht="13.5" thickBot="1">
      <c r="A7" s="373" t="s">
        <v>341</v>
      </c>
      <c r="B7" s="374"/>
      <c r="C7" s="375"/>
      <c r="D7" s="375"/>
      <c r="E7" s="375"/>
      <c r="F7" s="375"/>
      <c r="G7" s="375"/>
      <c r="H7" s="376">
        <f>SUM(H8:H21)</f>
        <v>0</v>
      </c>
      <c r="I7" s="377"/>
      <c r="J7" s="375"/>
      <c r="K7" s="375"/>
      <c r="L7" s="375"/>
      <c r="M7" s="375"/>
      <c r="N7" s="375"/>
      <c r="O7" s="375"/>
      <c r="P7" s="375"/>
      <c r="Q7" s="375"/>
      <c r="R7" s="375"/>
      <c r="S7" s="375"/>
      <c r="T7" s="375"/>
      <c r="U7" s="375"/>
      <c r="V7" s="376">
        <f>SUM(V8:V21)</f>
        <v>141</v>
      </c>
    </row>
    <row r="8" spans="1:22" ht="12.75">
      <c r="A8" s="141" t="s">
        <v>107</v>
      </c>
      <c r="B8" s="32"/>
      <c r="C8" s="33"/>
      <c r="D8" s="33"/>
      <c r="E8" s="33"/>
      <c r="F8" s="33"/>
      <c r="G8" s="33"/>
      <c r="H8" s="34">
        <v>0</v>
      </c>
      <c r="I8" s="32"/>
      <c r="J8" s="33"/>
      <c r="K8" s="33"/>
      <c r="L8" s="33"/>
      <c r="M8" s="33"/>
      <c r="N8" s="33"/>
      <c r="O8" s="33"/>
      <c r="P8" s="33"/>
      <c r="Q8" s="33"/>
      <c r="R8" s="33"/>
      <c r="S8" s="33"/>
      <c r="T8" s="33"/>
      <c r="U8" s="33"/>
      <c r="V8" s="35">
        <v>0</v>
      </c>
    </row>
    <row r="9" spans="1:22" ht="12.75">
      <c r="A9" s="141" t="s">
        <v>117</v>
      </c>
      <c r="B9" s="32"/>
      <c r="C9" s="33"/>
      <c r="D9" s="33"/>
      <c r="E9" s="33"/>
      <c r="F9" s="33"/>
      <c r="G9" s="33"/>
      <c r="H9" s="34">
        <v>0</v>
      </c>
      <c r="I9" s="36"/>
      <c r="J9" s="33"/>
      <c r="K9" s="33"/>
      <c r="L9" s="33"/>
      <c r="M9" s="33"/>
      <c r="N9" s="33"/>
      <c r="O9" s="33"/>
      <c r="P9" s="33"/>
      <c r="Q9" s="33"/>
      <c r="R9" s="33"/>
      <c r="S9" s="33"/>
      <c r="T9" s="33"/>
      <c r="U9" s="33"/>
      <c r="V9" s="35">
        <v>0</v>
      </c>
    </row>
    <row r="10" spans="1:22" ht="12.75">
      <c r="A10" s="173" t="s">
        <v>45</v>
      </c>
      <c r="B10" s="32"/>
      <c r="C10" s="33"/>
      <c r="D10" s="33"/>
      <c r="E10" s="33"/>
      <c r="F10" s="33"/>
      <c r="G10" s="33"/>
      <c r="H10" s="34">
        <v>0</v>
      </c>
      <c r="I10" s="36"/>
      <c r="J10" s="33"/>
      <c r="K10" s="33"/>
      <c r="L10" s="33"/>
      <c r="M10" s="33"/>
      <c r="N10" s="33"/>
      <c r="O10" s="33"/>
      <c r="P10" s="33"/>
      <c r="Q10" s="33"/>
      <c r="R10" s="33"/>
      <c r="S10" s="33"/>
      <c r="T10" s="33"/>
      <c r="U10" s="33"/>
      <c r="V10" s="35">
        <v>0</v>
      </c>
    </row>
    <row r="11" spans="1:22" s="40" customFormat="1" ht="12.75">
      <c r="A11" s="141" t="s">
        <v>108</v>
      </c>
      <c r="B11" s="36"/>
      <c r="C11" s="37"/>
      <c r="D11" s="37"/>
      <c r="E11" s="37"/>
      <c r="F11" s="37"/>
      <c r="G11" s="37"/>
      <c r="H11" s="38">
        <v>0</v>
      </c>
      <c r="I11" s="36"/>
      <c r="J11" s="37"/>
      <c r="K11" s="37"/>
      <c r="L11" s="37"/>
      <c r="M11" s="37"/>
      <c r="N11" s="37"/>
      <c r="O11" s="37"/>
      <c r="P11" s="37"/>
      <c r="Q11" s="37"/>
      <c r="R11" s="37"/>
      <c r="S11" s="37"/>
      <c r="T11" s="37"/>
      <c r="U11" s="37"/>
      <c r="V11" s="39">
        <v>0</v>
      </c>
    </row>
    <row r="12" spans="1:22" ht="12.75">
      <c r="A12" s="141" t="s">
        <v>60</v>
      </c>
      <c r="B12" s="32"/>
      <c r="C12" s="33"/>
      <c r="D12" s="33"/>
      <c r="E12" s="33"/>
      <c r="F12" s="33"/>
      <c r="G12" s="33"/>
      <c r="H12" s="34">
        <v>0</v>
      </c>
      <c r="I12" s="32"/>
      <c r="J12" s="33"/>
      <c r="K12" s="33"/>
      <c r="L12" s="33"/>
      <c r="M12" s="33"/>
      <c r="N12" s="33"/>
      <c r="O12" s="33"/>
      <c r="P12" s="33"/>
      <c r="Q12" s="33"/>
      <c r="R12" s="33"/>
      <c r="S12" s="33"/>
      <c r="T12" s="33"/>
      <c r="U12" s="33"/>
      <c r="V12" s="35">
        <v>0</v>
      </c>
    </row>
    <row r="13" spans="1:22" ht="12.75">
      <c r="A13" s="141" t="s">
        <v>109</v>
      </c>
      <c r="B13" s="32"/>
      <c r="C13" s="33"/>
      <c r="D13" s="33"/>
      <c r="E13" s="33"/>
      <c r="F13" s="33"/>
      <c r="G13" s="33"/>
      <c r="H13" s="34">
        <v>0</v>
      </c>
      <c r="I13" s="32"/>
      <c r="J13" s="33"/>
      <c r="K13" s="33"/>
      <c r="L13" s="33"/>
      <c r="M13" s="33"/>
      <c r="N13" s="33"/>
      <c r="O13" s="33"/>
      <c r="P13" s="33"/>
      <c r="Q13" s="33"/>
      <c r="R13" s="33"/>
      <c r="S13" s="33"/>
      <c r="T13" s="33"/>
      <c r="U13" s="33"/>
      <c r="V13" s="35">
        <v>0</v>
      </c>
    </row>
    <row r="14" spans="1:22" s="40" customFormat="1" ht="12.75">
      <c r="A14" s="141" t="s">
        <v>271</v>
      </c>
      <c r="B14" s="36"/>
      <c r="C14" s="37"/>
      <c r="D14" s="37"/>
      <c r="E14" s="37"/>
      <c r="F14" s="37"/>
      <c r="G14" s="37"/>
      <c r="H14" s="38">
        <v>0</v>
      </c>
      <c r="I14" s="36"/>
      <c r="J14" s="37"/>
      <c r="K14" s="37"/>
      <c r="L14" s="37"/>
      <c r="M14" s="37"/>
      <c r="N14" s="37"/>
      <c r="O14" s="37"/>
      <c r="P14" s="37"/>
      <c r="Q14" s="37"/>
      <c r="R14" s="37"/>
      <c r="S14" s="37"/>
      <c r="T14" s="37"/>
      <c r="U14" s="37"/>
      <c r="V14" s="39">
        <v>0</v>
      </c>
    </row>
    <row r="15" spans="1:22" s="40" customFormat="1" ht="12.75">
      <c r="A15" s="141" t="s">
        <v>114</v>
      </c>
      <c r="B15" s="36"/>
      <c r="C15" s="43"/>
      <c r="D15" s="37"/>
      <c r="E15" s="37"/>
      <c r="F15" s="37"/>
      <c r="G15" s="37"/>
      <c r="H15" s="38">
        <v>0</v>
      </c>
      <c r="I15" s="36" t="s">
        <v>289</v>
      </c>
      <c r="J15" s="37"/>
      <c r="K15" s="37"/>
      <c r="L15" s="37"/>
      <c r="M15" s="37"/>
      <c r="N15" s="37"/>
      <c r="O15" s="44"/>
      <c r="P15" s="44"/>
      <c r="Q15" s="44"/>
      <c r="R15" s="44"/>
      <c r="S15" s="44"/>
      <c r="T15" s="44"/>
      <c r="U15" s="37"/>
      <c r="V15" s="39">
        <v>71</v>
      </c>
    </row>
    <row r="16" spans="1:22" ht="12.75">
      <c r="A16" s="141" t="s">
        <v>115</v>
      </c>
      <c r="B16" s="32"/>
      <c r="C16" s="33"/>
      <c r="D16" s="33"/>
      <c r="E16" s="33"/>
      <c r="F16" s="33"/>
      <c r="G16" s="33"/>
      <c r="H16" s="34">
        <v>0</v>
      </c>
      <c r="I16" s="36" t="s">
        <v>290</v>
      </c>
      <c r="J16" s="33"/>
      <c r="K16" s="33"/>
      <c r="L16" s="33"/>
      <c r="M16" s="33"/>
      <c r="N16" s="33"/>
      <c r="O16" s="33"/>
      <c r="P16" s="33"/>
      <c r="Q16" s="33"/>
      <c r="R16" s="33"/>
      <c r="S16" s="33"/>
      <c r="T16" s="33"/>
      <c r="U16" s="33"/>
      <c r="V16" s="35">
        <v>70</v>
      </c>
    </row>
    <row r="17" spans="1:22" ht="12.75">
      <c r="A17" s="141" t="s">
        <v>171</v>
      </c>
      <c r="B17" s="36"/>
      <c r="C17" s="33"/>
      <c r="D17" s="33"/>
      <c r="E17" s="33"/>
      <c r="F17" s="33"/>
      <c r="G17" s="33"/>
      <c r="H17" s="34">
        <v>0</v>
      </c>
      <c r="J17" s="33"/>
      <c r="K17" s="33"/>
      <c r="L17" s="33"/>
      <c r="M17" s="33"/>
      <c r="N17" s="33"/>
      <c r="O17" s="33"/>
      <c r="P17" s="33"/>
      <c r="Q17" s="33"/>
      <c r="R17" s="33"/>
      <c r="S17" s="33"/>
      <c r="T17" s="33"/>
      <c r="U17" s="33"/>
      <c r="V17" s="35">
        <v>0</v>
      </c>
    </row>
    <row r="18" spans="1:22" ht="12.75">
      <c r="A18" s="141" t="s">
        <v>110</v>
      </c>
      <c r="B18" s="32"/>
      <c r="C18" s="33"/>
      <c r="D18" s="33"/>
      <c r="E18" s="33"/>
      <c r="F18" s="33"/>
      <c r="G18" s="33"/>
      <c r="H18" s="34">
        <v>0</v>
      </c>
      <c r="I18" s="51"/>
      <c r="J18" s="33"/>
      <c r="K18" s="33"/>
      <c r="L18" s="33"/>
      <c r="M18" s="33"/>
      <c r="N18" s="33"/>
      <c r="O18" s="33"/>
      <c r="P18" s="33"/>
      <c r="Q18" s="33"/>
      <c r="R18" s="33"/>
      <c r="S18" s="33"/>
      <c r="T18" s="33"/>
      <c r="U18" s="33"/>
      <c r="V18" s="35">
        <v>0</v>
      </c>
    </row>
    <row r="19" spans="1:22" ht="12.75">
      <c r="A19" s="141" t="s">
        <v>111</v>
      </c>
      <c r="B19" s="32"/>
      <c r="C19" s="33"/>
      <c r="D19" s="33"/>
      <c r="E19" s="33"/>
      <c r="F19" s="33"/>
      <c r="G19" s="33"/>
      <c r="H19" s="34">
        <v>0</v>
      </c>
      <c r="I19" s="32"/>
      <c r="J19" s="33"/>
      <c r="K19" s="33"/>
      <c r="L19" s="33"/>
      <c r="M19" s="33"/>
      <c r="N19" s="33"/>
      <c r="O19" s="33"/>
      <c r="P19" s="33"/>
      <c r="Q19" s="33"/>
      <c r="R19" s="33"/>
      <c r="S19" s="33"/>
      <c r="T19" s="33"/>
      <c r="U19" s="33"/>
      <c r="V19" s="35">
        <v>0</v>
      </c>
    </row>
    <row r="20" spans="1:22" ht="12.75">
      <c r="A20" s="141" t="s">
        <v>112</v>
      </c>
      <c r="B20" s="45"/>
      <c r="C20" s="46"/>
      <c r="D20" s="46"/>
      <c r="E20" s="46"/>
      <c r="F20" s="46"/>
      <c r="G20" s="46"/>
      <c r="H20" s="47">
        <v>0</v>
      </c>
      <c r="I20" s="48"/>
      <c r="J20" s="46"/>
      <c r="K20" s="46"/>
      <c r="L20" s="46"/>
      <c r="M20" s="46"/>
      <c r="N20" s="46"/>
      <c r="O20" s="46"/>
      <c r="P20" s="46"/>
      <c r="Q20" s="46"/>
      <c r="R20" s="46"/>
      <c r="S20" s="46"/>
      <c r="T20" s="46"/>
      <c r="U20" s="46"/>
      <c r="V20" s="49">
        <v>0</v>
      </c>
    </row>
    <row r="21" spans="1:22" ht="13.5" thickBot="1">
      <c r="A21" s="180" t="s">
        <v>113</v>
      </c>
      <c r="B21" s="51"/>
      <c r="C21" s="33"/>
      <c r="D21" s="33"/>
      <c r="E21" s="33"/>
      <c r="F21" s="33"/>
      <c r="G21" s="33"/>
      <c r="H21" s="34">
        <v>0</v>
      </c>
      <c r="I21" s="51"/>
      <c r="J21" s="33"/>
      <c r="K21" s="33"/>
      <c r="L21" s="33"/>
      <c r="M21" s="33"/>
      <c r="N21" s="33"/>
      <c r="O21" s="33"/>
      <c r="P21" s="33"/>
      <c r="Q21" s="33"/>
      <c r="R21" s="33"/>
      <c r="S21" s="33"/>
      <c r="T21" s="33"/>
      <c r="U21" s="33"/>
      <c r="V21" s="38">
        <v>0</v>
      </c>
    </row>
    <row r="22" spans="1:22" ht="13.5" thickBot="1">
      <c r="A22" s="52" t="s">
        <v>342</v>
      </c>
      <c r="B22" s="27"/>
      <c r="C22" s="28"/>
      <c r="D22" s="28"/>
      <c r="E22" s="28"/>
      <c r="F22" s="28"/>
      <c r="G22" s="28"/>
      <c r="H22" s="29">
        <f>SUM(H23:H38)</f>
        <v>3277</v>
      </c>
      <c r="I22" s="27"/>
      <c r="J22" s="28"/>
      <c r="K22" s="28"/>
      <c r="L22" s="28"/>
      <c r="M22" s="28"/>
      <c r="N22" s="28"/>
      <c r="O22" s="28"/>
      <c r="P22" s="28"/>
      <c r="Q22" s="28"/>
      <c r="R22" s="28"/>
      <c r="S22" s="28"/>
      <c r="T22" s="28"/>
      <c r="U22" s="28"/>
      <c r="V22" s="29">
        <f>SUM(V23:V38)</f>
        <v>1657</v>
      </c>
    </row>
    <row r="23" spans="1:22" s="40" customFormat="1" ht="15" customHeight="1">
      <c r="A23" s="50" t="s">
        <v>68</v>
      </c>
      <c r="B23" s="403" t="s">
        <v>0</v>
      </c>
      <c r="C23" s="404"/>
      <c r="D23" s="404"/>
      <c r="E23" s="404"/>
      <c r="F23" s="404"/>
      <c r="G23" s="405"/>
      <c r="H23" s="53">
        <v>80</v>
      </c>
      <c r="I23" s="403" t="s">
        <v>1</v>
      </c>
      <c r="J23" s="404"/>
      <c r="K23" s="404"/>
      <c r="L23" s="404"/>
      <c r="M23" s="404"/>
      <c r="N23" s="404"/>
      <c r="O23" s="404"/>
      <c r="P23" s="404"/>
      <c r="Q23" s="404"/>
      <c r="R23" s="404"/>
      <c r="S23" s="404"/>
      <c r="T23" s="404"/>
      <c r="U23" s="405"/>
      <c r="V23" s="54">
        <v>160</v>
      </c>
    </row>
    <row r="24" spans="1:22" s="40" customFormat="1" ht="17.25" customHeight="1">
      <c r="A24" s="31" t="s">
        <v>4</v>
      </c>
      <c r="B24" s="406" t="s">
        <v>280</v>
      </c>
      <c r="C24" s="407"/>
      <c r="D24" s="407"/>
      <c r="E24" s="407"/>
      <c r="F24" s="407"/>
      <c r="G24" s="408"/>
      <c r="H24" s="38">
        <v>380</v>
      </c>
      <c r="I24" s="612" t="s">
        <v>279</v>
      </c>
      <c r="J24" s="643"/>
      <c r="K24" s="643"/>
      <c r="L24" s="643"/>
      <c r="M24" s="643"/>
      <c r="N24" s="643"/>
      <c r="O24" s="643"/>
      <c r="P24" s="643"/>
      <c r="Q24" s="643"/>
      <c r="R24" s="643"/>
      <c r="S24" s="643"/>
      <c r="T24" s="643"/>
      <c r="U24" s="644"/>
      <c r="V24" s="39">
        <f>57+120</f>
        <v>177</v>
      </c>
    </row>
    <row r="25" spans="1:22" s="40" customFormat="1" ht="58.5" customHeight="1">
      <c r="A25" s="55" t="s">
        <v>98</v>
      </c>
      <c r="B25" s="555" t="s">
        <v>305</v>
      </c>
      <c r="C25" s="652"/>
      <c r="D25" s="652"/>
      <c r="E25" s="652"/>
      <c r="F25" s="652"/>
      <c r="G25" s="653"/>
      <c r="H25" s="38">
        <f>200+200+150+50+150</f>
        <v>750</v>
      </c>
      <c r="I25" s="406" t="s">
        <v>298</v>
      </c>
      <c r="J25" s="407"/>
      <c r="K25" s="407"/>
      <c r="L25" s="407"/>
      <c r="M25" s="407"/>
      <c r="N25" s="407"/>
      <c r="O25" s="407"/>
      <c r="P25" s="407"/>
      <c r="Q25" s="407"/>
      <c r="R25" s="407"/>
      <c r="S25" s="407"/>
      <c r="T25" s="407"/>
      <c r="U25" s="408"/>
      <c r="V25" s="39">
        <f>60+130</f>
        <v>190</v>
      </c>
    </row>
    <row r="26" spans="1:22" s="40" customFormat="1" ht="45.75" customHeight="1">
      <c r="A26" s="31" t="s">
        <v>5</v>
      </c>
      <c r="B26" s="555" t="s">
        <v>340</v>
      </c>
      <c r="C26" s="652"/>
      <c r="D26" s="652"/>
      <c r="E26" s="652"/>
      <c r="F26" s="652"/>
      <c r="G26" s="653"/>
      <c r="H26" s="38">
        <f>100+50+50+50+100+150</f>
        <v>500</v>
      </c>
      <c r="I26" s="612" t="s">
        <v>337</v>
      </c>
      <c r="J26" s="643"/>
      <c r="K26" s="643"/>
      <c r="L26" s="643"/>
      <c r="M26" s="643"/>
      <c r="N26" s="643"/>
      <c r="O26" s="643"/>
      <c r="P26" s="643"/>
      <c r="Q26" s="643"/>
      <c r="R26" s="643"/>
      <c r="S26" s="643"/>
      <c r="T26" s="643"/>
      <c r="U26" s="644"/>
      <c r="V26" s="39">
        <f>150+100</f>
        <v>250</v>
      </c>
    </row>
    <row r="27" spans="1:22" s="40" customFormat="1" ht="15.75" customHeight="1">
      <c r="A27" s="31" t="s">
        <v>99</v>
      </c>
      <c r="B27" s="406"/>
      <c r="C27" s="407"/>
      <c r="D27" s="407"/>
      <c r="E27" s="407"/>
      <c r="F27" s="407"/>
      <c r="G27" s="408"/>
      <c r="H27" s="38">
        <v>0</v>
      </c>
      <c r="I27" s="406" t="s">
        <v>281</v>
      </c>
      <c r="J27" s="407"/>
      <c r="K27" s="407"/>
      <c r="L27" s="407"/>
      <c r="M27" s="407"/>
      <c r="N27" s="407"/>
      <c r="O27" s="407"/>
      <c r="P27" s="407"/>
      <c r="Q27" s="407"/>
      <c r="R27" s="407"/>
      <c r="S27" s="407"/>
      <c r="T27" s="407"/>
      <c r="U27" s="408"/>
      <c r="V27" s="39">
        <v>500</v>
      </c>
    </row>
    <row r="28" spans="1:22" s="40" customFormat="1" ht="21.75" customHeight="1">
      <c r="A28" s="383" t="s">
        <v>100</v>
      </c>
      <c r="B28" s="547" t="s">
        <v>282</v>
      </c>
      <c r="C28" s="679"/>
      <c r="D28" s="679"/>
      <c r="E28" s="679"/>
      <c r="F28" s="679"/>
      <c r="G28" s="680"/>
      <c r="H28" s="58">
        <v>160</v>
      </c>
      <c r="I28" s="453" t="s">
        <v>283</v>
      </c>
      <c r="J28" s="454"/>
      <c r="K28" s="454"/>
      <c r="L28" s="454"/>
      <c r="M28" s="454"/>
      <c r="N28" s="454"/>
      <c r="O28" s="454"/>
      <c r="P28" s="454"/>
      <c r="Q28" s="454"/>
      <c r="R28" s="454"/>
      <c r="S28" s="454"/>
      <c r="T28" s="454"/>
      <c r="U28" s="455"/>
      <c r="V28" s="58">
        <v>300</v>
      </c>
    </row>
    <row r="29" spans="1:22" s="40" customFormat="1" ht="15" customHeight="1">
      <c r="A29" s="31" t="s">
        <v>6</v>
      </c>
      <c r="B29" s="612"/>
      <c r="C29" s="643"/>
      <c r="D29" s="643"/>
      <c r="E29" s="643"/>
      <c r="F29" s="643"/>
      <c r="G29" s="644"/>
      <c r="H29" s="38">
        <v>0</v>
      </c>
      <c r="I29" s="406" t="s">
        <v>284</v>
      </c>
      <c r="J29" s="407"/>
      <c r="K29" s="407"/>
      <c r="L29" s="407"/>
      <c r="M29" s="407"/>
      <c r="N29" s="407"/>
      <c r="O29" s="407"/>
      <c r="P29" s="407"/>
      <c r="Q29" s="407"/>
      <c r="R29" s="407"/>
      <c r="S29" s="407"/>
      <c r="T29" s="407"/>
      <c r="U29" s="408"/>
      <c r="V29" s="39">
        <v>80</v>
      </c>
    </row>
    <row r="30" spans="1:22" s="40" customFormat="1" ht="17.25" customHeight="1">
      <c r="A30" s="57" t="s">
        <v>7</v>
      </c>
      <c r="B30" s="51" t="s">
        <v>285</v>
      </c>
      <c r="C30" s="37"/>
      <c r="D30" s="37"/>
      <c r="E30" s="37"/>
      <c r="F30" s="37"/>
      <c r="G30" s="37"/>
      <c r="H30" s="38">
        <v>250</v>
      </c>
      <c r="I30" s="612"/>
      <c r="J30" s="643"/>
      <c r="K30" s="643"/>
      <c r="L30" s="643"/>
      <c r="M30" s="643"/>
      <c r="N30" s="643"/>
      <c r="O30" s="643"/>
      <c r="P30" s="643"/>
      <c r="Q30" s="643"/>
      <c r="R30" s="643"/>
      <c r="S30" s="643"/>
      <c r="T30" s="643"/>
      <c r="U30" s="644"/>
      <c r="V30" s="39">
        <v>0</v>
      </c>
    </row>
    <row r="31" spans="1:22" s="40" customFormat="1" ht="22.5" customHeight="1">
      <c r="A31" s="412" t="s">
        <v>104</v>
      </c>
      <c r="B31" s="397" t="s">
        <v>2</v>
      </c>
      <c r="C31" s="398"/>
      <c r="D31" s="398"/>
      <c r="E31" s="398"/>
      <c r="F31" s="398"/>
      <c r="G31" s="399"/>
      <c r="H31" s="449">
        <f>80+259+30+40+130</f>
        <v>539</v>
      </c>
      <c r="I31" s="397"/>
      <c r="J31" s="398"/>
      <c r="K31" s="398"/>
      <c r="L31" s="398"/>
      <c r="M31" s="398"/>
      <c r="N31" s="398"/>
      <c r="O31" s="398"/>
      <c r="P31" s="398"/>
      <c r="Q31" s="398"/>
      <c r="R31" s="398"/>
      <c r="S31" s="398"/>
      <c r="T31" s="398"/>
      <c r="U31" s="399"/>
      <c r="V31" s="449">
        <v>0</v>
      </c>
    </row>
    <row r="32" spans="1:22" s="40" customFormat="1" ht="21" customHeight="1">
      <c r="A32" s="413"/>
      <c r="B32" s="409"/>
      <c r="C32" s="410"/>
      <c r="D32" s="410"/>
      <c r="E32" s="410"/>
      <c r="F32" s="410"/>
      <c r="G32" s="411"/>
      <c r="H32" s="450"/>
      <c r="I32" s="409"/>
      <c r="J32" s="410"/>
      <c r="K32" s="410"/>
      <c r="L32" s="410"/>
      <c r="M32" s="410"/>
      <c r="N32" s="410"/>
      <c r="O32" s="410"/>
      <c r="P32" s="410"/>
      <c r="Q32" s="410"/>
      <c r="R32" s="410"/>
      <c r="S32" s="410"/>
      <c r="T32" s="410"/>
      <c r="U32" s="411"/>
      <c r="V32" s="450"/>
    </row>
    <row r="33" spans="1:22" s="40" customFormat="1" ht="30.75" customHeight="1">
      <c r="A33" s="55" t="s">
        <v>8</v>
      </c>
      <c r="B33" s="397" t="s">
        <v>287</v>
      </c>
      <c r="C33" s="398"/>
      <c r="D33" s="398"/>
      <c r="E33" s="398"/>
      <c r="F33" s="398"/>
      <c r="G33" s="399"/>
      <c r="H33" s="38">
        <f>100+50+150</f>
        <v>300</v>
      </c>
      <c r="I33" s="36"/>
      <c r="J33" s="37"/>
      <c r="K33" s="37"/>
      <c r="L33" s="37"/>
      <c r="M33" s="37"/>
      <c r="N33" s="37"/>
      <c r="O33" s="37"/>
      <c r="P33" s="37"/>
      <c r="Q33" s="37"/>
      <c r="R33" s="37"/>
      <c r="S33" s="37"/>
      <c r="T33" s="37"/>
      <c r="U33" s="37"/>
      <c r="V33" s="38">
        <v>0</v>
      </c>
    </row>
    <row r="34" spans="1:22" s="92" customFormat="1" ht="66" customHeight="1">
      <c r="A34" s="144" t="s">
        <v>85</v>
      </c>
      <c r="B34" s="683" t="s">
        <v>306</v>
      </c>
      <c r="C34" s="684"/>
      <c r="D34" s="684"/>
      <c r="E34" s="684"/>
      <c r="F34" s="684"/>
      <c r="G34" s="685"/>
      <c r="H34" s="384">
        <f>13+10+50+30+105</f>
        <v>208</v>
      </c>
      <c r="I34" s="683"/>
      <c r="J34" s="684"/>
      <c r="K34" s="684"/>
      <c r="L34" s="684"/>
      <c r="M34" s="684"/>
      <c r="N34" s="684"/>
      <c r="O34" s="684"/>
      <c r="P34" s="684"/>
      <c r="Q34" s="684"/>
      <c r="R34" s="684"/>
      <c r="S34" s="684"/>
      <c r="T34" s="684"/>
      <c r="U34" s="685"/>
      <c r="V34" s="384">
        <v>0</v>
      </c>
    </row>
    <row r="35" spans="1:22" s="40" customFormat="1" ht="12.75" customHeight="1">
      <c r="A35" s="412" t="s">
        <v>103</v>
      </c>
      <c r="B35" s="397"/>
      <c r="C35" s="398"/>
      <c r="D35" s="398"/>
      <c r="E35" s="398"/>
      <c r="F35" s="398"/>
      <c r="G35" s="399"/>
      <c r="H35" s="449">
        <v>0</v>
      </c>
      <c r="I35" s="397"/>
      <c r="J35" s="398"/>
      <c r="K35" s="398"/>
      <c r="L35" s="398"/>
      <c r="M35" s="398"/>
      <c r="N35" s="398"/>
      <c r="O35" s="398"/>
      <c r="P35" s="398"/>
      <c r="Q35" s="398"/>
      <c r="R35" s="398"/>
      <c r="S35" s="398"/>
      <c r="T35" s="398"/>
      <c r="U35" s="399"/>
      <c r="V35" s="449">
        <v>0</v>
      </c>
    </row>
    <row r="36" spans="1:22" s="40" customFormat="1" ht="12.75" customHeight="1">
      <c r="A36" s="413"/>
      <c r="B36" s="409"/>
      <c r="C36" s="410"/>
      <c r="D36" s="410"/>
      <c r="E36" s="410"/>
      <c r="F36" s="410"/>
      <c r="G36" s="411"/>
      <c r="H36" s="450"/>
      <c r="I36" s="409"/>
      <c r="J36" s="410"/>
      <c r="K36" s="410"/>
      <c r="L36" s="410"/>
      <c r="M36" s="410"/>
      <c r="N36" s="410"/>
      <c r="O36" s="410"/>
      <c r="P36" s="410"/>
      <c r="Q36" s="410"/>
      <c r="R36" s="410"/>
      <c r="S36" s="410"/>
      <c r="T36" s="410"/>
      <c r="U36" s="411"/>
      <c r="V36" s="450"/>
    </row>
    <row r="37" spans="1:22" s="40" customFormat="1" ht="19.5" customHeight="1">
      <c r="A37" s="31" t="s">
        <v>34</v>
      </c>
      <c r="B37" s="397" t="s">
        <v>288</v>
      </c>
      <c r="C37" s="398"/>
      <c r="D37" s="398"/>
      <c r="E37" s="398"/>
      <c r="F37" s="398"/>
      <c r="G37" s="399"/>
      <c r="H37" s="38">
        <v>110</v>
      </c>
      <c r="I37" s="36"/>
      <c r="J37" s="37"/>
      <c r="K37" s="37"/>
      <c r="L37" s="37"/>
      <c r="M37" s="37"/>
      <c r="N37" s="37"/>
      <c r="O37" s="37"/>
      <c r="P37" s="37"/>
      <c r="Q37" s="37"/>
      <c r="R37" s="37"/>
      <c r="S37" s="37"/>
      <c r="T37" s="37"/>
      <c r="U37" s="37"/>
      <c r="V37" s="39">
        <v>0</v>
      </c>
    </row>
    <row r="38" spans="1:22" s="40" customFormat="1" ht="13.5" thickBot="1">
      <c r="A38" s="60" t="s">
        <v>35</v>
      </c>
      <c r="B38" s="61"/>
      <c r="C38" s="62"/>
      <c r="D38" s="62"/>
      <c r="E38" s="62"/>
      <c r="F38" s="62"/>
      <c r="G38" s="62"/>
      <c r="H38" s="63">
        <v>0</v>
      </c>
      <c r="I38" s="400"/>
      <c r="J38" s="401"/>
      <c r="K38" s="401"/>
      <c r="L38" s="401"/>
      <c r="M38" s="401"/>
      <c r="N38" s="401"/>
      <c r="O38" s="401"/>
      <c r="P38" s="401"/>
      <c r="Q38" s="401"/>
      <c r="R38" s="401"/>
      <c r="S38" s="401"/>
      <c r="T38" s="401"/>
      <c r="U38" s="402"/>
      <c r="V38" s="64">
        <v>0</v>
      </c>
    </row>
    <row r="39" spans="1:22" ht="13.5" thickBot="1">
      <c r="A39" s="26" t="s">
        <v>20</v>
      </c>
      <c r="B39" s="27"/>
      <c r="C39" s="28"/>
      <c r="D39" s="28"/>
      <c r="E39" s="28"/>
      <c r="F39" s="28"/>
      <c r="G39" s="28"/>
      <c r="H39" s="29">
        <f>SUM(H40:H64)</f>
        <v>7881</v>
      </c>
      <c r="I39" s="27"/>
      <c r="J39" s="28"/>
      <c r="K39" s="28"/>
      <c r="L39" s="28"/>
      <c r="M39" s="28"/>
      <c r="N39" s="28"/>
      <c r="O39" s="28"/>
      <c r="P39" s="28"/>
      <c r="Q39" s="28"/>
      <c r="R39" s="28"/>
      <c r="S39" s="28"/>
      <c r="T39" s="28"/>
      <c r="U39" s="28"/>
      <c r="V39" s="29">
        <f>SUM(I40+V40+V42+V43+V44+V45+V47+V49+V50+V51+V52+V53+V54+V55+V56+V57+V58+V59+V60+V61+V62+V63+V64)</f>
        <v>7717</v>
      </c>
    </row>
    <row r="40" spans="1:22" s="40" customFormat="1" ht="12.75">
      <c r="A40" s="440" t="s">
        <v>118</v>
      </c>
      <c r="B40" s="441" t="s">
        <v>307</v>
      </c>
      <c r="C40" s="442"/>
      <c r="D40" s="442"/>
      <c r="E40" s="442"/>
      <c r="F40" s="442"/>
      <c r="G40" s="443"/>
      <c r="H40" s="479">
        <v>500</v>
      </c>
      <c r="I40" s="475"/>
      <c r="J40" s="475"/>
      <c r="K40" s="475"/>
      <c r="L40" s="475"/>
      <c r="M40" s="475"/>
      <c r="N40" s="475"/>
      <c r="O40" s="475"/>
      <c r="P40" s="475"/>
      <c r="Q40" s="475"/>
      <c r="R40" s="475"/>
      <c r="S40" s="475"/>
      <c r="T40" s="475"/>
      <c r="U40" s="476"/>
      <c r="V40" s="473">
        <v>0</v>
      </c>
    </row>
    <row r="41" spans="1:22" s="40" customFormat="1" ht="7.5" customHeight="1">
      <c r="A41" s="413"/>
      <c r="B41" s="409"/>
      <c r="C41" s="410"/>
      <c r="D41" s="410"/>
      <c r="E41" s="410"/>
      <c r="F41" s="410"/>
      <c r="G41" s="411"/>
      <c r="H41" s="415"/>
      <c r="I41" s="477"/>
      <c r="J41" s="477"/>
      <c r="K41" s="477"/>
      <c r="L41" s="477"/>
      <c r="M41" s="477"/>
      <c r="N41" s="477"/>
      <c r="O41" s="477"/>
      <c r="P41" s="477"/>
      <c r="Q41" s="477"/>
      <c r="R41" s="477"/>
      <c r="S41" s="477"/>
      <c r="T41" s="477"/>
      <c r="U41" s="478"/>
      <c r="V41" s="474"/>
    </row>
    <row r="42" spans="1:22" s="40" customFormat="1" ht="22.5" customHeight="1">
      <c r="A42" s="50" t="s">
        <v>119</v>
      </c>
      <c r="B42" s="68" t="s">
        <v>299</v>
      </c>
      <c r="C42" s="69"/>
      <c r="D42" s="69"/>
      <c r="E42" s="69"/>
      <c r="F42" s="69"/>
      <c r="G42" s="69"/>
      <c r="H42" s="70">
        <v>140</v>
      </c>
      <c r="I42" s="385" t="s">
        <v>314</v>
      </c>
      <c r="J42" s="69"/>
      <c r="K42" s="69"/>
      <c r="L42" s="69"/>
      <c r="M42" s="69"/>
      <c r="N42" s="69"/>
      <c r="O42" s="69"/>
      <c r="P42" s="69"/>
      <c r="Q42" s="69"/>
      <c r="R42" s="69"/>
      <c r="S42" s="69"/>
      <c r="T42" s="69"/>
      <c r="U42" s="69"/>
      <c r="V42" s="59">
        <v>950</v>
      </c>
    </row>
    <row r="43" spans="1:22" s="40" customFormat="1" ht="18" customHeight="1">
      <c r="A43" s="31" t="s">
        <v>120</v>
      </c>
      <c r="B43" s="36"/>
      <c r="C43" s="43"/>
      <c r="D43" s="37"/>
      <c r="E43" s="37"/>
      <c r="F43" s="37"/>
      <c r="G43" s="37"/>
      <c r="H43" s="38">
        <v>0</v>
      </c>
      <c r="I43" s="68"/>
      <c r="J43" s="37"/>
      <c r="K43" s="37"/>
      <c r="L43" s="37"/>
      <c r="M43" s="37"/>
      <c r="N43" s="37"/>
      <c r="O43" s="37"/>
      <c r="P43" s="37"/>
      <c r="Q43" s="37"/>
      <c r="R43" s="37"/>
      <c r="S43" s="37"/>
      <c r="T43" s="37"/>
      <c r="U43" s="37"/>
      <c r="V43" s="39">
        <v>0</v>
      </c>
    </row>
    <row r="44" spans="1:22" s="40" customFormat="1" ht="23.25" customHeight="1">
      <c r="A44" s="57" t="s">
        <v>121</v>
      </c>
      <c r="B44" s="36"/>
      <c r="C44" s="37"/>
      <c r="D44" s="37"/>
      <c r="E44" s="37"/>
      <c r="F44" s="37"/>
      <c r="G44" s="37"/>
      <c r="H44" s="38">
        <v>0</v>
      </c>
      <c r="I44" s="36" t="s">
        <v>315</v>
      </c>
      <c r="J44" s="37"/>
      <c r="K44" s="37"/>
      <c r="L44" s="37"/>
      <c r="M44" s="37"/>
      <c r="N44" s="37"/>
      <c r="O44" s="37"/>
      <c r="P44" s="37"/>
      <c r="Q44" s="37"/>
      <c r="R44" s="37"/>
      <c r="S44" s="37"/>
      <c r="T44" s="37"/>
      <c r="U44" s="37"/>
      <c r="V44" s="58">
        <v>200</v>
      </c>
    </row>
    <row r="45" spans="1:22" s="40" customFormat="1" ht="12.75" customHeight="1">
      <c r="A45" s="470" t="s">
        <v>122</v>
      </c>
      <c r="B45" s="397" t="s">
        <v>308</v>
      </c>
      <c r="C45" s="459"/>
      <c r="D45" s="459"/>
      <c r="E45" s="459"/>
      <c r="F45" s="459"/>
      <c r="G45" s="460"/>
      <c r="H45" s="449">
        <v>380</v>
      </c>
      <c r="I45" s="397" t="s">
        <v>348</v>
      </c>
      <c r="J45" s="459"/>
      <c r="K45" s="459"/>
      <c r="L45" s="459"/>
      <c r="M45" s="459"/>
      <c r="N45" s="459"/>
      <c r="O45" s="459"/>
      <c r="P45" s="459"/>
      <c r="Q45" s="459"/>
      <c r="R45" s="459"/>
      <c r="S45" s="459"/>
      <c r="T45" s="459"/>
      <c r="U45" s="459"/>
      <c r="V45" s="472">
        <f>140+222+43+60+150</f>
        <v>615</v>
      </c>
    </row>
    <row r="46" spans="1:22" s="40" customFormat="1" ht="33.75" customHeight="1">
      <c r="A46" s="413"/>
      <c r="B46" s="481"/>
      <c r="C46" s="482"/>
      <c r="D46" s="482"/>
      <c r="E46" s="482"/>
      <c r="F46" s="482"/>
      <c r="G46" s="483"/>
      <c r="H46" s="450"/>
      <c r="I46" s="481"/>
      <c r="J46" s="482"/>
      <c r="K46" s="482"/>
      <c r="L46" s="482"/>
      <c r="M46" s="482"/>
      <c r="N46" s="482"/>
      <c r="O46" s="482"/>
      <c r="P46" s="482"/>
      <c r="Q46" s="482"/>
      <c r="R46" s="482"/>
      <c r="S46" s="482"/>
      <c r="T46" s="482"/>
      <c r="U46" s="482"/>
      <c r="V46" s="415"/>
    </row>
    <row r="47" spans="1:22" s="40" customFormat="1" ht="3" customHeight="1">
      <c r="A47" s="447" t="s">
        <v>123</v>
      </c>
      <c r="B47" s="397" t="s">
        <v>309</v>
      </c>
      <c r="C47" s="398"/>
      <c r="D47" s="398"/>
      <c r="E47" s="398"/>
      <c r="F47" s="398"/>
      <c r="G47" s="399"/>
      <c r="H47" s="414">
        <v>780</v>
      </c>
      <c r="I47" s="606" t="s">
        <v>301</v>
      </c>
      <c r="J47" s="614"/>
      <c r="K47" s="614"/>
      <c r="L47" s="614"/>
      <c r="M47" s="614"/>
      <c r="N47" s="614"/>
      <c r="O47" s="614"/>
      <c r="P47" s="614"/>
      <c r="Q47" s="614"/>
      <c r="R47" s="614"/>
      <c r="S47" s="614"/>
      <c r="T47" s="614"/>
      <c r="U47" s="615"/>
      <c r="V47" s="449">
        <v>320</v>
      </c>
    </row>
    <row r="48" spans="1:22" s="40" customFormat="1" ht="36" customHeight="1">
      <c r="A48" s="480"/>
      <c r="B48" s="409"/>
      <c r="C48" s="410"/>
      <c r="D48" s="410"/>
      <c r="E48" s="410"/>
      <c r="F48" s="410"/>
      <c r="G48" s="411"/>
      <c r="H48" s="422"/>
      <c r="I48" s="616"/>
      <c r="J48" s="579"/>
      <c r="K48" s="579"/>
      <c r="L48" s="579"/>
      <c r="M48" s="579"/>
      <c r="N48" s="579"/>
      <c r="O48" s="579"/>
      <c r="P48" s="579"/>
      <c r="Q48" s="579"/>
      <c r="R48" s="579"/>
      <c r="S48" s="579"/>
      <c r="T48" s="579"/>
      <c r="U48" s="580"/>
      <c r="V48" s="474"/>
    </row>
    <row r="49" spans="1:22" s="40" customFormat="1" ht="18.75" customHeight="1">
      <c r="A49" s="31" t="s">
        <v>124</v>
      </c>
      <c r="B49" s="390" t="s">
        <v>300</v>
      </c>
      <c r="C49" s="391"/>
      <c r="D49" s="391"/>
      <c r="E49" s="391"/>
      <c r="F49" s="391"/>
      <c r="G49" s="391"/>
      <c r="H49" s="38">
        <v>160</v>
      </c>
      <c r="I49" s="36"/>
      <c r="J49" s="37"/>
      <c r="K49" s="37"/>
      <c r="L49" s="37"/>
      <c r="M49" s="37"/>
      <c r="N49" s="37"/>
      <c r="O49" s="37"/>
      <c r="P49" s="37"/>
      <c r="Q49" s="37"/>
      <c r="R49" s="37"/>
      <c r="S49" s="37"/>
      <c r="T49" s="37"/>
      <c r="U49" s="37"/>
      <c r="V49" s="39">
        <v>0</v>
      </c>
    </row>
    <row r="50" spans="1:22" ht="21" customHeight="1">
      <c r="A50" s="56" t="s">
        <v>56</v>
      </c>
      <c r="B50" s="654" t="s">
        <v>310</v>
      </c>
      <c r="C50" s="655"/>
      <c r="D50" s="655"/>
      <c r="E50" s="655"/>
      <c r="F50" s="655"/>
      <c r="G50" s="656"/>
      <c r="H50" s="72">
        <v>150</v>
      </c>
      <c r="I50" s="68" t="s">
        <v>302</v>
      </c>
      <c r="J50" s="73"/>
      <c r="K50" s="73"/>
      <c r="L50" s="73"/>
      <c r="M50" s="73"/>
      <c r="N50" s="73"/>
      <c r="O50" s="73"/>
      <c r="P50" s="73"/>
      <c r="Q50" s="73"/>
      <c r="R50" s="73"/>
      <c r="S50" s="73"/>
      <c r="T50" s="73"/>
      <c r="U50" s="73"/>
      <c r="V50" s="74">
        <v>230</v>
      </c>
    </row>
    <row r="51" spans="1:22" ht="8.25" customHeight="1">
      <c r="A51" s="412" t="s">
        <v>86</v>
      </c>
      <c r="B51" s="659" t="s">
        <v>311</v>
      </c>
      <c r="C51" s="660"/>
      <c r="D51" s="660"/>
      <c r="E51" s="660"/>
      <c r="F51" s="660"/>
      <c r="G51" s="661"/>
      <c r="H51" s="430">
        <v>350</v>
      </c>
      <c r="I51" s="547" t="s">
        <v>349</v>
      </c>
      <c r="J51" s="593"/>
      <c r="K51" s="593"/>
      <c r="L51" s="593"/>
      <c r="M51" s="593"/>
      <c r="N51" s="593"/>
      <c r="O51" s="593"/>
      <c r="P51" s="593"/>
      <c r="Q51" s="593"/>
      <c r="R51" s="593"/>
      <c r="S51" s="593"/>
      <c r="T51" s="593"/>
      <c r="U51" s="593"/>
      <c r="V51" s="430">
        <f>260+450+100+70</f>
        <v>880</v>
      </c>
    </row>
    <row r="52" spans="1:22" ht="29.25" customHeight="1">
      <c r="A52" s="413"/>
      <c r="B52" s="662"/>
      <c r="C52" s="663"/>
      <c r="D52" s="663"/>
      <c r="E52" s="663"/>
      <c r="F52" s="663"/>
      <c r="G52" s="664"/>
      <c r="H52" s="431"/>
      <c r="I52" s="640"/>
      <c r="J52" s="641"/>
      <c r="K52" s="641"/>
      <c r="L52" s="641"/>
      <c r="M52" s="641"/>
      <c r="N52" s="641"/>
      <c r="O52" s="641"/>
      <c r="P52" s="641"/>
      <c r="Q52" s="641"/>
      <c r="R52" s="641"/>
      <c r="S52" s="641"/>
      <c r="T52" s="641"/>
      <c r="U52" s="641"/>
      <c r="V52" s="431"/>
    </row>
    <row r="53" spans="1:22" s="386" customFormat="1" ht="12.75" customHeight="1">
      <c r="A53" s="657" t="s">
        <v>130</v>
      </c>
      <c r="B53" s="666" t="s">
        <v>312</v>
      </c>
      <c r="C53" s="667"/>
      <c r="D53" s="667"/>
      <c r="E53" s="667"/>
      <c r="F53" s="667"/>
      <c r="G53" s="668"/>
      <c r="H53" s="698">
        <v>700</v>
      </c>
      <c r="I53" s="692"/>
      <c r="J53" s="693"/>
      <c r="K53" s="693"/>
      <c r="L53" s="693"/>
      <c r="M53" s="693"/>
      <c r="N53" s="693"/>
      <c r="O53" s="693"/>
      <c r="P53" s="693"/>
      <c r="Q53" s="693"/>
      <c r="R53" s="693"/>
      <c r="S53" s="693"/>
      <c r="T53" s="693"/>
      <c r="U53" s="694"/>
      <c r="V53" s="674">
        <v>0</v>
      </c>
    </row>
    <row r="54" spans="1:22" s="386" customFormat="1" ht="12.75" customHeight="1">
      <c r="A54" s="658"/>
      <c r="B54" s="669"/>
      <c r="C54" s="670"/>
      <c r="D54" s="670"/>
      <c r="E54" s="670"/>
      <c r="F54" s="670"/>
      <c r="G54" s="671"/>
      <c r="H54" s="699"/>
      <c r="I54" s="695"/>
      <c r="J54" s="696"/>
      <c r="K54" s="696"/>
      <c r="L54" s="696"/>
      <c r="M54" s="696"/>
      <c r="N54" s="696"/>
      <c r="O54" s="696"/>
      <c r="P54" s="696"/>
      <c r="Q54" s="696"/>
      <c r="R54" s="696"/>
      <c r="S54" s="696"/>
      <c r="T54" s="696"/>
      <c r="U54" s="697"/>
      <c r="V54" s="675"/>
    </row>
    <row r="55" spans="1:22" s="386" customFormat="1" ht="72.75" customHeight="1">
      <c r="A55" s="387" t="s">
        <v>70</v>
      </c>
      <c r="B55" s="672" t="s">
        <v>313</v>
      </c>
      <c r="C55" s="673"/>
      <c r="D55" s="673"/>
      <c r="E55" s="673"/>
      <c r="F55" s="673"/>
      <c r="G55" s="673"/>
      <c r="H55" s="388">
        <f>1031+344+31+180+230+20+60</f>
        <v>1896</v>
      </c>
      <c r="I55" s="700" t="s">
        <v>336</v>
      </c>
      <c r="J55" s="700"/>
      <c r="K55" s="700"/>
      <c r="L55" s="700"/>
      <c r="M55" s="700"/>
      <c r="N55" s="700"/>
      <c r="O55" s="700"/>
      <c r="P55" s="700"/>
      <c r="Q55" s="700"/>
      <c r="R55" s="700"/>
      <c r="S55" s="700"/>
      <c r="T55" s="700"/>
      <c r="U55" s="701"/>
      <c r="V55" s="389">
        <v>1400</v>
      </c>
    </row>
    <row r="56" spans="1:22" s="40" customFormat="1" ht="6" customHeight="1">
      <c r="A56" s="412" t="s">
        <v>125</v>
      </c>
      <c r="B56" s="397" t="s">
        <v>319</v>
      </c>
      <c r="C56" s="459"/>
      <c r="D56" s="459"/>
      <c r="E56" s="459"/>
      <c r="F56" s="459"/>
      <c r="G56" s="460"/>
      <c r="H56" s="449">
        <f>1000+90+60+200+140+60+380+560+70+115</f>
        <v>2675</v>
      </c>
      <c r="I56" s="397" t="s">
        <v>320</v>
      </c>
      <c r="J56" s="398"/>
      <c r="K56" s="398"/>
      <c r="L56" s="398"/>
      <c r="M56" s="398"/>
      <c r="N56" s="398"/>
      <c r="O56" s="398"/>
      <c r="P56" s="398"/>
      <c r="Q56" s="398"/>
      <c r="R56" s="398"/>
      <c r="S56" s="398"/>
      <c r="T56" s="398"/>
      <c r="U56" s="399"/>
      <c r="V56" s="449">
        <f>500+45+180</f>
        <v>725</v>
      </c>
    </row>
    <row r="57" spans="1:22" s="40" customFormat="1" ht="118.5" customHeight="1">
      <c r="A57" s="413"/>
      <c r="B57" s="481"/>
      <c r="C57" s="482"/>
      <c r="D57" s="482"/>
      <c r="E57" s="482"/>
      <c r="F57" s="482"/>
      <c r="G57" s="483"/>
      <c r="H57" s="450"/>
      <c r="I57" s="409"/>
      <c r="J57" s="410"/>
      <c r="K57" s="410"/>
      <c r="L57" s="410"/>
      <c r="M57" s="410"/>
      <c r="N57" s="410"/>
      <c r="O57" s="410"/>
      <c r="P57" s="410"/>
      <c r="Q57" s="410"/>
      <c r="R57" s="410"/>
      <c r="S57" s="410"/>
      <c r="T57" s="410"/>
      <c r="U57" s="411"/>
      <c r="V57" s="474"/>
    </row>
    <row r="58" spans="1:22" ht="7.5" customHeight="1">
      <c r="A58" s="412" t="s">
        <v>126</v>
      </c>
      <c r="B58" s="432"/>
      <c r="C58" s="433"/>
      <c r="D58" s="433"/>
      <c r="E58" s="433"/>
      <c r="F58" s="433"/>
      <c r="G58" s="434"/>
      <c r="H58" s="590">
        <v>0</v>
      </c>
      <c r="I58" s="397" t="s">
        <v>321</v>
      </c>
      <c r="J58" s="398"/>
      <c r="K58" s="398"/>
      <c r="L58" s="398"/>
      <c r="M58" s="398"/>
      <c r="N58" s="398"/>
      <c r="O58" s="398"/>
      <c r="P58" s="398"/>
      <c r="Q58" s="398"/>
      <c r="R58" s="398"/>
      <c r="S58" s="398"/>
      <c r="T58" s="398"/>
      <c r="U58" s="399"/>
      <c r="V58" s="590">
        <f>57+140+280+110+130+180</f>
        <v>897</v>
      </c>
    </row>
    <row r="59" spans="1:22" ht="42.75" customHeight="1">
      <c r="A59" s="413"/>
      <c r="B59" s="435"/>
      <c r="C59" s="436"/>
      <c r="D59" s="436"/>
      <c r="E59" s="436"/>
      <c r="F59" s="436"/>
      <c r="G59" s="437"/>
      <c r="H59" s="605"/>
      <c r="I59" s="409"/>
      <c r="J59" s="410"/>
      <c r="K59" s="410"/>
      <c r="L59" s="410"/>
      <c r="M59" s="410"/>
      <c r="N59" s="410"/>
      <c r="O59" s="410"/>
      <c r="P59" s="410"/>
      <c r="Q59" s="410"/>
      <c r="R59" s="410"/>
      <c r="S59" s="410"/>
      <c r="T59" s="410"/>
      <c r="U59" s="411"/>
      <c r="V59" s="474"/>
    </row>
    <row r="60" spans="1:22" s="40" customFormat="1" ht="21.75" customHeight="1">
      <c r="A60" s="50" t="s">
        <v>127</v>
      </c>
      <c r="B60" s="578"/>
      <c r="C60" s="579"/>
      <c r="D60" s="579"/>
      <c r="E60" s="579"/>
      <c r="F60" s="579"/>
      <c r="G60" s="580"/>
      <c r="H60" s="70">
        <v>0</v>
      </c>
      <c r="I60" s="68" t="s">
        <v>316</v>
      </c>
      <c r="J60" s="69"/>
      <c r="K60" s="69"/>
      <c r="L60" s="69"/>
      <c r="M60" s="69"/>
      <c r="N60" s="69"/>
      <c r="O60" s="69"/>
      <c r="P60" s="69"/>
      <c r="Q60" s="69"/>
      <c r="R60" s="69"/>
      <c r="S60" s="69"/>
      <c r="T60" s="69"/>
      <c r="U60" s="69"/>
      <c r="V60" s="59">
        <v>550</v>
      </c>
    </row>
    <row r="61" spans="1:22" s="40" customFormat="1" ht="42.75" customHeight="1">
      <c r="A61" s="31" t="s">
        <v>131</v>
      </c>
      <c r="B61" s="406" t="s">
        <v>322</v>
      </c>
      <c r="C61" s="407"/>
      <c r="D61" s="407"/>
      <c r="E61" s="407"/>
      <c r="F61" s="407"/>
      <c r="G61" s="408"/>
      <c r="H61" s="38">
        <v>150</v>
      </c>
      <c r="I61" s="555" t="s">
        <v>346</v>
      </c>
      <c r="J61" s="601"/>
      <c r="K61" s="601"/>
      <c r="L61" s="601"/>
      <c r="M61" s="601"/>
      <c r="N61" s="601"/>
      <c r="O61" s="601"/>
      <c r="P61" s="601"/>
      <c r="Q61" s="601"/>
      <c r="R61" s="601"/>
      <c r="S61" s="601"/>
      <c r="T61" s="601"/>
      <c r="U61" s="602"/>
      <c r="V61" s="39">
        <f>150+70+80+100+100+100</f>
        <v>600</v>
      </c>
    </row>
    <row r="62" spans="1:22" s="92" customFormat="1" ht="12.75" customHeight="1">
      <c r="A62" s="681" t="s">
        <v>128</v>
      </c>
      <c r="B62" s="686"/>
      <c r="C62" s="687"/>
      <c r="D62" s="687"/>
      <c r="E62" s="687"/>
      <c r="F62" s="687"/>
      <c r="G62" s="688"/>
      <c r="H62" s="702">
        <v>0</v>
      </c>
      <c r="I62" s="704" t="s">
        <v>303</v>
      </c>
      <c r="J62" s="705"/>
      <c r="K62" s="705"/>
      <c r="L62" s="705"/>
      <c r="M62" s="705"/>
      <c r="N62" s="705"/>
      <c r="O62" s="705"/>
      <c r="P62" s="705"/>
      <c r="Q62" s="705"/>
      <c r="R62" s="705"/>
      <c r="S62" s="705"/>
      <c r="T62" s="705"/>
      <c r="U62" s="706"/>
      <c r="V62" s="710">
        <v>350</v>
      </c>
    </row>
    <row r="63" spans="1:22" s="92" customFormat="1" ht="14.25" customHeight="1">
      <c r="A63" s="682"/>
      <c r="B63" s="689"/>
      <c r="C63" s="690"/>
      <c r="D63" s="690"/>
      <c r="E63" s="690"/>
      <c r="F63" s="690"/>
      <c r="G63" s="691"/>
      <c r="H63" s="703"/>
      <c r="I63" s="707"/>
      <c r="J63" s="708"/>
      <c r="K63" s="708"/>
      <c r="L63" s="708"/>
      <c r="M63" s="708"/>
      <c r="N63" s="708"/>
      <c r="O63" s="708"/>
      <c r="P63" s="708"/>
      <c r="Q63" s="708"/>
      <c r="R63" s="708"/>
      <c r="S63" s="708"/>
      <c r="T63" s="708"/>
      <c r="U63" s="709"/>
      <c r="V63" s="711"/>
    </row>
    <row r="64" spans="1:22" s="40" customFormat="1" ht="23.25" thickBot="1">
      <c r="A64" s="31" t="s">
        <v>129</v>
      </c>
      <c r="B64" s="36"/>
      <c r="C64" s="37"/>
      <c r="D64" s="37"/>
      <c r="E64" s="37"/>
      <c r="F64" s="37"/>
      <c r="G64" s="37"/>
      <c r="H64" s="38">
        <v>0</v>
      </c>
      <c r="I64" s="36"/>
      <c r="J64" s="37"/>
      <c r="K64" s="37"/>
      <c r="L64" s="37"/>
      <c r="M64" s="37"/>
      <c r="N64" s="37"/>
      <c r="O64" s="37"/>
      <c r="P64" s="37"/>
      <c r="Q64" s="37"/>
      <c r="R64" s="37"/>
      <c r="S64" s="37"/>
      <c r="T64" s="37"/>
      <c r="U64" s="37"/>
      <c r="V64" s="39">
        <v>0</v>
      </c>
    </row>
    <row r="65" spans="1:22" ht="13.5" thickBot="1">
      <c r="A65" s="26" t="s">
        <v>21</v>
      </c>
      <c r="B65" s="27"/>
      <c r="C65" s="28"/>
      <c r="D65" s="28"/>
      <c r="E65" s="28"/>
      <c r="F65" s="28"/>
      <c r="G65" s="28"/>
      <c r="H65" s="29">
        <f>SUM(H66:H85)</f>
        <v>7270</v>
      </c>
      <c r="I65" s="30"/>
      <c r="J65" s="28"/>
      <c r="K65" s="28"/>
      <c r="L65" s="28"/>
      <c r="M65" s="28"/>
      <c r="N65" s="28"/>
      <c r="O65" s="28"/>
      <c r="P65" s="28"/>
      <c r="Q65" s="28"/>
      <c r="R65" s="28"/>
      <c r="S65" s="28"/>
      <c r="T65" s="28"/>
      <c r="U65" s="28"/>
      <c r="V65" s="29">
        <f>SUM(V66:V85)</f>
        <v>12039</v>
      </c>
    </row>
    <row r="66" spans="1:22" s="40" customFormat="1" ht="4.5" customHeight="1">
      <c r="A66" s="440" t="s">
        <v>72</v>
      </c>
      <c r="B66" s="441"/>
      <c r="C66" s="442"/>
      <c r="D66" s="442"/>
      <c r="E66" s="442"/>
      <c r="F66" s="442"/>
      <c r="G66" s="443"/>
      <c r="H66" s="591">
        <v>0</v>
      </c>
      <c r="I66" s="441" t="s">
        <v>272</v>
      </c>
      <c r="J66" s="442"/>
      <c r="K66" s="442"/>
      <c r="L66" s="442"/>
      <c r="M66" s="442"/>
      <c r="N66" s="442"/>
      <c r="O66" s="442"/>
      <c r="P66" s="442"/>
      <c r="Q66" s="442"/>
      <c r="R66" s="442"/>
      <c r="S66" s="442"/>
      <c r="T66" s="442"/>
      <c r="U66" s="443"/>
      <c r="V66" s="586">
        <f>250+350</f>
        <v>600</v>
      </c>
    </row>
    <row r="67" spans="1:22" s="40" customFormat="1" ht="15.75" customHeight="1">
      <c r="A67" s="413"/>
      <c r="B67" s="444"/>
      <c r="C67" s="445"/>
      <c r="D67" s="445"/>
      <c r="E67" s="445"/>
      <c r="F67" s="445"/>
      <c r="G67" s="446"/>
      <c r="H67" s="592"/>
      <c r="I67" s="409"/>
      <c r="J67" s="410"/>
      <c r="K67" s="410"/>
      <c r="L67" s="410"/>
      <c r="M67" s="410"/>
      <c r="N67" s="410"/>
      <c r="O67" s="410"/>
      <c r="P67" s="410"/>
      <c r="Q67" s="410"/>
      <c r="R67" s="410"/>
      <c r="S67" s="410"/>
      <c r="T67" s="410"/>
      <c r="U67" s="411"/>
      <c r="V67" s="587"/>
    </row>
    <row r="68" spans="1:22" s="40" customFormat="1" ht="21" customHeight="1">
      <c r="A68" s="141" t="s">
        <v>87</v>
      </c>
      <c r="B68" s="406" t="s">
        <v>296</v>
      </c>
      <c r="C68" s="407"/>
      <c r="D68" s="407"/>
      <c r="E68" s="407"/>
      <c r="F68" s="407"/>
      <c r="G68" s="408"/>
      <c r="H68" s="70">
        <v>900</v>
      </c>
      <c r="I68" s="555"/>
      <c r="J68" s="588"/>
      <c r="K68" s="588"/>
      <c r="L68" s="588"/>
      <c r="M68" s="588"/>
      <c r="N68" s="588"/>
      <c r="O68" s="588"/>
      <c r="P68" s="588"/>
      <c r="Q68" s="588"/>
      <c r="R68" s="588"/>
      <c r="S68" s="588"/>
      <c r="T68" s="588"/>
      <c r="U68" s="589"/>
      <c r="V68" s="59">
        <v>0</v>
      </c>
    </row>
    <row r="69" spans="1:22" s="386" customFormat="1" ht="12.75" customHeight="1">
      <c r="A69" s="657" t="s">
        <v>97</v>
      </c>
      <c r="B69" s="666" t="s">
        <v>344</v>
      </c>
      <c r="C69" s="730"/>
      <c r="D69" s="730"/>
      <c r="E69" s="730"/>
      <c r="F69" s="730"/>
      <c r="G69" s="731"/>
      <c r="H69" s="676">
        <v>500</v>
      </c>
      <c r="I69" s="712" t="s">
        <v>345</v>
      </c>
      <c r="J69" s="713"/>
      <c r="K69" s="713"/>
      <c r="L69" s="713"/>
      <c r="M69" s="713"/>
      <c r="N69" s="713"/>
      <c r="O69" s="713"/>
      <c r="P69" s="713"/>
      <c r="Q69" s="713"/>
      <c r="R69" s="713"/>
      <c r="S69" s="713"/>
      <c r="T69" s="713"/>
      <c r="U69" s="714"/>
      <c r="V69" s="676">
        <f>300+400</f>
        <v>700</v>
      </c>
    </row>
    <row r="70" spans="1:22" s="386" customFormat="1" ht="12.75" customHeight="1">
      <c r="A70" s="665"/>
      <c r="B70" s="732"/>
      <c r="C70" s="733"/>
      <c r="D70" s="733"/>
      <c r="E70" s="733"/>
      <c r="F70" s="733"/>
      <c r="G70" s="734"/>
      <c r="H70" s="677"/>
      <c r="I70" s="715"/>
      <c r="J70" s="716"/>
      <c r="K70" s="716"/>
      <c r="L70" s="716"/>
      <c r="M70" s="716"/>
      <c r="N70" s="716"/>
      <c r="O70" s="716"/>
      <c r="P70" s="716"/>
      <c r="Q70" s="716"/>
      <c r="R70" s="716"/>
      <c r="S70" s="716"/>
      <c r="T70" s="716"/>
      <c r="U70" s="717"/>
      <c r="V70" s="677"/>
    </row>
    <row r="71" spans="1:22" s="386" customFormat="1" ht="32.25" customHeight="1">
      <c r="A71" s="658"/>
      <c r="B71" s="735"/>
      <c r="C71" s="736"/>
      <c r="D71" s="736"/>
      <c r="E71" s="736"/>
      <c r="F71" s="736"/>
      <c r="G71" s="737"/>
      <c r="H71" s="678"/>
      <c r="I71" s="718"/>
      <c r="J71" s="719"/>
      <c r="K71" s="719"/>
      <c r="L71" s="719"/>
      <c r="M71" s="719"/>
      <c r="N71" s="719"/>
      <c r="O71" s="719"/>
      <c r="P71" s="719"/>
      <c r="Q71" s="719"/>
      <c r="R71" s="719"/>
      <c r="S71" s="719"/>
      <c r="T71" s="719"/>
      <c r="U71" s="720"/>
      <c r="V71" s="678"/>
    </row>
    <row r="72" spans="1:22" ht="24.75" customHeight="1">
      <c r="A72" s="372" t="s">
        <v>37</v>
      </c>
      <c r="B72" s="481"/>
      <c r="C72" s="410"/>
      <c r="D72" s="410"/>
      <c r="E72" s="410"/>
      <c r="F72" s="410"/>
      <c r="G72" s="411"/>
      <c r="H72" s="59">
        <v>0</v>
      </c>
      <c r="I72" s="648" t="s">
        <v>273</v>
      </c>
      <c r="J72" s="641"/>
      <c r="K72" s="641"/>
      <c r="L72" s="641"/>
      <c r="M72" s="641"/>
      <c r="N72" s="641"/>
      <c r="O72" s="641"/>
      <c r="P72" s="641"/>
      <c r="Q72" s="641"/>
      <c r="R72" s="641"/>
      <c r="S72" s="641"/>
      <c r="T72" s="641"/>
      <c r="U72" s="649"/>
      <c r="V72" s="72">
        <f>260+70</f>
        <v>330</v>
      </c>
    </row>
    <row r="73" spans="1:22" s="40" customFormat="1" ht="12.75" customHeight="1">
      <c r="A73" s="141" t="s">
        <v>91</v>
      </c>
      <c r="B73" s="578" t="s">
        <v>286</v>
      </c>
      <c r="C73" s="579"/>
      <c r="D73" s="579"/>
      <c r="E73" s="579"/>
      <c r="F73" s="579"/>
      <c r="G73" s="580"/>
      <c r="H73" s="70">
        <v>200</v>
      </c>
      <c r="I73" s="583"/>
      <c r="J73" s="584"/>
      <c r="K73" s="584"/>
      <c r="L73" s="584"/>
      <c r="M73" s="584"/>
      <c r="N73" s="584"/>
      <c r="O73" s="584"/>
      <c r="P73" s="584"/>
      <c r="Q73" s="584"/>
      <c r="R73" s="584"/>
      <c r="S73" s="584"/>
      <c r="T73" s="584"/>
      <c r="U73" s="585"/>
      <c r="V73" s="147">
        <v>0</v>
      </c>
    </row>
    <row r="74" spans="1:22" s="40" customFormat="1" ht="37.5" customHeight="1">
      <c r="A74" s="141" t="s">
        <v>343</v>
      </c>
      <c r="B74" s="406"/>
      <c r="C74" s="438"/>
      <c r="D74" s="438"/>
      <c r="E74" s="438"/>
      <c r="F74" s="438"/>
      <c r="G74" s="439"/>
      <c r="H74" s="38">
        <v>0</v>
      </c>
      <c r="I74" s="406" t="s">
        <v>323</v>
      </c>
      <c r="J74" s="438"/>
      <c r="K74" s="438"/>
      <c r="L74" s="438"/>
      <c r="M74" s="438"/>
      <c r="N74" s="438"/>
      <c r="O74" s="438"/>
      <c r="P74" s="438"/>
      <c r="Q74" s="438"/>
      <c r="R74" s="438"/>
      <c r="S74" s="438"/>
      <c r="T74" s="438"/>
      <c r="U74" s="439"/>
      <c r="V74" s="39">
        <f>420+100</f>
        <v>520</v>
      </c>
    </row>
    <row r="75" spans="1:22" s="92" customFormat="1" ht="44.25" customHeight="1">
      <c r="A75" s="89" t="s">
        <v>38</v>
      </c>
      <c r="B75" s="509" t="s">
        <v>324</v>
      </c>
      <c r="C75" s="581"/>
      <c r="D75" s="581"/>
      <c r="E75" s="581"/>
      <c r="F75" s="581"/>
      <c r="G75" s="582"/>
      <c r="H75" s="90">
        <f>160+100+120+1200</f>
        <v>1580</v>
      </c>
      <c r="I75" s="509" t="s">
        <v>325</v>
      </c>
      <c r="J75" s="510"/>
      <c r="K75" s="510"/>
      <c r="L75" s="510"/>
      <c r="M75" s="510"/>
      <c r="N75" s="510"/>
      <c r="O75" s="510"/>
      <c r="P75" s="510"/>
      <c r="Q75" s="510"/>
      <c r="R75" s="510"/>
      <c r="S75" s="510"/>
      <c r="T75" s="510"/>
      <c r="U75" s="511"/>
      <c r="V75" s="91">
        <f>100+2400+100</f>
        <v>2600</v>
      </c>
    </row>
    <row r="76" spans="1:22" s="40" customFormat="1" ht="15" customHeight="1">
      <c r="A76" s="31" t="s">
        <v>39</v>
      </c>
      <c r="B76" s="36" t="s">
        <v>274</v>
      </c>
      <c r="C76" s="37"/>
      <c r="D76" s="37"/>
      <c r="E76" s="37"/>
      <c r="F76" s="37"/>
      <c r="G76" s="37"/>
      <c r="H76" s="38">
        <v>630</v>
      </c>
      <c r="I76" s="406" t="s">
        <v>275</v>
      </c>
      <c r="J76" s="407"/>
      <c r="K76" s="407"/>
      <c r="L76" s="407"/>
      <c r="M76" s="407"/>
      <c r="N76" s="407"/>
      <c r="O76" s="407"/>
      <c r="P76" s="407"/>
      <c r="Q76" s="407"/>
      <c r="R76" s="407"/>
      <c r="S76" s="407"/>
      <c r="T76" s="407"/>
      <c r="U76" s="37"/>
      <c r="V76" s="39">
        <v>120</v>
      </c>
    </row>
    <row r="77" spans="1:22" s="92" customFormat="1" ht="69.75" customHeight="1">
      <c r="A77" s="220" t="s">
        <v>304</v>
      </c>
      <c r="B77" s="509" t="s">
        <v>339</v>
      </c>
      <c r="C77" s="581"/>
      <c r="D77" s="581"/>
      <c r="E77" s="581"/>
      <c r="F77" s="581"/>
      <c r="G77" s="582"/>
      <c r="H77" s="90">
        <f>1200+910+100</f>
        <v>2210</v>
      </c>
      <c r="I77" s="509" t="s">
        <v>338</v>
      </c>
      <c r="J77" s="650"/>
      <c r="K77" s="650"/>
      <c r="L77" s="650"/>
      <c r="M77" s="650"/>
      <c r="N77" s="650"/>
      <c r="O77" s="650"/>
      <c r="P77" s="650"/>
      <c r="Q77" s="650"/>
      <c r="R77" s="650"/>
      <c r="S77" s="650"/>
      <c r="T77" s="650"/>
      <c r="U77" s="651"/>
      <c r="V77" s="91">
        <f>300+230+400+2400</f>
        <v>3330</v>
      </c>
    </row>
    <row r="78" spans="1:22" s="40" customFormat="1" ht="34.5" customHeight="1">
      <c r="A78" s="31" t="s">
        <v>93</v>
      </c>
      <c r="B78" s="406" t="s">
        <v>326</v>
      </c>
      <c r="C78" s="407"/>
      <c r="D78" s="407"/>
      <c r="E78" s="407"/>
      <c r="F78" s="407"/>
      <c r="G78" s="408"/>
      <c r="H78" s="38">
        <v>300</v>
      </c>
      <c r="I78" s="555" t="s">
        <v>327</v>
      </c>
      <c r="J78" s="556"/>
      <c r="K78" s="556"/>
      <c r="L78" s="556"/>
      <c r="M78" s="556"/>
      <c r="N78" s="556"/>
      <c r="O78" s="556"/>
      <c r="P78" s="556"/>
      <c r="Q78" s="556"/>
      <c r="R78" s="556"/>
      <c r="S78" s="556"/>
      <c r="T78" s="556"/>
      <c r="U78" s="557"/>
      <c r="V78" s="39">
        <v>550</v>
      </c>
    </row>
    <row r="79" spans="1:22" s="40" customFormat="1" ht="19.5" customHeight="1">
      <c r="A79" s="130" t="s">
        <v>41</v>
      </c>
      <c r="B79" s="509"/>
      <c r="C79" s="510"/>
      <c r="D79" s="510"/>
      <c r="E79" s="510"/>
      <c r="F79" s="510"/>
      <c r="G79" s="511"/>
      <c r="H79" s="90">
        <v>0</v>
      </c>
      <c r="I79" s="36" t="s">
        <v>276</v>
      </c>
      <c r="J79" s="37"/>
      <c r="K79" s="37"/>
      <c r="L79" s="37"/>
      <c r="M79" s="37"/>
      <c r="N79" s="37"/>
      <c r="O79" s="37"/>
      <c r="P79" s="37"/>
      <c r="Q79" s="37"/>
      <c r="R79" s="37"/>
      <c r="S79" s="37"/>
      <c r="T79" s="37"/>
      <c r="U79" s="37"/>
      <c r="V79" s="39">
        <f>250+125+68</f>
        <v>443</v>
      </c>
    </row>
    <row r="80" spans="1:22" s="40" customFormat="1" ht="21" customHeight="1">
      <c r="A80" s="50" t="s">
        <v>73</v>
      </c>
      <c r="B80" s="68"/>
      <c r="C80" s="69"/>
      <c r="D80" s="69"/>
      <c r="E80" s="69"/>
      <c r="F80" s="69"/>
      <c r="G80" s="69"/>
      <c r="H80" s="70">
        <v>0</v>
      </c>
      <c r="I80" s="648" t="s">
        <v>328</v>
      </c>
      <c r="J80" s="723"/>
      <c r="K80" s="723"/>
      <c r="L80" s="723"/>
      <c r="M80" s="723"/>
      <c r="N80" s="723"/>
      <c r="O80" s="723"/>
      <c r="P80" s="723"/>
      <c r="Q80" s="723"/>
      <c r="R80" s="723"/>
      <c r="S80" s="723"/>
      <c r="T80" s="723"/>
      <c r="U80" s="724"/>
      <c r="V80" s="59">
        <f>365+96+1200</f>
        <v>1661</v>
      </c>
    </row>
    <row r="81" spans="1:22" s="40" customFormat="1" ht="38.25" customHeight="1">
      <c r="A81" s="55" t="s">
        <v>42</v>
      </c>
      <c r="B81" s="406" t="s">
        <v>277</v>
      </c>
      <c r="C81" s="407"/>
      <c r="D81" s="407"/>
      <c r="E81" s="407"/>
      <c r="F81" s="407"/>
      <c r="G81" s="408"/>
      <c r="H81" s="38">
        <f>50+100+50</f>
        <v>200</v>
      </c>
      <c r="I81" s="725" t="s">
        <v>329</v>
      </c>
      <c r="J81" s="726"/>
      <c r="K81" s="726"/>
      <c r="L81" s="726"/>
      <c r="M81" s="726"/>
      <c r="N81" s="726"/>
      <c r="O81" s="726"/>
      <c r="P81" s="726"/>
      <c r="Q81" s="726"/>
      <c r="R81" s="726"/>
      <c r="S81" s="726"/>
      <c r="T81" s="726"/>
      <c r="U81" s="727"/>
      <c r="V81" s="39">
        <f>380+80+80</f>
        <v>540</v>
      </c>
    </row>
    <row r="82" spans="1:22" s="40" customFormat="1" ht="12.75" customHeight="1">
      <c r="A82" s="412" t="s">
        <v>43</v>
      </c>
      <c r="B82" s="397" t="s">
        <v>330</v>
      </c>
      <c r="C82" s="459"/>
      <c r="D82" s="459"/>
      <c r="E82" s="459"/>
      <c r="F82" s="459"/>
      <c r="G82" s="460"/>
      <c r="H82" s="449">
        <f>150+300</f>
        <v>450</v>
      </c>
      <c r="I82" s="561" t="s">
        <v>278</v>
      </c>
      <c r="J82" s="562"/>
      <c r="K82" s="562"/>
      <c r="L82" s="562"/>
      <c r="M82" s="562"/>
      <c r="N82" s="562"/>
      <c r="O82" s="562"/>
      <c r="P82" s="562"/>
      <c r="Q82" s="562"/>
      <c r="R82" s="562"/>
      <c r="S82" s="562"/>
      <c r="T82" s="562"/>
      <c r="U82" s="563"/>
      <c r="V82" s="449">
        <v>120</v>
      </c>
    </row>
    <row r="83" spans="1:22" s="40" customFormat="1" ht="12.75" customHeight="1">
      <c r="A83" s="413"/>
      <c r="B83" s="481"/>
      <c r="C83" s="482"/>
      <c r="D83" s="482"/>
      <c r="E83" s="482"/>
      <c r="F83" s="482"/>
      <c r="G83" s="483"/>
      <c r="H83" s="450"/>
      <c r="I83" s="564"/>
      <c r="J83" s="565"/>
      <c r="K83" s="565"/>
      <c r="L83" s="565"/>
      <c r="M83" s="565"/>
      <c r="N83" s="565"/>
      <c r="O83" s="565"/>
      <c r="P83" s="565"/>
      <c r="Q83" s="565"/>
      <c r="R83" s="565"/>
      <c r="S83" s="565"/>
      <c r="T83" s="565"/>
      <c r="U83" s="566"/>
      <c r="V83" s="450"/>
    </row>
    <row r="84" spans="1:22" s="40" customFormat="1" ht="36.75" customHeight="1">
      <c r="A84" s="142" t="s">
        <v>95</v>
      </c>
      <c r="B84" s="406" t="s">
        <v>297</v>
      </c>
      <c r="C84" s="438"/>
      <c r="D84" s="438"/>
      <c r="E84" s="438"/>
      <c r="F84" s="438"/>
      <c r="G84" s="439"/>
      <c r="H84" s="38">
        <v>300</v>
      </c>
      <c r="I84" s="406" t="s">
        <v>331</v>
      </c>
      <c r="J84" s="438"/>
      <c r="K84" s="438"/>
      <c r="L84" s="438"/>
      <c r="M84" s="438"/>
      <c r="N84" s="438"/>
      <c r="O84" s="438"/>
      <c r="P84" s="438"/>
      <c r="Q84" s="438"/>
      <c r="R84" s="438"/>
      <c r="S84" s="438"/>
      <c r="T84" s="438"/>
      <c r="U84" s="439"/>
      <c r="V84" s="39">
        <f>135+90</f>
        <v>225</v>
      </c>
    </row>
    <row r="85" spans="1:22" s="40" customFormat="1" ht="22.5" customHeight="1" thickBot="1">
      <c r="A85" s="187" t="s">
        <v>96</v>
      </c>
      <c r="B85" s="567"/>
      <c r="C85" s="568"/>
      <c r="D85" s="568"/>
      <c r="E85" s="568"/>
      <c r="F85" s="568"/>
      <c r="G85" s="569"/>
      <c r="H85" s="38">
        <v>0</v>
      </c>
      <c r="I85" s="400" t="s">
        <v>332</v>
      </c>
      <c r="J85" s="570"/>
      <c r="K85" s="570"/>
      <c r="L85" s="570"/>
      <c r="M85" s="570"/>
      <c r="N85" s="570"/>
      <c r="O85" s="570"/>
      <c r="P85" s="570"/>
      <c r="Q85" s="570"/>
      <c r="R85" s="570"/>
      <c r="S85" s="570"/>
      <c r="T85" s="570"/>
      <c r="U85" s="571"/>
      <c r="V85" s="39">
        <f>100+60+140</f>
        <v>300</v>
      </c>
    </row>
    <row r="86" spans="1:22" s="40" customFormat="1" ht="16.5" customHeight="1" thickBot="1">
      <c r="A86" s="26" t="s">
        <v>44</v>
      </c>
      <c r="B86" s="93"/>
      <c r="C86" s="94"/>
      <c r="D86" s="94"/>
      <c r="E86" s="94"/>
      <c r="F86" s="94"/>
      <c r="G86" s="94"/>
      <c r="H86" s="29">
        <f>SUM(H87)</f>
        <v>0</v>
      </c>
      <c r="I86" s="93"/>
      <c r="J86" s="94"/>
      <c r="K86" s="94"/>
      <c r="L86" s="94"/>
      <c r="M86" s="94"/>
      <c r="N86" s="94"/>
      <c r="O86" s="94"/>
      <c r="P86" s="94"/>
      <c r="Q86" s="94"/>
      <c r="R86" s="94"/>
      <c r="S86" s="94"/>
      <c r="T86" s="94"/>
      <c r="U86" s="95"/>
      <c r="V86" s="29">
        <f>SUM(V87)</f>
        <v>500</v>
      </c>
    </row>
    <row r="87" spans="1:22" s="40" customFormat="1" ht="23.25" customHeight="1" thickBot="1">
      <c r="A87" s="96" t="s">
        <v>134</v>
      </c>
      <c r="B87" s="97"/>
      <c r="C87" s="98"/>
      <c r="D87" s="98"/>
      <c r="E87" s="98"/>
      <c r="F87" s="98"/>
      <c r="G87" s="98"/>
      <c r="H87" s="99">
        <v>0</v>
      </c>
      <c r="I87" s="721" t="s">
        <v>333</v>
      </c>
      <c r="J87" s="722"/>
      <c r="K87" s="722"/>
      <c r="L87" s="722"/>
      <c r="M87" s="722"/>
      <c r="N87" s="722"/>
      <c r="O87" s="722"/>
      <c r="P87" s="722"/>
      <c r="Q87" s="722"/>
      <c r="R87" s="722"/>
      <c r="S87" s="722"/>
      <c r="T87" s="722"/>
      <c r="U87" s="98"/>
      <c r="V87" s="99">
        <v>500</v>
      </c>
    </row>
    <row r="88" spans="1:22" ht="15.75" customHeight="1" thickBot="1">
      <c r="A88" s="101" t="s">
        <v>22</v>
      </c>
      <c r="B88" s="97"/>
      <c r="C88" s="98"/>
      <c r="D88" s="98"/>
      <c r="E88" s="98"/>
      <c r="F88" s="98"/>
      <c r="G88" s="98"/>
      <c r="H88" s="102">
        <f>SUM(H89+H91)</f>
        <v>2600</v>
      </c>
      <c r="I88" s="97"/>
      <c r="J88" s="98"/>
      <c r="K88" s="98"/>
      <c r="L88" s="98"/>
      <c r="M88" s="98"/>
      <c r="N88" s="98"/>
      <c r="O88" s="98"/>
      <c r="P88" s="98"/>
      <c r="Q88" s="98"/>
      <c r="R88" s="98"/>
      <c r="S88" s="98"/>
      <c r="T88" s="98"/>
      <c r="U88" s="98"/>
      <c r="V88" s="102">
        <f>SUM(V89)</f>
        <v>8400</v>
      </c>
    </row>
    <row r="89" spans="1:22" ht="3.75" customHeight="1">
      <c r="A89" s="516" t="s">
        <v>74</v>
      </c>
      <c r="B89" s="529" t="s">
        <v>334</v>
      </c>
      <c r="C89" s="530"/>
      <c r="D89" s="530"/>
      <c r="E89" s="530"/>
      <c r="F89" s="530"/>
      <c r="G89" s="531"/>
      <c r="H89" s="514">
        <f>200+180+50+90+280+800+550+450</f>
        <v>2600</v>
      </c>
      <c r="I89" s="519" t="s">
        <v>335</v>
      </c>
      <c r="J89" s="520"/>
      <c r="K89" s="520"/>
      <c r="L89" s="520"/>
      <c r="M89" s="520"/>
      <c r="N89" s="520"/>
      <c r="O89" s="520"/>
      <c r="P89" s="520"/>
      <c r="Q89" s="520"/>
      <c r="R89" s="520"/>
      <c r="S89" s="520"/>
      <c r="T89" s="520"/>
      <c r="U89" s="521"/>
      <c r="V89" s="514">
        <f>2500+3300+1200+1000+200+200</f>
        <v>8400</v>
      </c>
    </row>
    <row r="90" spans="1:22" ht="12.75" customHeight="1" hidden="1">
      <c r="A90" s="517"/>
      <c r="B90" s="532"/>
      <c r="C90" s="533"/>
      <c r="D90" s="533"/>
      <c r="E90" s="533"/>
      <c r="F90" s="533"/>
      <c r="G90" s="534"/>
      <c r="H90" s="528"/>
      <c r="I90" s="522"/>
      <c r="J90" s="523"/>
      <c r="K90" s="523"/>
      <c r="L90" s="523"/>
      <c r="M90" s="523"/>
      <c r="N90" s="523"/>
      <c r="O90" s="523"/>
      <c r="P90" s="523"/>
      <c r="Q90" s="523"/>
      <c r="R90" s="523"/>
      <c r="S90" s="523"/>
      <c r="T90" s="523"/>
      <c r="U90" s="524"/>
      <c r="V90" s="528"/>
    </row>
    <row r="91" spans="1:22" ht="57.75" customHeight="1" thickBot="1">
      <c r="A91" s="518"/>
      <c r="B91" s="535"/>
      <c r="C91" s="536"/>
      <c r="D91" s="536"/>
      <c r="E91" s="536"/>
      <c r="F91" s="536"/>
      <c r="G91" s="537"/>
      <c r="H91" s="515"/>
      <c r="I91" s="525"/>
      <c r="J91" s="526"/>
      <c r="K91" s="526"/>
      <c r="L91" s="526"/>
      <c r="M91" s="526"/>
      <c r="N91" s="526"/>
      <c r="O91" s="526"/>
      <c r="P91" s="526"/>
      <c r="Q91" s="526"/>
      <c r="R91" s="526"/>
      <c r="S91" s="526"/>
      <c r="T91" s="526"/>
      <c r="U91" s="527"/>
      <c r="V91" s="450"/>
    </row>
    <row r="92" spans="1:22" ht="12.75" customHeight="1" thickBot="1">
      <c r="A92" s="26" t="s">
        <v>23</v>
      </c>
      <c r="B92" s="27"/>
      <c r="C92" s="28"/>
      <c r="D92" s="28"/>
      <c r="E92" s="28"/>
      <c r="F92" s="28"/>
      <c r="G92" s="28"/>
      <c r="H92" s="29">
        <f>SUM(H93+H94+H95+H96+H97)</f>
        <v>0</v>
      </c>
      <c r="I92" s="28"/>
      <c r="J92" s="28"/>
      <c r="K92" s="28"/>
      <c r="L92" s="28"/>
      <c r="M92" s="28"/>
      <c r="N92" s="28"/>
      <c r="O92" s="28"/>
      <c r="P92" s="28"/>
      <c r="Q92" s="28"/>
      <c r="R92" s="28"/>
      <c r="S92" s="28"/>
      <c r="T92" s="28"/>
      <c r="U92" s="28"/>
      <c r="V92" s="29">
        <f>SUM(V93+V94+V95+V96+V97)</f>
        <v>70</v>
      </c>
    </row>
    <row r="93" spans="1:22" ht="15" customHeight="1">
      <c r="A93" s="105" t="s">
        <v>136</v>
      </c>
      <c r="B93" s="106"/>
      <c r="C93" s="106"/>
      <c r="D93" s="106"/>
      <c r="E93" s="106"/>
      <c r="F93" s="106"/>
      <c r="G93" s="106"/>
      <c r="H93" s="107">
        <v>0</v>
      </c>
      <c r="I93" s="106"/>
      <c r="J93" s="106"/>
      <c r="K93" s="106"/>
      <c r="L93" s="106"/>
      <c r="M93" s="106"/>
      <c r="N93" s="106"/>
      <c r="O93" s="106"/>
      <c r="P93" s="106"/>
      <c r="Q93" s="106"/>
      <c r="R93" s="106"/>
      <c r="S93" s="106"/>
      <c r="T93" s="106"/>
      <c r="U93" s="106"/>
      <c r="V93" s="88">
        <v>0</v>
      </c>
    </row>
    <row r="94" spans="1:22" ht="15" customHeight="1">
      <c r="A94" s="108" t="s">
        <v>24</v>
      </c>
      <c r="B94" s="109"/>
      <c r="C94" s="110"/>
      <c r="D94" s="110"/>
      <c r="E94" s="110"/>
      <c r="F94" s="110"/>
      <c r="G94" s="110"/>
      <c r="H94" s="35">
        <v>0</v>
      </c>
      <c r="I94" s="111"/>
      <c r="J94" s="112"/>
      <c r="K94" s="112"/>
      <c r="L94" s="112"/>
      <c r="M94" s="112"/>
      <c r="N94" s="112"/>
      <c r="O94" s="112"/>
      <c r="P94" s="112"/>
      <c r="Q94" s="112"/>
      <c r="R94" s="112"/>
      <c r="S94" s="112"/>
      <c r="T94" s="112"/>
      <c r="U94" s="112"/>
      <c r="V94" s="113">
        <v>0</v>
      </c>
    </row>
    <row r="95" spans="1:22" s="86" customFormat="1" ht="15" customHeight="1">
      <c r="A95" s="114" t="s">
        <v>25</v>
      </c>
      <c r="B95" s="115"/>
      <c r="C95" s="116"/>
      <c r="D95" s="116"/>
      <c r="E95" s="116"/>
      <c r="F95" s="116"/>
      <c r="G95" s="116"/>
      <c r="H95" s="70">
        <v>0</v>
      </c>
      <c r="I95" s="117"/>
      <c r="J95" s="118"/>
      <c r="K95" s="118"/>
      <c r="L95" s="118"/>
      <c r="M95" s="118"/>
      <c r="N95" s="118"/>
      <c r="O95" s="118"/>
      <c r="P95" s="118"/>
      <c r="Q95" s="118"/>
      <c r="R95" s="118"/>
      <c r="S95" s="118"/>
      <c r="T95" s="118"/>
      <c r="U95" s="118"/>
      <c r="V95" s="59">
        <v>0</v>
      </c>
    </row>
    <row r="96" spans="1:22" ht="15" customHeight="1">
      <c r="A96" s="119" t="s">
        <v>26</v>
      </c>
      <c r="B96" s="120"/>
      <c r="C96" s="77"/>
      <c r="D96" s="77"/>
      <c r="E96" s="77"/>
      <c r="F96" s="77"/>
      <c r="G96" s="77"/>
      <c r="H96" s="78">
        <v>0</v>
      </c>
      <c r="I96" s="406" t="s">
        <v>291</v>
      </c>
      <c r="J96" s="407"/>
      <c r="K96" s="407"/>
      <c r="L96" s="407"/>
      <c r="M96" s="407"/>
      <c r="N96" s="407"/>
      <c r="O96" s="407"/>
      <c r="P96" s="407"/>
      <c r="Q96" s="407"/>
      <c r="R96" s="407"/>
      <c r="S96" s="407"/>
      <c r="T96" s="407"/>
      <c r="U96" s="77"/>
      <c r="V96" s="72">
        <v>70</v>
      </c>
    </row>
    <row r="97" spans="1:22" ht="15" customHeight="1" thickBot="1">
      <c r="A97" s="121" t="s">
        <v>36</v>
      </c>
      <c r="B97" s="103"/>
      <c r="C97" s="104"/>
      <c r="D97" s="104"/>
      <c r="E97" s="104"/>
      <c r="F97" s="104"/>
      <c r="G97" s="104"/>
      <c r="H97" s="122">
        <v>0</v>
      </c>
      <c r="I97" s="123"/>
      <c r="J97" s="104"/>
      <c r="K97" s="104"/>
      <c r="L97" s="104"/>
      <c r="M97" s="104"/>
      <c r="N97" s="104"/>
      <c r="O97" s="104"/>
      <c r="P97" s="104"/>
      <c r="Q97" s="104"/>
      <c r="R97" s="104"/>
      <c r="S97" s="104"/>
      <c r="T97" s="104"/>
      <c r="U97" s="104"/>
      <c r="V97" s="80">
        <v>0</v>
      </c>
    </row>
    <row r="98" spans="1:22" ht="13.5" thickBot="1">
      <c r="A98" s="26" t="s">
        <v>27</v>
      </c>
      <c r="B98" s="27"/>
      <c r="C98" s="28"/>
      <c r="D98" s="28"/>
      <c r="E98" s="28"/>
      <c r="F98" s="28"/>
      <c r="G98" s="28"/>
      <c r="H98" s="29">
        <f>SUM(H99:H99)</f>
        <v>260</v>
      </c>
      <c r="I98" s="27"/>
      <c r="J98" s="28"/>
      <c r="K98" s="28"/>
      <c r="L98" s="28"/>
      <c r="M98" s="28"/>
      <c r="N98" s="28"/>
      <c r="O98" s="28"/>
      <c r="P98" s="28"/>
      <c r="Q98" s="28"/>
      <c r="R98" s="28"/>
      <c r="S98" s="28"/>
      <c r="T98" s="28"/>
      <c r="U98" s="28"/>
      <c r="V98" s="29">
        <f>SUM(V99:V99)</f>
        <v>85</v>
      </c>
    </row>
    <row r="99" spans="1:22" ht="35.25" customHeight="1" thickBot="1">
      <c r="A99" s="395" t="s">
        <v>132</v>
      </c>
      <c r="B99" s="529" t="s">
        <v>317</v>
      </c>
      <c r="C99" s="530"/>
      <c r="D99" s="530"/>
      <c r="E99" s="530"/>
      <c r="F99" s="530"/>
      <c r="G99" s="531"/>
      <c r="H99" s="394">
        <v>260</v>
      </c>
      <c r="I99" s="541" t="s">
        <v>295</v>
      </c>
      <c r="J99" s="442"/>
      <c r="K99" s="442"/>
      <c r="L99" s="442"/>
      <c r="M99" s="442"/>
      <c r="N99" s="442"/>
      <c r="O99" s="442"/>
      <c r="P99" s="442"/>
      <c r="Q99" s="442"/>
      <c r="R99" s="442"/>
      <c r="S99" s="442"/>
      <c r="T99" s="442"/>
      <c r="U99" s="443"/>
      <c r="V99" s="396">
        <v>85</v>
      </c>
    </row>
    <row r="100" spans="1:22" s="40" customFormat="1" ht="13.5" thickBot="1">
      <c r="A100" s="132" t="s">
        <v>55</v>
      </c>
      <c r="B100" s="133"/>
      <c r="C100" s="134"/>
      <c r="D100" s="134"/>
      <c r="E100" s="134"/>
      <c r="F100" s="134"/>
      <c r="G100" s="134"/>
      <c r="H100" s="102">
        <f>SUM(H101)</f>
        <v>0</v>
      </c>
      <c r="I100" s="133"/>
      <c r="J100" s="134"/>
      <c r="K100" s="134"/>
      <c r="L100" s="134"/>
      <c r="M100" s="134"/>
      <c r="N100" s="134"/>
      <c r="O100" s="134"/>
      <c r="P100" s="134"/>
      <c r="Q100" s="134"/>
      <c r="R100" s="134"/>
      <c r="S100" s="134"/>
      <c r="T100" s="134"/>
      <c r="U100" s="134"/>
      <c r="V100" s="102">
        <f>SUM(V101)</f>
        <v>0</v>
      </c>
    </row>
    <row r="101" spans="1:22" s="40" customFormat="1" ht="33.75" customHeight="1" thickBot="1">
      <c r="A101" s="121" t="s">
        <v>350</v>
      </c>
      <c r="B101" s="75"/>
      <c r="C101" s="76"/>
      <c r="D101" s="76"/>
      <c r="E101" s="76"/>
      <c r="F101" s="76"/>
      <c r="G101" s="76"/>
      <c r="H101" s="124">
        <v>0</v>
      </c>
      <c r="I101" s="75"/>
      <c r="J101" s="76"/>
      <c r="K101" s="76"/>
      <c r="L101" s="76"/>
      <c r="M101" s="76"/>
      <c r="N101" s="76"/>
      <c r="O101" s="76"/>
      <c r="P101" s="76"/>
      <c r="Q101" s="76"/>
      <c r="R101" s="76"/>
      <c r="S101" s="76"/>
      <c r="T101" s="76"/>
      <c r="U101" s="76"/>
      <c r="V101" s="125">
        <v>0</v>
      </c>
    </row>
    <row r="102" spans="1:22" ht="13.5" thickBot="1">
      <c r="A102" s="132" t="s">
        <v>31</v>
      </c>
      <c r="B102" s="27"/>
      <c r="C102" s="28"/>
      <c r="D102" s="28"/>
      <c r="E102" s="28"/>
      <c r="F102" s="28"/>
      <c r="G102" s="28"/>
      <c r="H102" s="29">
        <f>SUM(H103:H111)</f>
        <v>390</v>
      </c>
      <c r="I102" s="136"/>
      <c r="J102" s="28"/>
      <c r="K102" s="28"/>
      <c r="L102" s="28"/>
      <c r="M102" s="28"/>
      <c r="N102" s="28"/>
      <c r="O102" s="28"/>
      <c r="P102" s="28"/>
      <c r="Q102" s="28"/>
      <c r="R102" s="28"/>
      <c r="S102" s="28"/>
      <c r="T102" s="28"/>
      <c r="U102" s="28"/>
      <c r="V102" s="29">
        <f>SUM(V103:V111)</f>
        <v>1080</v>
      </c>
    </row>
    <row r="103" spans="1:22" s="40" customFormat="1" ht="15" customHeight="1">
      <c r="A103" s="129" t="s">
        <v>137</v>
      </c>
      <c r="B103" s="403"/>
      <c r="C103" s="404"/>
      <c r="D103" s="404"/>
      <c r="E103" s="404"/>
      <c r="F103" s="404"/>
      <c r="G103" s="405"/>
      <c r="H103" s="70">
        <v>0</v>
      </c>
      <c r="I103" s="68"/>
      <c r="J103" s="69"/>
      <c r="K103" s="69"/>
      <c r="L103" s="69"/>
      <c r="M103" s="69"/>
      <c r="N103" s="69"/>
      <c r="O103" s="69"/>
      <c r="P103" s="69"/>
      <c r="Q103" s="69"/>
      <c r="R103" s="69"/>
      <c r="S103" s="69"/>
      <c r="T103" s="69"/>
      <c r="U103" s="69"/>
      <c r="V103" s="59">
        <v>0</v>
      </c>
    </row>
    <row r="104" spans="1:22" s="40" customFormat="1" ht="15" customHeight="1">
      <c r="A104" s="130" t="s">
        <v>138</v>
      </c>
      <c r="B104" s="36"/>
      <c r="C104" s="37"/>
      <c r="D104" s="37"/>
      <c r="E104" s="37"/>
      <c r="F104" s="37"/>
      <c r="G104" s="37"/>
      <c r="H104" s="38">
        <v>0</v>
      </c>
      <c r="I104" s="36"/>
      <c r="J104" s="37"/>
      <c r="K104" s="37"/>
      <c r="L104" s="37"/>
      <c r="M104" s="37"/>
      <c r="N104" s="37"/>
      <c r="O104" s="37"/>
      <c r="P104" s="37"/>
      <c r="Q104" s="37"/>
      <c r="R104" s="37"/>
      <c r="S104" s="37"/>
      <c r="T104" s="37"/>
      <c r="U104" s="37"/>
      <c r="V104" s="39">
        <v>0</v>
      </c>
    </row>
    <row r="105" spans="1:22" s="40" customFormat="1" ht="15" customHeight="1">
      <c r="A105" s="31" t="s">
        <v>139</v>
      </c>
      <c r="B105" s="68" t="s">
        <v>293</v>
      </c>
      <c r="C105" s="69"/>
      <c r="D105" s="69"/>
      <c r="E105" s="69"/>
      <c r="F105" s="69"/>
      <c r="G105" s="69"/>
      <c r="H105" s="70">
        <v>120</v>
      </c>
      <c r="I105" s="406" t="s">
        <v>292</v>
      </c>
      <c r="J105" s="407"/>
      <c r="K105" s="407"/>
      <c r="L105" s="407"/>
      <c r="M105" s="407"/>
      <c r="N105" s="407"/>
      <c r="O105" s="407"/>
      <c r="P105" s="407"/>
      <c r="Q105" s="407"/>
      <c r="R105" s="407"/>
      <c r="S105" s="407"/>
      <c r="T105" s="407"/>
      <c r="U105" s="69"/>
      <c r="V105" s="59">
        <v>100</v>
      </c>
    </row>
    <row r="106" spans="1:22" s="40" customFormat="1" ht="15" customHeight="1">
      <c r="A106" s="129" t="s">
        <v>140</v>
      </c>
      <c r="B106" s="36"/>
      <c r="C106" s="37"/>
      <c r="D106" s="37"/>
      <c r="E106" s="37"/>
      <c r="F106" s="37"/>
      <c r="G106" s="37"/>
      <c r="H106" s="38">
        <v>0</v>
      </c>
      <c r="I106" s="738" t="s">
        <v>347</v>
      </c>
      <c r="J106" s="407"/>
      <c r="K106" s="407"/>
      <c r="L106" s="407"/>
      <c r="M106" s="407"/>
      <c r="N106" s="407"/>
      <c r="O106" s="407"/>
      <c r="P106" s="407"/>
      <c r="Q106" s="407"/>
      <c r="R106" s="407"/>
      <c r="S106" s="407"/>
      <c r="T106" s="407"/>
      <c r="U106" s="37"/>
      <c r="V106" s="39">
        <v>380</v>
      </c>
    </row>
    <row r="107" spans="1:22" s="40" customFormat="1" ht="15" customHeight="1">
      <c r="A107" s="55" t="s">
        <v>141</v>
      </c>
      <c r="B107" s="509" t="s">
        <v>318</v>
      </c>
      <c r="C107" s="510"/>
      <c r="D107" s="510"/>
      <c r="E107" s="510"/>
      <c r="F107" s="510"/>
      <c r="G107" s="511"/>
      <c r="H107" s="71">
        <v>270</v>
      </c>
      <c r="I107" s="48"/>
      <c r="J107" s="131"/>
      <c r="K107" s="131"/>
      <c r="L107" s="131"/>
      <c r="M107" s="131"/>
      <c r="N107" s="131"/>
      <c r="O107" s="131"/>
      <c r="P107" s="131"/>
      <c r="Q107" s="131"/>
      <c r="R107" s="131"/>
      <c r="S107" s="131"/>
      <c r="T107" s="131"/>
      <c r="U107" s="131"/>
      <c r="V107" s="58">
        <v>0</v>
      </c>
    </row>
    <row r="108" spans="1:22" ht="15" customHeight="1">
      <c r="A108" s="130" t="s">
        <v>142</v>
      </c>
      <c r="B108" s="406"/>
      <c r="C108" s="438"/>
      <c r="D108" s="438"/>
      <c r="E108" s="438"/>
      <c r="F108" s="438"/>
      <c r="G108" s="439"/>
      <c r="H108" s="34">
        <v>0</v>
      </c>
      <c r="I108" s="51"/>
      <c r="J108" s="33"/>
      <c r="K108" s="33"/>
      <c r="L108" s="33"/>
      <c r="M108" s="33"/>
      <c r="N108" s="33"/>
      <c r="O108" s="33"/>
      <c r="P108" s="33"/>
      <c r="Q108" s="33"/>
      <c r="R108" s="33"/>
      <c r="S108" s="33"/>
      <c r="T108" s="33"/>
      <c r="U108" s="33"/>
      <c r="V108" s="35">
        <v>0</v>
      </c>
    </row>
    <row r="109" spans="1:22" s="40" customFormat="1" ht="15" customHeight="1">
      <c r="A109" s="143" t="s">
        <v>143</v>
      </c>
      <c r="B109" s="406"/>
      <c r="C109" s="438"/>
      <c r="D109" s="438"/>
      <c r="E109" s="438"/>
      <c r="F109" s="438"/>
      <c r="G109" s="439"/>
      <c r="H109" s="38">
        <v>0</v>
      </c>
      <c r="I109" s="36"/>
      <c r="J109" s="37"/>
      <c r="K109" s="37"/>
      <c r="L109" s="37"/>
      <c r="M109" s="37"/>
      <c r="N109" s="37"/>
      <c r="O109" s="37"/>
      <c r="P109" s="37"/>
      <c r="Q109" s="37"/>
      <c r="R109" s="37"/>
      <c r="S109" s="37"/>
      <c r="T109" s="37"/>
      <c r="U109" s="37"/>
      <c r="V109" s="39">
        <v>0</v>
      </c>
    </row>
    <row r="110" spans="1:22" ht="15" customHeight="1">
      <c r="A110" s="144" t="s">
        <v>144</v>
      </c>
      <c r="B110" s="131"/>
      <c r="C110" s="46"/>
      <c r="D110" s="46"/>
      <c r="E110" s="46"/>
      <c r="F110" s="46"/>
      <c r="G110" s="46"/>
      <c r="H110" s="47">
        <v>0</v>
      </c>
      <c r="I110" s="406" t="s">
        <v>294</v>
      </c>
      <c r="J110" s="407"/>
      <c r="K110" s="407"/>
      <c r="L110" s="407"/>
      <c r="M110" s="407"/>
      <c r="N110" s="407"/>
      <c r="O110" s="407"/>
      <c r="P110" s="407"/>
      <c r="Q110" s="407"/>
      <c r="R110" s="407"/>
      <c r="S110" s="407"/>
      <c r="T110" s="407"/>
      <c r="U110" s="46"/>
      <c r="V110" s="49">
        <v>600</v>
      </c>
    </row>
    <row r="111" spans="1:22" s="40" customFormat="1" ht="15" customHeight="1" thickBot="1">
      <c r="A111" s="137" t="s">
        <v>145</v>
      </c>
      <c r="B111" s="61"/>
      <c r="C111" s="62"/>
      <c r="D111" s="62"/>
      <c r="E111" s="62"/>
      <c r="F111" s="62"/>
      <c r="G111" s="62"/>
      <c r="H111" s="63">
        <v>0</v>
      </c>
      <c r="I111" s="62"/>
      <c r="J111" s="62"/>
      <c r="K111" s="62"/>
      <c r="L111" s="62"/>
      <c r="M111" s="62"/>
      <c r="N111" s="62"/>
      <c r="O111" s="62"/>
      <c r="P111" s="62"/>
      <c r="Q111" s="62"/>
      <c r="R111" s="62"/>
      <c r="S111" s="62"/>
      <c r="T111" s="62"/>
      <c r="U111" s="62"/>
      <c r="V111" s="64">
        <v>0</v>
      </c>
    </row>
    <row r="112" spans="1:22" ht="12" customHeight="1">
      <c r="A112" s="138"/>
      <c r="B112" s="104"/>
      <c r="C112" s="104"/>
      <c r="E112" s="104"/>
      <c r="F112" s="104"/>
      <c r="G112" s="85"/>
      <c r="H112" s="128"/>
      <c r="I112" s="104"/>
      <c r="J112" s="104"/>
      <c r="K112" s="104"/>
      <c r="L112" s="104"/>
      <c r="M112" s="104"/>
      <c r="N112" s="104"/>
      <c r="O112" s="104"/>
      <c r="P112" s="104"/>
      <c r="Q112" s="104"/>
      <c r="R112" s="104"/>
      <c r="S112" s="104"/>
      <c r="T112" s="104"/>
      <c r="U112" s="104"/>
      <c r="V112" s="128"/>
    </row>
  </sheetData>
  <sheetProtection/>
  <mergeCells count="134">
    <mergeCell ref="A4:A5"/>
    <mergeCell ref="I78:U78"/>
    <mergeCell ref="B109:G109"/>
    <mergeCell ref="B69:G71"/>
    <mergeCell ref="I61:U61"/>
    <mergeCell ref="V82:V83"/>
    <mergeCell ref="I99:U99"/>
    <mergeCell ref="B107:G107"/>
    <mergeCell ref="I106:T106"/>
    <mergeCell ref="B77:G77"/>
    <mergeCell ref="I110:T110"/>
    <mergeCell ref="I96:T96"/>
    <mergeCell ref="I87:T87"/>
    <mergeCell ref="B108:G108"/>
    <mergeCell ref="B103:G103"/>
    <mergeCell ref="I80:U80"/>
    <mergeCell ref="H89:H91"/>
    <mergeCell ref="I81:U81"/>
    <mergeCell ref="B89:G91"/>
    <mergeCell ref="I89:U91"/>
    <mergeCell ref="A40:A41"/>
    <mergeCell ref="I62:U63"/>
    <mergeCell ref="V62:V63"/>
    <mergeCell ref="I51:U52"/>
    <mergeCell ref="I73:U73"/>
    <mergeCell ref="V58:V59"/>
    <mergeCell ref="I69:U71"/>
    <mergeCell ref="I58:U59"/>
    <mergeCell ref="V66:V67"/>
    <mergeCell ref="H66:H67"/>
    <mergeCell ref="I29:U29"/>
    <mergeCell ref="B66:G67"/>
    <mergeCell ref="A3:V3"/>
    <mergeCell ref="I55:U55"/>
    <mergeCell ref="I56:U57"/>
    <mergeCell ref="B61:G61"/>
    <mergeCell ref="B56:G57"/>
    <mergeCell ref="H62:H63"/>
    <mergeCell ref="I38:U38"/>
    <mergeCell ref="V45:V46"/>
    <mergeCell ref="A89:A91"/>
    <mergeCell ref="B99:G99"/>
    <mergeCell ref="B72:G72"/>
    <mergeCell ref="B29:G29"/>
    <mergeCell ref="I30:U30"/>
    <mergeCell ref="I4:U5"/>
    <mergeCell ref="B68:G68"/>
    <mergeCell ref="H51:H52"/>
    <mergeCell ref="H35:H36"/>
    <mergeCell ref="I35:U36"/>
    <mergeCell ref="I66:U67"/>
    <mergeCell ref="I82:U83"/>
    <mergeCell ref="B85:G85"/>
    <mergeCell ref="I85:U85"/>
    <mergeCell ref="A82:A83"/>
    <mergeCell ref="I76:T76"/>
    <mergeCell ref="B81:G81"/>
    <mergeCell ref="B84:G84"/>
    <mergeCell ref="B82:G83"/>
    <mergeCell ref="H82:H83"/>
    <mergeCell ref="I84:U84"/>
    <mergeCell ref="I105:T105"/>
    <mergeCell ref="V89:V91"/>
    <mergeCell ref="V47:V48"/>
    <mergeCell ref="I53:U54"/>
    <mergeCell ref="H69:H71"/>
    <mergeCell ref="H58:H59"/>
    <mergeCell ref="V56:V57"/>
    <mergeCell ref="H53:H54"/>
    <mergeCell ref="H47:H48"/>
    <mergeCell ref="I47:U48"/>
    <mergeCell ref="I40:U41"/>
    <mergeCell ref="H40:H41"/>
    <mergeCell ref="B40:G41"/>
    <mergeCell ref="V40:V41"/>
    <mergeCell ref="H45:H46"/>
    <mergeCell ref="V35:V36"/>
    <mergeCell ref="I45:U46"/>
    <mergeCell ref="B31:G32"/>
    <mergeCell ref="H31:H32"/>
    <mergeCell ref="B33:G33"/>
    <mergeCell ref="I31:U32"/>
    <mergeCell ref="V31:V32"/>
    <mergeCell ref="I34:U34"/>
    <mergeCell ref="B28:G28"/>
    <mergeCell ref="I28:U28"/>
    <mergeCell ref="A62:A63"/>
    <mergeCell ref="B60:G60"/>
    <mergeCell ref="B34:G34"/>
    <mergeCell ref="A31:A32"/>
    <mergeCell ref="B35:G36"/>
    <mergeCell ref="B45:G46"/>
    <mergeCell ref="B62:G63"/>
    <mergeCell ref="A35:A36"/>
    <mergeCell ref="A69:A71"/>
    <mergeCell ref="V51:V52"/>
    <mergeCell ref="A56:A57"/>
    <mergeCell ref="B58:G59"/>
    <mergeCell ref="B53:G54"/>
    <mergeCell ref="H56:H57"/>
    <mergeCell ref="B55:G55"/>
    <mergeCell ref="V53:V54"/>
    <mergeCell ref="A58:A59"/>
    <mergeCell ref="V69:V71"/>
    <mergeCell ref="B24:G24"/>
    <mergeCell ref="B37:G37"/>
    <mergeCell ref="A47:A48"/>
    <mergeCell ref="A45:A46"/>
    <mergeCell ref="B50:G50"/>
    <mergeCell ref="A66:A67"/>
    <mergeCell ref="A53:A54"/>
    <mergeCell ref="B51:G52"/>
    <mergeCell ref="B47:G48"/>
    <mergeCell ref="A51:A52"/>
    <mergeCell ref="I74:U74"/>
    <mergeCell ref="I23:U23"/>
    <mergeCell ref="B26:G26"/>
    <mergeCell ref="I27:U27"/>
    <mergeCell ref="I26:U26"/>
    <mergeCell ref="I25:U25"/>
    <mergeCell ref="B23:G23"/>
    <mergeCell ref="I24:U24"/>
    <mergeCell ref="B25:G25"/>
    <mergeCell ref="B27:G27"/>
    <mergeCell ref="S2:V2"/>
    <mergeCell ref="B79:G79"/>
    <mergeCell ref="B78:G78"/>
    <mergeCell ref="I68:U68"/>
    <mergeCell ref="I72:U72"/>
    <mergeCell ref="I77:U77"/>
    <mergeCell ref="B73:G73"/>
    <mergeCell ref="B74:G74"/>
    <mergeCell ref="B75:G75"/>
    <mergeCell ref="I75:U75"/>
  </mergeCells>
  <printOptions horizontalCentered="1"/>
  <pageMargins left="0.2755905511811024" right="0.2755905511811024" top="0.3937007874015748" bottom="0.35433070866141736" header="0.11811023622047245" footer="0.11811023622047245"/>
  <pageSetup firstPageNumber="1" useFirstPageNumber="1" fitToHeight="4" horizontalDpi="600" verticalDpi="600" orientation="landscape" paperSize="9" scale="70" r:id="rId1"/>
  <headerFooter alignWithMargins="0">
    <oddFooter>&amp;C&amp;P</oddFooter>
  </headerFooter>
  <rowBreaks count="1" manualBreakCount="1">
    <brk id="68"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Palan</dc:creator>
  <cp:keywords/>
  <dc:description/>
  <cp:lastModifiedBy>Pospíchalová Petra</cp:lastModifiedBy>
  <cp:lastPrinted>2012-03-13T13:37:41Z</cp:lastPrinted>
  <dcterms:created xsi:type="dcterms:W3CDTF">2002-01-30T15:48:46Z</dcterms:created>
  <dcterms:modified xsi:type="dcterms:W3CDTF">2012-03-16T08:27:37Z</dcterms:modified>
  <cp:category/>
  <cp:version/>
  <cp:contentType/>
  <cp:contentStatus/>
</cp:coreProperties>
</file>