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1850" windowHeight="7530" activeTab="0"/>
  </bookViews>
  <sheets>
    <sheet name="sumar" sheetId="1" r:id="rId1"/>
    <sheet name="HB" sheetId="2" r:id="rId2"/>
    <sheet name="JI" sheetId="3" r:id="rId3"/>
  </sheets>
  <definedNames>
    <definedName name="_xlnm.Print_Area" localSheetId="1">'HB'!$A$1:$J$315</definedName>
    <definedName name="_xlnm.Print_Area" localSheetId="2">'JI'!$A$1:$J$287</definedName>
  </definedNames>
  <calcPr fullCalcOnLoad="1"/>
</workbook>
</file>

<file path=xl/sharedStrings.xml><?xml version="1.0" encoding="utf-8"?>
<sst xmlns="http://schemas.openxmlformats.org/spreadsheetml/2006/main" count="979" uniqueCount="474">
  <si>
    <t>Skutečnost r. 2010</t>
  </si>
  <si>
    <t>Návrh r. 2011</t>
  </si>
  <si>
    <r>
      <t>jiné transfery -</t>
    </r>
    <r>
      <rPr>
        <sz val="8"/>
        <rFont val="Arial CE"/>
        <family val="0"/>
      </rPr>
      <t xml:space="preserve"> licenční dovybavení</t>
    </r>
  </si>
  <si>
    <t>jiné tr.-bezdrát.</t>
  </si>
  <si>
    <t>jiné tr.-dar KV</t>
  </si>
  <si>
    <t>dary+tr.jiný ÚSC</t>
  </si>
  <si>
    <r>
      <t xml:space="preserve">investiční transfery od zřizovatele s </t>
    </r>
    <r>
      <rPr>
        <sz val="8"/>
        <color indexed="10"/>
        <rFont val="Arial"/>
        <family val="2"/>
      </rPr>
      <t>ÚZ 00051</t>
    </r>
  </si>
  <si>
    <r>
      <t xml:space="preserve">investiční transfery od zřizovatele s </t>
    </r>
    <r>
      <rPr>
        <sz val="8"/>
        <color indexed="10"/>
        <rFont val="Arial"/>
        <family val="2"/>
      </rPr>
      <t>ÚZ 00052</t>
    </r>
  </si>
  <si>
    <r>
      <t xml:space="preserve">investiční transfery od zřizovatele s </t>
    </r>
    <r>
      <rPr>
        <sz val="8"/>
        <color indexed="10"/>
        <rFont val="Arial"/>
        <family val="2"/>
      </rPr>
      <t>ÚZ 00054</t>
    </r>
  </si>
  <si>
    <r>
      <t xml:space="preserve">investiční transfery od zřizovatele s </t>
    </r>
    <r>
      <rPr>
        <sz val="8"/>
        <color indexed="10"/>
        <rFont val="Arial"/>
        <family val="2"/>
      </rPr>
      <t>ÚZ 00055</t>
    </r>
  </si>
  <si>
    <r>
      <t xml:space="preserve">investiční transfery od zřizovatele s </t>
    </r>
    <r>
      <rPr>
        <sz val="8"/>
        <color indexed="10"/>
        <rFont val="Arial"/>
        <family val="2"/>
      </rPr>
      <t>ÚZ 00166</t>
    </r>
  </si>
  <si>
    <r>
      <t xml:space="preserve">investiční transfery od zřizovatele s </t>
    </r>
    <r>
      <rPr>
        <sz val="8"/>
        <color indexed="10"/>
        <rFont val="Arial"/>
        <family val="2"/>
      </rPr>
      <t>ÚZ 00000</t>
    </r>
  </si>
  <si>
    <t>Plán - rok 2011</t>
  </si>
  <si>
    <t>Závazné ukazatele pro rok 2011</t>
  </si>
  <si>
    <t>Investiční transfery</t>
  </si>
  <si>
    <r>
      <t>jiné transfery -</t>
    </r>
    <r>
      <rPr>
        <sz val="8"/>
        <rFont val="Arial CE"/>
        <family val="0"/>
      </rPr>
      <t xml:space="preserve"> na úhradu závazků</t>
    </r>
  </si>
  <si>
    <t>vybavení KC</t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</si>
  <si>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00054</t>
    </r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</si>
  <si>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00055</t>
    </r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</si>
  <si>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00000</t>
    </r>
  </si>
  <si>
    <t>k 31.12.2011</t>
  </si>
  <si>
    <t>Celkem</t>
  </si>
  <si>
    <t>činnost</t>
  </si>
  <si>
    <t>%</t>
  </si>
  <si>
    <t>Výnosy celkem</t>
  </si>
  <si>
    <t>Spotřeba materiálu /úč. 501/</t>
  </si>
  <si>
    <t>Náklady celkem</t>
  </si>
  <si>
    <t>v %</t>
  </si>
  <si>
    <t>CELKEM INVESTICE</t>
  </si>
  <si>
    <t>Příspěvek na provoz</t>
  </si>
  <si>
    <t>Limit prostředků na platy</t>
  </si>
  <si>
    <t>II. Závazné ukazatele v tis. Kč</t>
  </si>
  <si>
    <t>Nemocnice Havlíčkův Brod</t>
  </si>
  <si>
    <t>Havlíčkův Brod</t>
  </si>
  <si>
    <t>Jihlava</t>
  </si>
  <si>
    <t>Nemocnice</t>
  </si>
  <si>
    <t>Odpisy</t>
  </si>
  <si>
    <t>dary</t>
  </si>
  <si>
    <t>Stavební investice</t>
  </si>
  <si>
    <t>LSPP</t>
  </si>
  <si>
    <t>Ukazatel</t>
  </si>
  <si>
    <t>Hlavní</t>
  </si>
  <si>
    <t xml:space="preserve">Doplňková </t>
  </si>
  <si>
    <t xml:space="preserve">   Drobný dlouhodobý hmotný majetek</t>
  </si>
  <si>
    <t xml:space="preserve">   PHM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</si>
  <si>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</si>
  <si>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</si>
  <si>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</si>
  <si>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</si>
  <si>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</si>
  <si>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</si>
  <si>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akreditace</t>
  </si>
  <si>
    <t>jiná dotace</t>
  </si>
  <si>
    <t>převedený příděl z minulých let</t>
  </si>
  <si>
    <t xml:space="preserve">nájemné </t>
  </si>
  <si>
    <t xml:space="preserve">kapitálové výdaje </t>
  </si>
  <si>
    <t>Celkem dotace</t>
  </si>
  <si>
    <t>Počateční stav k 1.1.</t>
  </si>
  <si>
    <t>Tvorba celkem</t>
  </si>
  <si>
    <t>odpisy z dlouhodobého majetku</t>
  </si>
  <si>
    <t>Čerpání celkem</t>
  </si>
  <si>
    <t>opravy a údržba nemovitého majetku</t>
  </si>
  <si>
    <t>Zůstatek k 31.12.</t>
  </si>
  <si>
    <t>k dalšímu rozvoji činnosti</t>
  </si>
  <si>
    <t>k úhradě své ztráty za předchozí léta</t>
  </si>
  <si>
    <t>převod do investičního fondu /IF/</t>
  </si>
  <si>
    <t>odvod do rozpočtu zřizovatele</t>
  </si>
  <si>
    <t>Změna</t>
  </si>
  <si>
    <t>+ / -</t>
  </si>
  <si>
    <t>sociální lůžka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</si>
  <si>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</si>
  <si>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</si>
  <si>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</si>
  <si>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</si>
  <si>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</si>
  <si>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</si>
  <si>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>skupina</t>
  </si>
  <si>
    <t xml:space="preserve">cena </t>
  </si>
  <si>
    <t xml:space="preserve">odpisová </t>
  </si>
  <si>
    <t xml:space="preserve">odpisy </t>
  </si>
  <si>
    <t>majetku</t>
  </si>
  <si>
    <t>sazba</t>
  </si>
  <si>
    <t xml:space="preserve">  1x)</t>
  </si>
  <si>
    <t>VI. Doplňkové údaje</t>
  </si>
  <si>
    <t>Náklady</t>
  </si>
  <si>
    <t>dotace na provoz z nájemného z plánu</t>
  </si>
  <si>
    <t>dotace na investice z nájemného z plánu</t>
  </si>
  <si>
    <t>I. Rozklad nájemného včetně rozpisu dotace</t>
  </si>
  <si>
    <t>Výnosy</t>
  </si>
  <si>
    <t xml:space="preserve"> + / -</t>
  </si>
  <si>
    <t>III. Vybrané výnosy</t>
  </si>
  <si>
    <t>Název</t>
  </si>
  <si>
    <t>Všeobecná ZP</t>
  </si>
  <si>
    <t>Vojenská ZP</t>
  </si>
  <si>
    <t>Oborová ZP</t>
  </si>
  <si>
    <t>ZP Škoda</t>
  </si>
  <si>
    <t>ZP MV ČR</t>
  </si>
  <si>
    <t>Revírní bratrská ZP</t>
  </si>
  <si>
    <t>ZP METAL-ALIANCE</t>
  </si>
  <si>
    <t>ostatní ZP</t>
  </si>
  <si>
    <t>mzdy</t>
  </si>
  <si>
    <t>IV. Vybrané náklady</t>
  </si>
  <si>
    <t>Energie</t>
  </si>
  <si>
    <t>Služby</t>
  </si>
  <si>
    <t>Osobní náklady</t>
  </si>
  <si>
    <t>CELKEM -Stavební investice</t>
  </si>
  <si>
    <t>CELKEM - strojní investice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</si>
  <si>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</si>
  <si>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</si>
  <si>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</si>
  <si>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</si>
  <si>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</si>
  <si>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</si>
  <si>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</si>
  <si>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</si>
  <si>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</si>
  <si>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</si>
  <si>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</si>
  <si>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</si>
  <si>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</si>
  <si>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Změna stavu zásob (sesk. úč. 61)</t>
  </si>
  <si>
    <t>Aktivace (sesk. úč. 62)</t>
  </si>
  <si>
    <t>čerpání fondů</t>
  </si>
  <si>
    <t>Finanční výnosy (sesk. úč. 66)</t>
  </si>
  <si>
    <t>Výnosy z nároků na prostředky st. rozpočtu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</si>
  <si>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</si>
  <si>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</si>
  <si>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</si>
  <si>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</si>
  <si>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</si>
  <si>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</si>
  <si>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</si>
  <si>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</si>
  <si>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</si>
  <si>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</si>
  <si>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</si>
  <si>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</si>
  <si>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</si>
  <si>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</si>
  <si>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</si>
  <si>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</si>
  <si>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</si>
  <si>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</si>
  <si>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</si>
  <si>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</si>
  <si>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</si>
  <si>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</si>
  <si>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</si>
  <si>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</si>
  <si>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</si>
  <si>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</si>
  <si>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</si>
  <si>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</si>
  <si>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</si>
  <si>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</si>
  <si>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</si>
  <si>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</si>
  <si>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</si>
  <si>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</si>
  <si>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</si>
  <si>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r>
      <t>Služby</t>
    </r>
    <r>
      <rPr>
        <b/>
        <sz val="8"/>
        <rFont val="Arial CE"/>
        <family val="2"/>
      </rPr>
      <t xml:space="preserve"> (sesk. úč. 51)</t>
    </r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</si>
  <si>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</si>
  <si>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</si>
  <si>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</si>
  <si>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</si>
  <si>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</si>
  <si>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</si>
  <si>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</si>
  <si>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</si>
  <si>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</si>
  <si>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</si>
  <si>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r>
      <t>Osobní náklady (</t>
    </r>
    <r>
      <rPr>
        <b/>
        <sz val="8"/>
        <rFont val="Arial CE"/>
        <family val="2"/>
      </rPr>
      <t>sesk. úč. 52)</t>
    </r>
  </si>
  <si>
    <t xml:space="preserve"> Mzdové náklady (úč. 521)</t>
  </si>
  <si>
    <t>platy zaměstnanců</t>
  </si>
  <si>
    <t>ostatní osobní náklady</t>
  </si>
  <si>
    <t>Náklady z dávek sociálního zabezpečení (úč. 523)</t>
  </si>
  <si>
    <t>Sociální pojištění (úč. 524 - 528)</t>
  </si>
  <si>
    <r>
      <t>Daně a poplatky (</t>
    </r>
    <r>
      <rPr>
        <b/>
        <sz val="8"/>
        <rFont val="Arial CE"/>
        <family val="2"/>
      </rPr>
      <t>sesk. úč. 53)</t>
    </r>
  </si>
  <si>
    <r>
      <t>Ostatní náklady (</t>
    </r>
    <r>
      <rPr>
        <b/>
        <sz val="8"/>
        <rFont val="Arial CE"/>
        <family val="2"/>
      </rPr>
      <t>sesk. úč. 54)</t>
    </r>
  </si>
  <si>
    <t>Manka a škody</t>
  </si>
  <si>
    <t>Tvorba fondů</t>
  </si>
  <si>
    <r>
      <t>Odpisy, rezervy a opravné položky (</t>
    </r>
    <r>
      <rPr>
        <b/>
        <sz val="8"/>
        <rFont val="Arial CE"/>
        <family val="2"/>
      </rPr>
      <t>sesk. úč. 55)</t>
    </r>
  </si>
  <si>
    <t>Odpisy dlouhodobého majetku (úč. 551)</t>
  </si>
  <si>
    <t>odpisy dlouhodobého nehm. maj.</t>
  </si>
  <si>
    <t>odpisy dlouhodobého hm. maj.</t>
  </si>
  <si>
    <t>Finanční náklady (sesk. úč. 56)</t>
  </si>
  <si>
    <r>
      <t>Daň z příjmů (</t>
    </r>
    <r>
      <rPr>
        <b/>
        <sz val="8"/>
        <rFont val="Arial CE"/>
        <family val="2"/>
      </rPr>
      <t>sesk. úč. 59)</t>
    </r>
  </si>
  <si>
    <t>Výsledek hospodaření</t>
  </si>
  <si>
    <t>Ostatní výnosy (sesk. úč. 64)</t>
  </si>
  <si>
    <t>Výnosy z nároků na prostředky st. rozpočtu, rozpočtů ÚSC a SF</t>
  </si>
  <si>
    <t>Výnosy z nároků na prostředky ÚSC</t>
  </si>
  <si>
    <t>ÚZ</t>
  </si>
  <si>
    <t>r. 2010</t>
  </si>
  <si>
    <t>podpora vzdělávání</t>
  </si>
  <si>
    <t>specializační vzdělávání zdravotnických pracovníků</t>
  </si>
  <si>
    <t>realizace zdravotnického vzdělávacího programu</t>
  </si>
  <si>
    <t>13305</t>
  </si>
  <si>
    <t>NOR</t>
  </si>
  <si>
    <t>standard ICT</t>
  </si>
  <si>
    <t>00166</t>
  </si>
  <si>
    <t>semináře + konference</t>
  </si>
  <si>
    <t>národní program zdraví</t>
  </si>
  <si>
    <t>35049</t>
  </si>
  <si>
    <t>v tis. Kč</t>
  </si>
  <si>
    <t>dary + dotace z jiných ÚSC</t>
  </si>
  <si>
    <t>odpisy</t>
  </si>
  <si>
    <t>zřizovatel - ostatní ÚZ</t>
  </si>
  <si>
    <t>ÚZ 00051</t>
  </si>
  <si>
    <t>ÚZ 00054</t>
  </si>
  <si>
    <t>Strojní investice (vyjma ICT)</t>
  </si>
  <si>
    <t>Investice ICT (hardware + software)</t>
  </si>
  <si>
    <t>CELKEM - investice ICT (hardware + software)</t>
  </si>
  <si>
    <t>převod z RF</t>
  </si>
  <si>
    <t>vlastní investiční výdaje na pořízení strojních investic vyjma ICT (odpisy)</t>
  </si>
  <si>
    <t>převedený příděl z minulých let na pořízení strojních investic vyjma ICT</t>
  </si>
  <si>
    <t>vlastní investiční výdaje na pořízení ICT - software + hardware (odpisy)</t>
  </si>
  <si>
    <t>převedený příděl z minulých let na pořízení ICT - software + hardware</t>
  </si>
  <si>
    <t>vlastní investiční výdaje na pořízení stavebních investic (odpisy)</t>
  </si>
  <si>
    <t>převedený příděl z minulých let na pořízení stavebních investic</t>
  </si>
  <si>
    <t>zúčtování nekrytých odpisů proti účtu 648</t>
  </si>
  <si>
    <t>nařízený odvod odpisů dle zákona č. 250/2000 Sb. ve znění pozd. předp.</t>
  </si>
  <si>
    <t>Investiční fond (dále IF) - úč. 416</t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</si>
  <si>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</si>
  <si>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00052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</si>
  <si>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00054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</si>
  <si>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00055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</si>
  <si>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</si>
  <si>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00051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</si>
  <si>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00052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</si>
  <si>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00054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</si>
  <si>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00055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</si>
  <si>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</si>
  <si>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00166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</si>
  <si>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</si>
  <si>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00052</t>
    </r>
  </si>
  <si>
    <t>Průměrný přepočtený evidenční počet zaměstnanců</t>
  </si>
  <si>
    <t>Dary - zřizovatel</t>
  </si>
  <si>
    <t>Dary - ostatní</t>
  </si>
  <si>
    <t>Rezervní fond (dále RF) - úč. 413 + 414</t>
  </si>
  <si>
    <t>Příděl ze zlepš. výsledku hospodaření (úč. 413)</t>
  </si>
  <si>
    <t>Fond odměn - úč. 411</t>
  </si>
  <si>
    <t>Fond kulturních a sociálních potřeb - úč. 412</t>
  </si>
  <si>
    <t>Nemocnice Jihlava</t>
  </si>
  <si>
    <t>nemovitý majetek</t>
  </si>
  <si>
    <t>IV. Odpisový plán v tis. Kč</t>
  </si>
  <si>
    <t>V. Plán čerpání fondů v tis. Kč</t>
  </si>
  <si>
    <t>II. Náklady, Výnosy, Výsledek hospodaření</t>
  </si>
  <si>
    <t>Hutnická ZP (od r. 2010 - Průmyslová ZP)</t>
  </si>
  <si>
    <t xml:space="preserve">   Spotřeba léčiv</t>
  </si>
  <si>
    <t xml:space="preserve">   Spotřeba SZM</t>
  </si>
  <si>
    <t xml:space="preserve">   z toho RTG materiál, filmy, chemikálie</t>
  </si>
  <si>
    <t xml:space="preserve">   z toho laboratorní materiál</t>
  </si>
  <si>
    <t xml:space="preserve">   z toho implantáty</t>
  </si>
  <si>
    <t xml:space="preserve">   z toho obvazový materiál</t>
  </si>
  <si>
    <t xml:space="preserve">   z toho šicí materiál</t>
  </si>
  <si>
    <t xml:space="preserve">   Spotřeba prádla a OOPP</t>
  </si>
  <si>
    <t xml:space="preserve">   Spotřeba všeobecného materiálu</t>
  </si>
  <si>
    <t xml:space="preserve">   z toho materiál na údržbu</t>
  </si>
  <si>
    <t xml:space="preserve">   Spotřeba knih, učebnic, pomůcek pro výuku</t>
  </si>
  <si>
    <t>uvedené nemocnice celkem</t>
  </si>
  <si>
    <t>SW licence</t>
  </si>
  <si>
    <t>prodej majetku</t>
  </si>
  <si>
    <t>kapitál. výdaje</t>
  </si>
  <si>
    <t>Údaje v tis. Kč</t>
  </si>
  <si>
    <t>I. Návrh finančního plánu</t>
  </si>
  <si>
    <t>x</t>
  </si>
  <si>
    <t>převod</t>
  </si>
  <si>
    <t>příkaz. sml.</t>
  </si>
  <si>
    <t>Chlorovací stanice</t>
  </si>
  <si>
    <t>Obnova gamakamery</t>
  </si>
  <si>
    <t>Narkotizační přístroje</t>
  </si>
  <si>
    <t>Cisco switch</t>
  </si>
  <si>
    <t>Oční ultrazvukový přístroj (OPH)</t>
  </si>
  <si>
    <t>Mikrotom (PATOL)</t>
  </si>
  <si>
    <t>Váhy (HTO)</t>
  </si>
  <si>
    <t>Vodoléčebná vana (REH)</t>
  </si>
  <si>
    <t>Myčky 3 ks (ODN)</t>
  </si>
  <si>
    <t>Laminární box (lékárna)</t>
  </si>
  <si>
    <t>Gastroskop (gastro)</t>
  </si>
  <si>
    <t>Mamograf (OZM)</t>
  </si>
  <si>
    <t>Pojízdné RDG (C-rameno)</t>
  </si>
  <si>
    <t>Přístroj pro transkutánní měření bilirubinu u novorozenců</t>
  </si>
  <si>
    <t xml:space="preserve">st. úpr NMR+LU </t>
  </si>
  <si>
    <t>call centrum</t>
  </si>
  <si>
    <t>Call centrum</t>
  </si>
  <si>
    <t>Rozvoj ICT</t>
  </si>
  <si>
    <t>rozvoj ICT</t>
  </si>
  <si>
    <t>Skutečnost - rok 2010</t>
  </si>
  <si>
    <t>Výnosy ústředních a územních rozpočtů z transferů (sesk. úč. 67)</t>
  </si>
  <si>
    <t>výnosy ústředních rozpočtů z transferů</t>
  </si>
  <si>
    <t>výnosy územních rozpočtů z transferů</t>
  </si>
  <si>
    <t>provozní transfery od zřizovatele - prodej majetku</t>
  </si>
  <si>
    <t>jiné transfery (např. z jiného územního rozpočtu, ústředního rozpočtu)</t>
  </si>
  <si>
    <t>použití darů + transferů z jiných úz. rozp. na pořízení str. investic vyjma ICT</t>
  </si>
  <si>
    <t>použití darů + transferů z jiných úz. rozp. na pořízení ICT - SW + HW</t>
  </si>
  <si>
    <t>použití darů + transferů z jiných úz. rozp. na pořízení stavebních investic</t>
  </si>
  <si>
    <t>jiné transfery - náborový příspěvek</t>
  </si>
  <si>
    <t>r. 2011</t>
  </si>
  <si>
    <t>j.tr.-SW+HW-ERP</t>
  </si>
  <si>
    <t>Úprava rozvodů medicinálních plynů</t>
  </si>
  <si>
    <t>Stavební úpravy provozovny občerstvení</t>
  </si>
  <si>
    <t>Projekt- parkoviště</t>
  </si>
  <si>
    <t>Oprava omítky na spisovně</t>
  </si>
  <si>
    <t>Dlažba na ochozech u pavilonu č. 3</t>
  </si>
  <si>
    <t>Úprava kllimatizace prádelny</t>
  </si>
  <si>
    <t>Doplnění věží</t>
  </si>
  <si>
    <t>Reader - laboratoře</t>
  </si>
  <si>
    <t xml:space="preserve">Chladicí vitrína </t>
  </si>
  <si>
    <t>Ohřívač vody</t>
  </si>
  <si>
    <t>Osobní automobil</t>
  </si>
  <si>
    <t>výměna regulátoru MaR v kotelně</t>
  </si>
  <si>
    <t>výměna napájecí nádrže v kotelně</t>
  </si>
  <si>
    <t>obnova varné technologie v kuchyni</t>
  </si>
  <si>
    <t>vozdilo na svoz</t>
  </si>
  <si>
    <t>kardiotokografie</t>
  </si>
  <si>
    <t>TRA - teplotní sledovací systém</t>
  </si>
  <si>
    <t>TRA - repase agregátu pro box na krevní plasmu</t>
  </si>
  <si>
    <t>EKG přístroje JIP 2x</t>
  </si>
  <si>
    <t>TRA - odběrové váhy 6ks</t>
  </si>
  <si>
    <t>TRN - měřič vydechovaného feNO</t>
  </si>
  <si>
    <t>ARO - defibrilator</t>
  </si>
  <si>
    <t>SW laboratoře</t>
  </si>
  <si>
    <t>Bezdrátová technologie</t>
  </si>
  <si>
    <t xml:space="preserve">HW ERP </t>
  </si>
  <si>
    <t>provozní transfer zřizovatele - zlepšení finanační situace</t>
  </si>
  <si>
    <t>návrh 2011</t>
  </si>
  <si>
    <t>Materiálové náklady - nemocnice</t>
  </si>
  <si>
    <t>a) výnosy od zdravotních pojišťoven - nemocnice</t>
  </si>
  <si>
    <t>Zdravotnická zařízení</t>
  </si>
  <si>
    <t>jiné transfery -  licenční dovybavení</t>
  </si>
  <si>
    <t>jiné tr. - dar KV</t>
  </si>
  <si>
    <t>SW+HW-ERP</t>
  </si>
  <si>
    <t>Rekonstrukce porodních sálů</t>
  </si>
  <si>
    <t>Modernizace a obnova přístr. vybavení KC - angio CT</t>
  </si>
  <si>
    <t>Modernizace a obnova přístr. vybavení KC - echokardiograf</t>
  </si>
  <si>
    <t>Modernizace a obnova přístr. vybavení KC - telemetricky monitorované lůžko, ventilátor UPV, sw magnetické rezonance</t>
  </si>
  <si>
    <t>Inkubátor (PED)</t>
  </si>
  <si>
    <t>Kolposkop (GYN)</t>
  </si>
  <si>
    <t>Videokolonoskop (INT)</t>
  </si>
  <si>
    <t>Fixační pomůcky (břicho, hlava) (ONK)</t>
  </si>
  <si>
    <t>Sprchovací lůžko (REH)</t>
  </si>
  <si>
    <t>Zalévací stanice (PAT)</t>
  </si>
  <si>
    <t>Parní kotle (OLVS)</t>
  </si>
  <si>
    <t>Bezdrátové technologie + další SW</t>
  </si>
  <si>
    <t>Wifi</t>
  </si>
  <si>
    <t>Datové úložiště pro PACS</t>
  </si>
  <si>
    <t>Klimatizace</t>
  </si>
  <si>
    <t>HW a SW pro ERP</t>
  </si>
  <si>
    <t>výměna oken u pavilonu č. 5</t>
  </si>
  <si>
    <t>Rozšíření parkoviště před hlavní budovou</t>
  </si>
  <si>
    <t>elektrochirurgie pro Gyn</t>
  </si>
  <si>
    <t>vidoebronchoskop</t>
  </si>
  <si>
    <t>Endoskopie videogastroskop, videokolonoskop</t>
  </si>
  <si>
    <t>Dialyzační přístroj CRRT ARO</t>
  </si>
  <si>
    <t>Ohřívač infúzních roztoků ARO</t>
  </si>
  <si>
    <t>TRA - pultový mrazící box 2x</t>
  </si>
  <si>
    <t>COS - ultrazvuková myčka nástrojů</t>
  </si>
  <si>
    <t>OCN - laser argon</t>
  </si>
  <si>
    <t>ORL - videobronchoskop</t>
  </si>
  <si>
    <t>Ultrazvukový přístroj INT ECHO</t>
  </si>
  <si>
    <t>Bilirubinometr</t>
  </si>
  <si>
    <t>Fototerapeutická lampa</t>
  </si>
  <si>
    <t>UZ sonda - dětské odd.</t>
  </si>
  <si>
    <t>Monitor životních funkcí - 2x</t>
  </si>
  <si>
    <t>EKG včetně ergometrie</t>
  </si>
  <si>
    <t>Ergometr</t>
  </si>
  <si>
    <t>Defibrilátor</t>
  </si>
  <si>
    <t>Sprchovací lůžka 5x</t>
  </si>
  <si>
    <t>Infuzní pumpy</t>
  </si>
  <si>
    <t>Flexibilní cystoskop</t>
  </si>
  <si>
    <t>Urodynamický systém</t>
  </si>
  <si>
    <t>Odsávačka</t>
  </si>
  <si>
    <t>Desinfektor podložních mís</t>
  </si>
  <si>
    <t xml:space="preserve">b) transfery - nemocnice </t>
  </si>
  <si>
    <t>Druh transferu</t>
  </si>
  <si>
    <t xml:space="preserve">Nájemné v roce 2011 </t>
  </si>
  <si>
    <t>Ukazatel (v tis. Kč)</t>
  </si>
  <si>
    <t>Druh provozního transferu (v Kč)</t>
  </si>
  <si>
    <t>III. Položkový rozpočet investičních akcí v Kč</t>
  </si>
  <si>
    <t>Optotipy (OPH)</t>
  </si>
  <si>
    <t>Štěrbinová lampa (OPH)</t>
  </si>
  <si>
    <t>dotace jiné</t>
  </si>
  <si>
    <t>provozní transfery jiný ÚSC - "Moder. a obnova KC"</t>
  </si>
  <si>
    <t>k 1.1.2011</t>
  </si>
  <si>
    <t>na rok 2011</t>
  </si>
  <si>
    <t xml:space="preserve">Pořadí </t>
  </si>
  <si>
    <t>Opravy a udržování stavební - hlavní činnost</t>
  </si>
  <si>
    <t>Stavební opravy budov.</t>
  </si>
  <si>
    <t>Opravy povrchových úprav ( PVC, dlažby ).</t>
  </si>
  <si>
    <t>Opravy maleb a nátěrů.</t>
  </si>
  <si>
    <t>Opravy vozovek a chodníků.</t>
  </si>
  <si>
    <t>Opravy střech a oplechování.</t>
  </si>
  <si>
    <t>Opravy vodovodních instalací a kanalizací.</t>
  </si>
  <si>
    <t>Opravy el. instalací v budovách.</t>
  </si>
  <si>
    <t>Opravy energetických rozvodů.</t>
  </si>
  <si>
    <t>Servis technolog. celků vč. rozvodů a zařízení medicinálních plynů</t>
  </si>
  <si>
    <t>Opravy vytápění.</t>
  </si>
  <si>
    <t>0statní opravy nem. majetku.</t>
  </si>
  <si>
    <t>CELKEM opravy a udržování stavební - hlavní činnost</t>
  </si>
  <si>
    <t>Pořadí</t>
  </si>
  <si>
    <t>Opravy a udržování zdravotnické techniky - hlavní činnost</t>
  </si>
  <si>
    <t>Diagnostická zdravotnická technika</t>
  </si>
  <si>
    <t>Akutní zdravotnická technika</t>
  </si>
  <si>
    <t>Laboratorní přístroje</t>
  </si>
  <si>
    <t>Vybavení operačních sálů a sterilizace</t>
  </si>
  <si>
    <t>Ostatní zdravotnické přístroje</t>
  </si>
  <si>
    <t>CELKEM opravy a udržování zdravotnické techniky - hlavní činnost</t>
  </si>
  <si>
    <t>Opravy a udržování ostatní - hlavní činnost</t>
  </si>
  <si>
    <t>Opravy dopravních prostředků</t>
  </si>
  <si>
    <t>Výpočetní technika</t>
  </si>
  <si>
    <t>Opravy energetických zdrojů.</t>
  </si>
  <si>
    <t>Servis MaR, chlazení, ČOV</t>
  </si>
  <si>
    <t>Opravy elektro</t>
  </si>
  <si>
    <t>Revize hasících přístrojů, hydrantů, EPS</t>
  </si>
  <si>
    <t>Ostatní technika</t>
  </si>
  <si>
    <t>CELKEM opravy a udržování ostatní - hlavní činnost</t>
  </si>
  <si>
    <t>Opravy a udržování stavební - doplňková činnost</t>
  </si>
  <si>
    <t>Stavební opravy budov</t>
  </si>
  <si>
    <t>Opravy instalací a rozvodů.</t>
  </si>
  <si>
    <t>CELKEM opravy a udržování stavební - doplňková činnost</t>
  </si>
  <si>
    <t>Opravy a udržování ostatní - doplňková činnost</t>
  </si>
  <si>
    <t>Opravy energetických zdrojů</t>
  </si>
  <si>
    <t>Opravy ostatní techniky</t>
  </si>
  <si>
    <t>SUMÁŘ</t>
  </si>
  <si>
    <t>OPRAVY A UDRŽOVÁNÍ STAVEBNÍ</t>
  </si>
  <si>
    <t>OPRAVY A UDRŽOVÁNÍ ZDRAVOTNICKÉ TECHNIKY</t>
  </si>
  <si>
    <t>OPRAVY A UDRŽOVÁNÍ OSTATNÍ</t>
  </si>
  <si>
    <t>CELKEM</t>
  </si>
  <si>
    <t>VII. Plán oprav</t>
  </si>
  <si>
    <t>Náklady (Kč) - r. 2010</t>
  </si>
  <si>
    <t>Předpokládané náklady (Kč) - rok 2011</t>
  </si>
  <si>
    <t>Náklady (Kč) - 2010</t>
  </si>
  <si>
    <t>Předpokládané náklady (Kč) - 2011</t>
  </si>
  <si>
    <t>Defektoskopie a výměna abs. filtrů  - oční op. sál,ARO,JIP</t>
  </si>
  <si>
    <t>Oprava  střešní krytiny na diagnostickém pavilónu</t>
  </si>
  <si>
    <t>Oprava  venkovních obkladů spoj. mostu Interna-diagnostika</t>
  </si>
  <si>
    <t>Výměna  svítidel na chodbách neurologie</t>
  </si>
  <si>
    <t>Oprava podlahové krytiny lůžkových pokojů (INT)</t>
  </si>
  <si>
    <t>Oprava výtahů (INT Pavilon)</t>
  </si>
  <si>
    <t>Oprava nátěru střechy a komínů kotelny</t>
  </si>
  <si>
    <t xml:space="preserve">Oprava odkalovacího potrubí – kotelna </t>
  </si>
  <si>
    <t>Oprava VZT urgentního příjmu (sádrovna, čekárna, PAO)</t>
  </si>
  <si>
    <t>Nátěry střech pavilonů (GYNPOR, spojovací chodby)</t>
  </si>
  <si>
    <t>Oprava podlah (lité – suterén) v lékárně</t>
  </si>
  <si>
    <t>Oprava povrchu podlah – spojovací chodba INT-COS (2.NP)</t>
  </si>
  <si>
    <t>Výměna automatických dveří – hlavní vstup</t>
  </si>
  <si>
    <t>Rekonstrukce chladíren OLVS</t>
  </si>
  <si>
    <t>Rekonstrukce  filtračních  systému – interní pavilón</t>
  </si>
  <si>
    <t>Oprava Chladíren OLVS (dveře, strojovny)</t>
  </si>
  <si>
    <t>Smluvní servis zdravotnických přístrojů</t>
  </si>
  <si>
    <t>Oprava  vozidla  Multicar</t>
  </si>
  <si>
    <t>Oprava záskokových zdrojů – (UPS) výměna AKB COS 1 etapa</t>
  </si>
  <si>
    <t xml:space="preserve">Oční oper. sál – oprava vyvíječe páry vlhčení </t>
  </si>
  <si>
    <t>Rezerva na havarijní stavy</t>
  </si>
  <si>
    <t>Výměna baterií centrální UPS ICT</t>
  </si>
  <si>
    <t xml:space="preserve">VII. Plán oprav </t>
  </si>
  <si>
    <t>CELKEM opravy a udržování ostatní - doplňková činnost</t>
  </si>
  <si>
    <t>Nemocnice Jihlava, příspěvková organizace</t>
  </si>
  <si>
    <t>Nemocnice Havlíčkův Brod, příspěvková organizace</t>
  </si>
  <si>
    <t>Rezerva na havárie</t>
  </si>
  <si>
    <t>Chodítko Up n GO (REH)</t>
  </si>
  <si>
    <t>Plně nebo částečně  pokryto převedenými prostředky od zřizovatele</t>
  </si>
  <si>
    <t>Technologické připojení eMeDocS</t>
  </si>
  <si>
    <t>eMeDocS</t>
  </si>
  <si>
    <t>00502</t>
  </si>
  <si>
    <r>
      <t xml:space="preserve">investiční transfery od zřizovatele s </t>
    </r>
    <r>
      <rPr>
        <sz val="8"/>
        <color indexed="10"/>
        <rFont val="Arial"/>
        <family val="2"/>
      </rPr>
      <t>ÚZ 00502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</si>
  <si>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00502</t>
    </r>
  </si>
  <si>
    <t>provozní transfery: z jiného územního rozpočtu - konkrétní název ÚSC</t>
  </si>
  <si>
    <t>00999</t>
  </si>
  <si>
    <t>provozní transfery - zřizovatel (call centrum + KC)</t>
  </si>
  <si>
    <t>vyúčtování r. 2009 + dohadná položka na r. 2010</t>
  </si>
  <si>
    <t>MZ - KC</t>
  </si>
  <si>
    <t>zřizovatel - KC + call centrum</t>
  </si>
  <si>
    <t>Transfer na investice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</si>
</sst>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0_ ;[Red]\-0\ "/>
    <numFmt numFmtId="215" formatCode="#,##0.0_ ;[Red]\-#,##0.0\ "/>
    <numFmt numFmtId="216" formatCode="#,##0.0000_ ;[Red]\-#,##0.0000\ "/>
    <numFmt numFmtId="217" formatCode="#,##0.00000_ ;[Red]\-#,##0.00000\ "/>
    <numFmt numFmtId="218" formatCode="#,##0.000000_ ;[Red]\-#,##0.000000\ "/>
    <numFmt numFmtId="219" formatCode="#,##0.0000000_ ;[Red]\-#,##0.0000000\ 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sz val="8"/>
      <name val="Helv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name val="Helv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0"/>
    </font>
    <font>
      <i/>
      <sz val="8"/>
      <color indexed="12"/>
      <name val="Arial CE"/>
      <family val="0"/>
    </font>
    <font>
      <i/>
      <sz val="8"/>
      <color indexed="12"/>
      <name val="Arial"/>
      <family val="2"/>
    </font>
    <font>
      <i/>
      <sz val="8"/>
      <name val="Arial CE"/>
      <family val="2"/>
    </font>
    <font>
      <i/>
      <sz val="10"/>
      <name val="Helv"/>
      <family val="0"/>
    </font>
    <font>
      <i/>
      <sz val="8"/>
      <name val="Helv"/>
      <family val="0"/>
    </font>
    <font>
      <sz val="10"/>
      <color indexed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1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1" fillId="3" borderId="0" applyNumberFormat="0" applyBorder="0" applyAlignment="0" applyProtection="0"/>
    <xf numFmtId="0" fontId="32" fillId="20" borderId="1" applyNumberFormat="0" applyAlignment="0" applyProtection="0"/>
    <xf numFmtId="0" fontId="2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1" borderId="6" applyNumberFormat="0" applyAlignment="0" applyProtection="0"/>
    <xf numFmtId="0" fontId="21" fillId="3" borderId="0" applyNumberFormat="0" applyBorder="0" applyAlignment="0" applyProtection="0"/>
    <xf numFmtId="0" fontId="31" fillId="7" borderId="1" applyNumberFormat="0" applyAlignment="0" applyProtection="0"/>
    <xf numFmtId="0" fontId="22" fillId="21" borderId="6" applyNumberFormat="0" applyAlignment="0" applyProtection="0"/>
    <xf numFmtId="0" fontId="2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center" vertical="center"/>
      <protection/>
    </xf>
    <xf numFmtId="0" fontId="9" fillId="23" borderId="8" applyNumberFormat="0" applyFont="0" applyAlignment="0" applyProtection="0"/>
    <xf numFmtId="3" fontId="2" fillId="0" borderId="9">
      <alignment horizontal="center" vertical="center" wrapText="1"/>
      <protection/>
    </xf>
    <xf numFmtId="0" fontId="33" fillId="20" borderId="10" applyNumberForma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31" fillId="7" borderId="1" applyNumberFormat="0" applyAlignment="0" applyProtection="0"/>
    <xf numFmtId="0" fontId="32" fillId="20" borderId="1" applyNumberFormat="0" applyAlignment="0" applyProtection="0"/>
    <xf numFmtId="0" fontId="33" fillId="20" borderId="10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</cellStyleXfs>
  <cellXfs count="831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3" fontId="7" fillId="0" borderId="0" xfId="90" applyNumberFormat="1" applyFont="1" applyBorder="1" applyAlignment="1">
      <alignment horizontal="center" vertical="center"/>
      <protection/>
    </xf>
    <xf numFmtId="3" fontId="7" fillId="0" borderId="0" xfId="90" applyNumberFormat="1" applyFont="1" applyBorder="1" applyAlignment="1">
      <alignment horizontal="right" vertical="center"/>
      <protection/>
    </xf>
    <xf numFmtId="0" fontId="5" fillId="24" borderId="0" xfId="0" applyFont="1" applyFill="1" applyBorder="1" applyAlignment="1">
      <alignment vertical="center"/>
    </xf>
    <xf numFmtId="4" fontId="2" fillId="0" borderId="11" xfId="92" applyNumberFormat="1" applyFont="1" applyFill="1" applyBorder="1" applyAlignment="1">
      <alignment vertical="center" wrapText="1"/>
      <protection/>
    </xf>
    <xf numFmtId="4" fontId="2" fillId="0" borderId="12" xfId="92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4" fontId="2" fillId="0" borderId="13" xfId="92" applyNumberFormat="1" applyFont="1" applyFill="1" applyBorder="1" applyAlignment="1">
      <alignment horizontal="right" vertical="center" wrapText="1"/>
      <protection/>
    </xf>
    <xf numFmtId="4" fontId="2" fillId="0" borderId="14" xfId="92" applyNumberFormat="1" applyFont="1" applyFill="1" applyBorder="1" applyAlignment="1">
      <alignment horizontal="right" vertical="center" wrapText="1"/>
      <protection/>
    </xf>
    <xf numFmtId="4" fontId="2" fillId="0" borderId="15" xfId="92" applyNumberFormat="1" applyFont="1" applyFill="1" applyBorder="1" applyAlignment="1">
      <alignment vertical="center" wrapText="1"/>
      <protection/>
    </xf>
    <xf numFmtId="169" fontId="5" fillId="24" borderId="0" xfId="0" applyNumberFormat="1" applyFont="1" applyFill="1" applyBorder="1" applyAlignment="1">
      <alignment vertical="center"/>
    </xf>
    <xf numFmtId="0" fontId="7" fillId="20" borderId="16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0" borderId="1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2" fillId="0" borderId="20" xfId="92" applyNumberFormat="1" applyFont="1" applyFill="1" applyBorder="1" applyAlignment="1">
      <alignment horizontal="right" vertical="center" wrapText="1"/>
      <protection/>
    </xf>
    <xf numFmtId="0" fontId="7" fillId="20" borderId="21" xfId="0" applyFont="1" applyFill="1" applyBorder="1" applyAlignment="1">
      <alignment horizontal="center"/>
    </xf>
    <xf numFmtId="0" fontId="7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7" fillId="20" borderId="28" xfId="0" applyFont="1" applyFill="1" applyBorder="1" applyAlignment="1">
      <alignment horizontal="center"/>
    </xf>
    <xf numFmtId="0" fontId="7" fillId="20" borderId="29" xfId="0" applyFont="1" applyFill="1" applyBorder="1" applyAlignment="1">
      <alignment horizontal="center"/>
    </xf>
    <xf numFmtId="0" fontId="7" fillId="20" borderId="30" xfId="0" applyFont="1" applyFill="1" applyBorder="1" applyAlignment="1">
      <alignment horizontal="center"/>
    </xf>
    <xf numFmtId="0" fontId="7" fillId="20" borderId="31" xfId="0" applyFont="1" applyFill="1" applyBorder="1" applyAlignment="1">
      <alignment horizontal="center"/>
    </xf>
    <xf numFmtId="0" fontId="7" fillId="20" borderId="32" xfId="0" applyFont="1" applyFill="1" applyBorder="1" applyAlignment="1">
      <alignment horizontal="center"/>
    </xf>
    <xf numFmtId="0" fontId="7" fillId="20" borderId="33" xfId="0" applyFont="1" applyFill="1" applyBorder="1" applyAlignment="1">
      <alignment horizontal="center"/>
    </xf>
    <xf numFmtId="0" fontId="7" fillId="20" borderId="34" xfId="0" applyFont="1" applyFill="1" applyBorder="1" applyAlignment="1">
      <alignment horizontal="center"/>
    </xf>
    <xf numFmtId="3" fontId="13" fillId="0" borderId="35" xfId="0" applyNumberFormat="1" applyFont="1" applyBorder="1" applyAlignment="1">
      <alignment/>
    </xf>
    <xf numFmtId="0" fontId="8" fillId="20" borderId="36" xfId="0" applyFont="1" applyFill="1" applyBorder="1" applyAlignment="1">
      <alignment/>
    </xf>
    <xf numFmtId="0" fontId="8" fillId="20" borderId="37" xfId="0" applyFont="1" applyFill="1" applyBorder="1" applyAlignment="1">
      <alignment horizontal="center"/>
    </xf>
    <xf numFmtId="3" fontId="8" fillId="20" borderId="38" xfId="0" applyNumberFormat="1" applyFont="1" applyFill="1" applyBorder="1" applyAlignment="1">
      <alignment/>
    </xf>
    <xf numFmtId="3" fontId="8" fillId="20" borderId="3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40" xfId="0" applyFont="1" applyBorder="1" applyAlignment="1">
      <alignment/>
    </xf>
    <xf numFmtId="0" fontId="7" fillId="20" borderId="36" xfId="0" applyFont="1" applyFill="1" applyBorder="1" applyAlignment="1">
      <alignment/>
    </xf>
    <xf numFmtId="0" fontId="10" fillId="20" borderId="36" xfId="89" applyFont="1" applyFill="1" applyBorder="1" applyAlignment="1">
      <alignment/>
      <protection/>
    </xf>
    <xf numFmtId="0" fontId="2" fillId="0" borderId="0" xfId="0" applyFont="1" applyAlignment="1">
      <alignment vertical="center" wrapText="1"/>
    </xf>
    <xf numFmtId="4" fontId="2" fillId="0" borderId="9" xfId="92" applyNumberFormat="1" applyFont="1" applyFill="1" applyBorder="1" applyAlignment="1">
      <alignment vertical="center" wrapText="1"/>
      <protection/>
    </xf>
    <xf numFmtId="4" fontId="7" fillId="20" borderId="41" xfId="92" applyNumberFormat="1" applyFont="1" applyFill="1" applyBorder="1" applyAlignment="1">
      <alignment vertical="center" wrapText="1"/>
      <protection/>
    </xf>
    <xf numFmtId="4" fontId="7" fillId="20" borderId="42" xfId="92" applyNumberFormat="1" applyFont="1" applyFill="1" applyBorder="1" applyAlignment="1">
      <alignment vertical="center" wrapText="1"/>
      <protection/>
    </xf>
    <xf numFmtId="4" fontId="7" fillId="20" borderId="43" xfId="92" applyNumberFormat="1" applyFont="1" applyFill="1" applyBorder="1" applyAlignment="1">
      <alignment vertical="center" wrapText="1"/>
      <protection/>
    </xf>
    <xf numFmtId="4" fontId="7" fillId="20" borderId="44" xfId="92" applyNumberFormat="1" applyFont="1" applyFill="1" applyBorder="1" applyAlignment="1">
      <alignment vertical="center" wrapText="1"/>
      <protection/>
    </xf>
    <xf numFmtId="4" fontId="7" fillId="20" borderId="45" xfId="92" applyNumberFormat="1" applyFont="1" applyFill="1" applyBorder="1" applyAlignment="1">
      <alignment vertical="center" wrapText="1"/>
      <protection/>
    </xf>
    <xf numFmtId="4" fontId="7" fillId="20" borderId="46" xfId="92" applyNumberFormat="1" applyFont="1" applyFill="1" applyBorder="1" applyAlignment="1">
      <alignment vertical="center" wrapText="1"/>
      <protection/>
    </xf>
    <xf numFmtId="0" fontId="12" fillId="0" borderId="0" xfId="0" applyFont="1" applyAlignment="1" applyProtection="1">
      <alignment/>
      <protection locked="0"/>
    </xf>
    <xf numFmtId="0" fontId="2" fillId="20" borderId="47" xfId="84" applyFont="1" applyFill="1" applyBorder="1" applyAlignment="1" applyProtection="1">
      <alignment horizontal="center"/>
      <protection locked="0"/>
    </xf>
    <xf numFmtId="0" fontId="2" fillId="20" borderId="48" xfId="84" applyFont="1" applyFill="1" applyBorder="1" applyAlignment="1" applyProtection="1">
      <alignment horizontal="center"/>
      <protection locked="0"/>
    </xf>
    <xf numFmtId="0" fontId="2" fillId="20" borderId="26" xfId="84" applyFont="1" applyFill="1" applyBorder="1" applyAlignment="1" applyProtection="1">
      <alignment horizontal="center"/>
      <protection locked="0"/>
    </xf>
    <xf numFmtId="0" fontId="2" fillId="20" borderId="28" xfId="84" applyFont="1" applyFill="1" applyBorder="1" applyAlignment="1" applyProtection="1">
      <alignment horizontal="center"/>
      <protection locked="0"/>
    </xf>
    <xf numFmtId="3" fontId="2" fillId="0" borderId="49" xfId="84" applyNumberFormat="1" applyFont="1" applyFill="1" applyBorder="1" applyAlignment="1" applyProtection="1">
      <alignment horizontal="right" vertical="center"/>
      <protection locked="0"/>
    </xf>
    <xf numFmtId="3" fontId="2" fillId="0" borderId="50" xfId="84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2" fillId="0" borderId="40" xfId="0" applyNumberFormat="1" applyFont="1" applyBorder="1" applyAlignment="1" applyProtection="1">
      <alignment vertical="center"/>
      <protection locked="0"/>
    </xf>
    <xf numFmtId="3" fontId="12" fillId="0" borderId="9" xfId="0" applyNumberFormat="1" applyFont="1" applyBorder="1" applyAlignment="1" applyProtection="1">
      <alignment vertical="center"/>
      <protection locked="0"/>
    </xf>
    <xf numFmtId="3" fontId="12" fillId="0" borderId="51" xfId="0" applyNumberFormat="1" applyFont="1" applyBorder="1" applyAlignment="1" applyProtection="1">
      <alignment vertical="center"/>
      <protection/>
    </xf>
    <xf numFmtId="3" fontId="12" fillId="0" borderId="51" xfId="0" applyNumberFormat="1" applyFont="1" applyBorder="1" applyAlignment="1" applyProtection="1">
      <alignment vertical="center"/>
      <protection locked="0"/>
    </xf>
    <xf numFmtId="3" fontId="12" fillId="0" borderId="52" xfId="0" applyNumberFormat="1" applyFont="1" applyBorder="1" applyAlignment="1" applyProtection="1">
      <alignment vertical="center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3" fontId="12" fillId="0" borderId="50" xfId="0" applyNumberFormat="1" applyFont="1" applyBorder="1" applyAlignment="1" applyProtection="1">
      <alignment vertical="center"/>
      <protection locked="0"/>
    </xf>
    <xf numFmtId="3" fontId="12" fillId="0" borderId="40" xfId="0" applyNumberFormat="1" applyFont="1" applyBorder="1" applyAlignment="1" applyProtection="1">
      <alignment vertical="center"/>
      <protection/>
    </xf>
    <xf numFmtId="3" fontId="12" fillId="0" borderId="9" xfId="0" applyNumberFormat="1" applyFont="1" applyBorder="1" applyAlignment="1" applyProtection="1">
      <alignment vertical="center"/>
      <protection/>
    </xf>
    <xf numFmtId="3" fontId="10" fillId="0" borderId="51" xfId="0" applyNumberFormat="1" applyFont="1" applyBorder="1" applyAlignment="1" applyProtection="1">
      <alignment vertical="center"/>
      <protection locked="0"/>
    </xf>
    <xf numFmtId="3" fontId="10" fillId="0" borderId="9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3" fontId="10" fillId="0" borderId="52" xfId="0" applyNumberFormat="1" applyFont="1" applyBorder="1" applyAlignment="1" applyProtection="1">
      <alignment vertical="center"/>
      <protection locked="0"/>
    </xf>
    <xf numFmtId="3" fontId="10" fillId="0" borderId="48" xfId="0" applyNumberFormat="1" applyFont="1" applyBorder="1" applyAlignment="1" applyProtection="1">
      <alignment vertical="center"/>
      <protection locked="0"/>
    </xf>
    <xf numFmtId="210" fontId="0" fillId="0" borderId="0" xfId="0" applyNumberFormat="1" applyFont="1" applyAlignment="1">
      <alignment/>
    </xf>
    <xf numFmtId="210" fontId="12" fillId="0" borderId="53" xfId="0" applyNumberFormat="1" applyFont="1" applyFill="1" applyBorder="1" applyAlignment="1" applyProtection="1">
      <alignment horizontal="right" vertical="center"/>
      <protection locked="0"/>
    </xf>
    <xf numFmtId="210" fontId="0" fillId="0" borderId="0" xfId="0" applyNumberForma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0" fontId="0" fillId="0" borderId="0" xfId="86">
      <alignment/>
      <protection/>
    </xf>
    <xf numFmtId="210" fontId="2" fillId="0" borderId="0" xfId="0" applyNumberFormat="1" applyFont="1" applyAlignment="1">
      <alignment horizontal="right"/>
    </xf>
    <xf numFmtId="4" fontId="2" fillId="0" borderId="54" xfId="86" applyNumberFormat="1" applyFont="1" applyBorder="1" applyAlignment="1">
      <alignment horizontal="right" vertical="center" wrapText="1"/>
      <protection/>
    </xf>
    <xf numFmtId="0" fontId="2" fillId="0" borderId="0" xfId="86" applyFont="1" applyAlignment="1">
      <alignment vertical="center" wrapText="1"/>
      <protection/>
    </xf>
    <xf numFmtId="4" fontId="2" fillId="0" borderId="54" xfId="86" applyNumberFormat="1" applyFont="1" applyBorder="1" applyAlignment="1">
      <alignment vertical="center" wrapText="1"/>
      <protection/>
    </xf>
    <xf numFmtId="4" fontId="2" fillId="0" borderId="54" xfId="86" applyNumberFormat="1" applyFont="1" applyFill="1" applyBorder="1" applyAlignment="1">
      <alignment vertical="center" wrapText="1"/>
      <protection/>
    </xf>
    <xf numFmtId="210" fontId="2" fillId="0" borderId="0" xfId="0" applyNumberFormat="1" applyFont="1" applyAlignment="1">
      <alignment vertical="center" wrapText="1"/>
    </xf>
    <xf numFmtId="4" fontId="2" fillId="0" borderId="55" xfId="92" applyNumberFormat="1" applyFont="1" applyFill="1" applyBorder="1" applyAlignment="1">
      <alignment vertical="center" wrapText="1"/>
      <protection/>
    </xf>
    <xf numFmtId="4" fontId="7" fillId="0" borderId="13" xfId="92" applyNumberFormat="1" applyFont="1" applyFill="1" applyBorder="1" applyAlignment="1">
      <alignment vertical="center" wrapText="1"/>
      <protection/>
    </xf>
    <xf numFmtId="4" fontId="0" fillId="0" borderId="0" xfId="86" applyNumberFormat="1">
      <alignment/>
      <protection/>
    </xf>
    <xf numFmtId="4" fontId="14" fillId="0" borderId="0" xfId="86" applyNumberFormat="1" applyFont="1">
      <alignment/>
      <protection/>
    </xf>
    <xf numFmtId="0" fontId="14" fillId="0" borderId="0" xfId="86" applyFont="1">
      <alignment/>
      <protection/>
    </xf>
    <xf numFmtId="4" fontId="0" fillId="0" borderId="0" xfId="86" applyNumberFormat="1" applyFill="1" applyBorder="1">
      <alignment/>
      <protection/>
    </xf>
    <xf numFmtId="0" fontId="0" fillId="0" borderId="0" xfId="86" applyFill="1" applyBorder="1">
      <alignment/>
      <protection/>
    </xf>
    <xf numFmtId="0" fontId="0" fillId="0" borderId="0" xfId="86" applyAlignment="1">
      <alignment horizontal="left"/>
      <protection/>
    </xf>
    <xf numFmtId="4" fontId="7" fillId="20" borderId="56" xfId="92" applyNumberFormat="1" applyFont="1" applyFill="1" applyBorder="1" applyAlignment="1">
      <alignment vertical="center" wrapText="1"/>
      <protection/>
    </xf>
    <xf numFmtId="0" fontId="7" fillId="20" borderId="17" xfId="86" applyFont="1" applyFill="1" applyBorder="1" applyAlignment="1">
      <alignment horizontal="center"/>
      <protection/>
    </xf>
    <xf numFmtId="0" fontId="2" fillId="0" borderId="0" xfId="86" applyFont="1">
      <alignment/>
      <protection/>
    </xf>
    <xf numFmtId="0" fontId="7" fillId="20" borderId="19" xfId="86" applyFont="1" applyFill="1" applyBorder="1" applyAlignment="1">
      <alignment horizontal="center"/>
      <protection/>
    </xf>
    <xf numFmtId="169" fontId="2" fillId="24" borderId="57" xfId="0" applyNumberFormat="1" applyFont="1" applyFill="1" applyBorder="1" applyAlignment="1">
      <alignment vertical="center" wrapText="1"/>
    </xf>
    <xf numFmtId="169" fontId="2" fillId="24" borderId="35" xfId="0" applyNumberFormat="1" applyFont="1" applyFill="1" applyBorder="1" applyAlignment="1">
      <alignment vertical="center" wrapText="1"/>
    </xf>
    <xf numFmtId="169" fontId="2" fillId="24" borderId="46" xfId="0" applyNumberFormat="1" applyFont="1" applyFill="1" applyBorder="1" applyAlignment="1">
      <alignment vertical="center" wrapText="1"/>
    </xf>
    <xf numFmtId="0" fontId="7" fillId="20" borderId="49" xfId="86" applyFont="1" applyFill="1" applyBorder="1" applyAlignment="1">
      <alignment horizontal="center" vertical="center" wrapText="1"/>
      <protection/>
    </xf>
    <xf numFmtId="0" fontId="7" fillId="20" borderId="50" xfId="86" applyFont="1" applyFill="1" applyBorder="1" applyAlignment="1">
      <alignment horizontal="center" vertical="center" wrapText="1"/>
      <protection/>
    </xf>
    <xf numFmtId="4" fontId="2" fillId="0" borderId="0" xfId="86" applyNumberFormat="1" applyFont="1" applyFill="1">
      <alignment/>
      <protection/>
    </xf>
    <xf numFmtId="0" fontId="2" fillId="0" borderId="0" xfId="86" applyFont="1" applyFill="1">
      <alignment/>
      <protection/>
    </xf>
    <xf numFmtId="0" fontId="7" fillId="20" borderId="58" xfId="86" applyFont="1" applyFill="1" applyBorder="1" applyAlignment="1">
      <alignment horizontal="center" vertical="center" wrapText="1"/>
      <protection/>
    </xf>
    <xf numFmtId="0" fontId="7" fillId="20" borderId="33" xfId="86" applyFont="1" applyFill="1" applyBorder="1" applyAlignment="1">
      <alignment horizontal="center" vertical="center" wrapText="1"/>
      <protection/>
    </xf>
    <xf numFmtId="4" fontId="2" fillId="0" borderId="0" xfId="86" applyNumberFormat="1" applyFont="1">
      <alignment/>
      <protection/>
    </xf>
    <xf numFmtId="0" fontId="2" fillId="0" borderId="0" xfId="86" applyFont="1">
      <alignment/>
      <protection/>
    </xf>
    <xf numFmtId="4" fontId="7" fillId="20" borderId="59" xfId="92" applyNumberFormat="1" applyFont="1" applyFill="1" applyBorder="1" applyAlignment="1">
      <alignment vertical="center" wrapText="1"/>
      <protection/>
    </xf>
    <xf numFmtId="4" fontId="7" fillId="20" borderId="38" xfId="92" applyNumberFormat="1" applyFont="1" applyFill="1" applyBorder="1" applyAlignment="1">
      <alignment vertical="center" wrapText="1"/>
      <protection/>
    </xf>
    <xf numFmtId="4" fontId="7" fillId="20" borderId="39" xfId="92" applyNumberFormat="1" applyFont="1" applyFill="1" applyBorder="1" applyAlignment="1">
      <alignment vertical="center" wrapText="1"/>
      <protection/>
    </xf>
    <xf numFmtId="3" fontId="7" fillId="0" borderId="0" xfId="86" applyNumberFormat="1" applyFont="1" applyFill="1" applyBorder="1" applyAlignment="1">
      <alignment horizontal="left" vertical="center" wrapText="1"/>
      <protection/>
    </xf>
    <xf numFmtId="4" fontId="7" fillId="0" borderId="0" xfId="92" applyNumberFormat="1" applyFont="1" applyFill="1" applyBorder="1" applyAlignment="1">
      <alignment vertical="center" wrapText="1"/>
      <protection/>
    </xf>
    <xf numFmtId="3" fontId="8" fillId="20" borderId="60" xfId="0" applyNumberFormat="1" applyFont="1" applyFill="1" applyBorder="1" applyAlignment="1">
      <alignment horizontal="center"/>
    </xf>
    <xf numFmtId="0" fontId="10" fillId="20" borderId="16" xfId="86" applyFont="1" applyFill="1" applyBorder="1" applyAlignment="1">
      <alignment horizontal="center"/>
      <protection/>
    </xf>
    <xf numFmtId="0" fontId="10" fillId="20" borderId="17" xfId="86" applyFont="1" applyFill="1" applyBorder="1" applyAlignment="1">
      <alignment horizontal="center"/>
      <protection/>
    </xf>
    <xf numFmtId="0" fontId="12" fillId="0" borderId="0" xfId="86" applyFont="1">
      <alignment/>
      <protection/>
    </xf>
    <xf numFmtId="0" fontId="10" fillId="20" borderId="18" xfId="86" applyFont="1" applyFill="1" applyBorder="1" applyAlignment="1">
      <alignment horizontal="center"/>
      <protection/>
    </xf>
    <xf numFmtId="0" fontId="10" fillId="20" borderId="19" xfId="86" applyFont="1" applyFill="1" applyBorder="1" applyAlignment="1">
      <alignment horizontal="center"/>
      <protection/>
    </xf>
    <xf numFmtId="3" fontId="12" fillId="0" borderId="0" xfId="86" applyNumberFormat="1" applyFont="1">
      <alignment/>
      <protection/>
    </xf>
    <xf numFmtId="4" fontId="12" fillId="0" borderId="54" xfId="86" applyNumberFormat="1" applyFont="1" applyFill="1" applyBorder="1" applyAlignment="1">
      <alignment horizontal="right"/>
      <protection/>
    </xf>
    <xf numFmtId="4" fontId="12" fillId="0" borderId="0" xfId="86" applyNumberFormat="1" applyFont="1">
      <alignment/>
      <protection/>
    </xf>
    <xf numFmtId="190" fontId="12" fillId="0" borderId="0" xfId="86" applyNumberFormat="1" applyFont="1" applyAlignment="1">
      <alignment horizontal="right"/>
      <protection/>
    </xf>
    <xf numFmtId="4" fontId="12" fillId="0" borderId="54" xfId="86" applyNumberFormat="1" applyFont="1" applyFill="1" applyBorder="1">
      <alignment/>
      <protection/>
    </xf>
    <xf numFmtId="3" fontId="12" fillId="0" borderId="0" xfId="86" applyNumberFormat="1" applyFont="1" applyAlignment="1">
      <alignment horizontal="right"/>
      <protection/>
    </xf>
    <xf numFmtId="4" fontId="12" fillId="0" borderId="54" xfId="86" applyNumberFormat="1" applyFont="1" applyBorder="1" applyAlignment="1">
      <alignment horizontal="right"/>
      <protection/>
    </xf>
    <xf numFmtId="4" fontId="12" fillId="0" borderId="61" xfId="86" applyNumberFormat="1" applyFont="1" applyBorder="1">
      <alignment/>
      <protection/>
    </xf>
    <xf numFmtId="4" fontId="12" fillId="0" borderId="54" xfId="86" applyNumberFormat="1" applyFont="1" applyBorder="1">
      <alignment/>
      <protection/>
    </xf>
    <xf numFmtId="4" fontId="35" fillId="0" borderId="56" xfId="86" applyNumberFormat="1" applyFont="1" applyBorder="1">
      <alignment/>
      <protection/>
    </xf>
    <xf numFmtId="4" fontId="35" fillId="0" borderId="44" xfId="86" applyNumberFormat="1" applyFont="1" applyBorder="1">
      <alignment/>
      <protection/>
    </xf>
    <xf numFmtId="4" fontId="35" fillId="0" borderId="37" xfId="86" applyNumberFormat="1" applyFont="1" applyBorder="1">
      <alignment/>
      <protection/>
    </xf>
    <xf numFmtId="4" fontId="35" fillId="0" borderId="62" xfId="86" applyNumberFormat="1" applyFont="1" applyBorder="1">
      <alignment/>
      <protection/>
    </xf>
    <xf numFmtId="4" fontId="12" fillId="0" borderId="15" xfId="86" applyNumberFormat="1" applyFont="1" applyFill="1" applyBorder="1" applyAlignment="1">
      <alignment horizontal="right"/>
      <protection/>
    </xf>
    <xf numFmtId="4" fontId="12" fillId="0" borderId="63" xfId="86" applyNumberFormat="1" applyFont="1" applyFill="1" applyBorder="1" applyAlignment="1">
      <alignment horizontal="right"/>
      <protection/>
    </xf>
    <xf numFmtId="4" fontId="12" fillId="0" borderId="15" xfId="86" applyNumberFormat="1" applyFont="1" applyFill="1" applyBorder="1">
      <alignment/>
      <protection/>
    </xf>
    <xf numFmtId="4" fontId="12" fillId="0" borderId="63" xfId="86" applyNumberFormat="1" applyFont="1" applyBorder="1" applyAlignment="1">
      <alignment horizontal="right"/>
      <protection/>
    </xf>
    <xf numFmtId="4" fontId="35" fillId="20" borderId="37" xfId="86" applyNumberFormat="1" applyFont="1" applyFill="1" applyBorder="1">
      <alignment/>
      <protection/>
    </xf>
    <xf numFmtId="4" fontId="35" fillId="20" borderId="62" xfId="86" applyNumberFormat="1" applyFont="1" applyFill="1" applyBorder="1">
      <alignment/>
      <protection/>
    </xf>
    <xf numFmtId="0" fontId="10" fillId="20" borderId="23" xfId="86" applyFont="1" applyFill="1" applyBorder="1" applyAlignment="1">
      <alignment horizontal="center"/>
      <protection/>
    </xf>
    <xf numFmtId="0" fontId="10" fillId="20" borderId="32" xfId="86" applyFont="1" applyFill="1" applyBorder="1" applyAlignment="1">
      <alignment horizontal="center"/>
      <protection/>
    </xf>
    <xf numFmtId="0" fontId="10" fillId="20" borderId="0" xfId="86" applyFont="1" applyFill="1" applyBorder="1" applyAlignment="1">
      <alignment horizontal="center"/>
      <protection/>
    </xf>
    <xf numFmtId="0" fontId="10" fillId="20" borderId="64" xfId="86" applyFont="1" applyFill="1" applyBorder="1" applyAlignment="1">
      <alignment horizontal="center"/>
      <protection/>
    </xf>
    <xf numFmtId="4" fontId="35" fillId="0" borderId="37" xfId="86" applyNumberFormat="1" applyFont="1" applyBorder="1" applyAlignment="1">
      <alignment/>
      <protection/>
    </xf>
    <xf numFmtId="4" fontId="35" fillId="0" borderId="62" xfId="86" applyNumberFormat="1" applyFont="1" applyBorder="1" applyAlignment="1">
      <alignment/>
      <protection/>
    </xf>
    <xf numFmtId="4" fontId="12" fillId="0" borderId="63" xfId="86" applyNumberFormat="1" applyFont="1" applyFill="1" applyBorder="1">
      <alignment/>
      <protection/>
    </xf>
    <xf numFmtId="4" fontId="8" fillId="0" borderId="53" xfId="86" applyNumberFormat="1" applyFont="1" applyBorder="1">
      <alignment/>
      <protection/>
    </xf>
    <xf numFmtId="4" fontId="2" fillId="0" borderId="54" xfId="86" applyNumberFormat="1" applyFont="1" applyBorder="1">
      <alignment/>
      <protection/>
    </xf>
    <xf numFmtId="4" fontId="8" fillId="0" borderId="44" xfId="86" applyNumberFormat="1" applyFont="1" applyBorder="1">
      <alignment/>
      <protection/>
    </xf>
    <xf numFmtId="0" fontId="7" fillId="20" borderId="23" xfId="86" applyFont="1" applyFill="1" applyBorder="1" applyAlignment="1">
      <alignment horizontal="center"/>
      <protection/>
    </xf>
    <xf numFmtId="0" fontId="7" fillId="20" borderId="32" xfId="86" applyFont="1" applyFill="1" applyBorder="1" applyAlignment="1">
      <alignment horizontal="center"/>
      <protection/>
    </xf>
    <xf numFmtId="4" fontId="2" fillId="0" borderId="65" xfId="86" applyNumberFormat="1" applyFont="1" applyBorder="1">
      <alignment/>
      <protection/>
    </xf>
    <xf numFmtId="4" fontId="2" fillId="0" borderId="66" xfId="86" applyNumberFormat="1" applyFont="1" applyBorder="1">
      <alignment/>
      <protection/>
    </xf>
    <xf numFmtId="4" fontId="8" fillId="0" borderId="67" xfId="86" applyNumberFormat="1" applyFont="1" applyBorder="1">
      <alignment/>
      <protection/>
    </xf>
    <xf numFmtId="4" fontId="35" fillId="0" borderId="68" xfId="86" applyNumberFormat="1" applyFont="1" applyBorder="1">
      <alignment/>
      <protection/>
    </xf>
    <xf numFmtId="4" fontId="35" fillId="0" borderId="53" xfId="86" applyNumberFormat="1" applyFont="1" applyBorder="1">
      <alignment/>
      <protection/>
    </xf>
    <xf numFmtId="4" fontId="12" fillId="0" borderId="55" xfId="86" applyNumberFormat="1" applyFont="1" applyBorder="1">
      <alignment/>
      <protection/>
    </xf>
    <xf numFmtId="4" fontId="12" fillId="0" borderId="15" xfId="86" applyNumberFormat="1" applyFont="1" applyBorder="1">
      <alignment/>
      <protection/>
    </xf>
    <xf numFmtId="0" fontId="38" fillId="0" borderId="51" xfId="0" applyFont="1" applyBorder="1" applyAlignment="1" applyProtection="1">
      <alignment horizontal="right" vertical="center"/>
      <protection locked="0"/>
    </xf>
    <xf numFmtId="0" fontId="38" fillId="0" borderId="54" xfId="0" applyFont="1" applyBorder="1" applyAlignment="1" applyProtection="1">
      <alignment vertical="center"/>
      <protection locked="0"/>
    </xf>
    <xf numFmtId="3" fontId="38" fillId="0" borderId="51" xfId="0" applyNumberFormat="1" applyFont="1" applyBorder="1" applyAlignment="1" applyProtection="1">
      <alignment vertical="center"/>
      <protection/>
    </xf>
    <xf numFmtId="3" fontId="38" fillId="0" borderId="9" xfId="0" applyNumberFormat="1" applyFont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3" fontId="38" fillId="0" borderId="51" xfId="0" applyNumberFormat="1" applyFont="1" applyBorder="1" applyAlignment="1" applyProtection="1">
      <alignment vertical="center"/>
      <protection locked="0"/>
    </xf>
    <xf numFmtId="0" fontId="38" fillId="0" borderId="54" xfId="0" applyFont="1" applyBorder="1" applyAlignment="1" applyProtection="1">
      <alignment horizontal="left" vertical="center"/>
      <protection locked="0"/>
    </xf>
    <xf numFmtId="0" fontId="38" fillId="0" borderId="54" xfId="0" applyFont="1" applyFill="1" applyBorder="1" applyAlignment="1" applyProtection="1">
      <alignment vertical="center"/>
      <protection locked="0"/>
    </xf>
    <xf numFmtId="3" fontId="38" fillId="0" borderId="9" xfId="0" applyNumberFormat="1" applyFont="1" applyBorder="1" applyAlignment="1" applyProtection="1">
      <alignment vertical="center"/>
      <protection/>
    </xf>
    <xf numFmtId="0" fontId="38" fillId="0" borderId="54" xfId="0" applyFont="1" applyFill="1" applyBorder="1" applyAlignment="1" applyProtection="1">
      <alignment vertical="center" wrapText="1"/>
      <protection locked="0"/>
    </xf>
    <xf numFmtId="0" fontId="38" fillId="0" borderId="54" xfId="0" applyFont="1" applyFill="1" applyBorder="1" applyAlignment="1" applyProtection="1">
      <alignment horizontal="left" vertical="center" wrapText="1"/>
      <protection locked="0"/>
    </xf>
    <xf numFmtId="4" fontId="40" fillId="20" borderId="69" xfId="0" applyNumberFormat="1" applyFont="1" applyFill="1" applyBorder="1" applyAlignment="1" applyProtection="1">
      <alignment vertical="center"/>
      <protection locked="0"/>
    </xf>
    <xf numFmtId="4" fontId="40" fillId="20" borderId="38" xfId="0" applyNumberFormat="1" applyFont="1" applyFill="1" applyBorder="1" applyAlignment="1" applyProtection="1">
      <alignment vertical="center"/>
      <protection locked="0"/>
    </xf>
    <xf numFmtId="4" fontId="40" fillId="20" borderId="62" xfId="0" applyNumberFormat="1" applyFont="1" applyFill="1" applyBorder="1" applyAlignment="1" applyProtection="1">
      <alignment vertical="center"/>
      <protection locked="0"/>
    </xf>
    <xf numFmtId="3" fontId="40" fillId="20" borderId="69" xfId="0" applyNumberFormat="1" applyFont="1" applyFill="1" applyBorder="1" applyAlignment="1" applyProtection="1">
      <alignment vertical="center"/>
      <protection locked="0"/>
    </xf>
    <xf numFmtId="3" fontId="40" fillId="20" borderId="38" xfId="0" applyNumberFormat="1" applyFont="1" applyFill="1" applyBorder="1" applyAlignment="1" applyProtection="1">
      <alignment vertical="center"/>
      <protection locked="0"/>
    </xf>
    <xf numFmtId="3" fontId="40" fillId="20" borderId="6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213" fontId="40" fillId="20" borderId="69" xfId="0" applyNumberFormat="1" applyFont="1" applyFill="1" applyBorder="1" applyAlignment="1" applyProtection="1">
      <alignment vertical="center"/>
      <protection locked="0"/>
    </xf>
    <xf numFmtId="207" fontId="40" fillId="20" borderId="58" xfId="0" applyNumberFormat="1" applyFont="1" applyFill="1" applyBorder="1" applyAlignment="1" applyProtection="1">
      <alignment vertical="center"/>
      <protection locked="0"/>
    </xf>
    <xf numFmtId="207" fontId="40" fillId="20" borderId="33" xfId="0" applyNumberFormat="1" applyFont="1" applyFill="1" applyBorder="1" applyAlignment="1" applyProtection="1">
      <alignment vertical="center"/>
      <protection locked="0"/>
    </xf>
    <xf numFmtId="207" fontId="40" fillId="20" borderId="19" xfId="0" applyNumberFormat="1" applyFont="1" applyFill="1" applyBorder="1" applyAlignment="1" applyProtection="1">
      <alignment vertical="center"/>
      <protection locked="0"/>
    </xf>
    <xf numFmtId="213" fontId="40" fillId="20" borderId="58" xfId="0" applyNumberFormat="1" applyFont="1" applyFill="1" applyBorder="1" applyAlignment="1" applyProtection="1">
      <alignment vertical="center"/>
      <protection locked="0"/>
    </xf>
    <xf numFmtId="213" fontId="40" fillId="20" borderId="33" xfId="0" applyNumberFormat="1" applyFont="1" applyFill="1" applyBorder="1" applyAlignment="1" applyProtection="1">
      <alignment vertical="center"/>
      <protection locked="0"/>
    </xf>
    <xf numFmtId="213" fontId="40" fillId="20" borderId="19" xfId="0" applyNumberFormat="1" applyFont="1" applyFill="1" applyBorder="1" applyAlignment="1" applyProtection="1">
      <alignment vertical="center"/>
      <protection locked="0"/>
    </xf>
    <xf numFmtId="4" fontId="43" fillId="0" borderId="53" xfId="84" applyNumberFormat="1" applyFont="1" applyFill="1" applyBorder="1" applyAlignment="1" applyProtection="1">
      <alignment horizontal="right" vertical="center"/>
      <protection locked="0"/>
    </xf>
    <xf numFmtId="4" fontId="43" fillId="0" borderId="54" xfId="84" applyNumberFormat="1" applyFont="1" applyFill="1" applyBorder="1" applyAlignment="1" applyProtection="1">
      <alignment horizontal="right" vertical="center"/>
      <protection locked="0"/>
    </xf>
    <xf numFmtId="4" fontId="44" fillId="0" borderId="54" xfId="84" applyNumberFormat="1" applyFont="1" applyFill="1" applyBorder="1" applyAlignment="1" applyProtection="1">
      <alignment horizontal="right" vertical="center"/>
      <protection locked="0"/>
    </xf>
    <xf numFmtId="4" fontId="43" fillId="0" borderId="63" xfId="84" applyNumberFormat="1" applyFont="1" applyFill="1" applyBorder="1" applyAlignment="1" applyProtection="1">
      <alignment horizontal="right" vertical="center"/>
      <protection locked="0"/>
    </xf>
    <xf numFmtId="4" fontId="41" fillId="0" borderId="53" xfId="0" applyNumberFormat="1" applyFont="1" applyBorder="1" applyAlignment="1" applyProtection="1">
      <alignment vertical="center"/>
      <protection locked="0"/>
    </xf>
    <xf numFmtId="4" fontId="41" fillId="0" borderId="15" xfId="0" applyNumberFormat="1" applyFont="1" applyBorder="1" applyAlignment="1" applyProtection="1">
      <alignment vertical="center"/>
      <protection locked="0"/>
    </xf>
    <xf numFmtId="4" fontId="45" fillId="0" borderId="15" xfId="0" applyNumberFormat="1" applyFont="1" applyBorder="1" applyAlignment="1" applyProtection="1">
      <alignment vertical="center"/>
      <protection locked="0"/>
    </xf>
    <xf numFmtId="4" fontId="41" fillId="0" borderId="64" xfId="0" applyNumberFormat="1" applyFont="1" applyBorder="1" applyAlignment="1" applyProtection="1">
      <alignment vertical="center"/>
      <protection locked="0"/>
    </xf>
    <xf numFmtId="3" fontId="43" fillId="0" borderId="53" xfId="84" applyNumberFormat="1" applyFont="1" applyFill="1" applyBorder="1" applyAlignment="1" applyProtection="1">
      <alignment horizontal="right" vertical="center"/>
      <protection locked="0"/>
    </xf>
    <xf numFmtId="3" fontId="43" fillId="0" borderId="54" xfId="84" applyNumberFormat="1" applyFont="1" applyFill="1" applyBorder="1" applyAlignment="1" applyProtection="1">
      <alignment horizontal="right" vertical="center"/>
      <protection locked="0"/>
    </xf>
    <xf numFmtId="3" fontId="44" fillId="0" borderId="54" xfId="84" applyNumberFormat="1" applyFont="1" applyFill="1" applyBorder="1" applyAlignment="1" applyProtection="1">
      <alignment horizontal="right" vertical="center"/>
      <protection locked="0"/>
    </xf>
    <xf numFmtId="3" fontId="43" fillId="0" borderId="63" xfId="84" applyNumberFormat="1" applyFont="1" applyFill="1" applyBorder="1" applyAlignment="1" applyProtection="1">
      <alignment horizontal="right" vertical="center"/>
      <protection locked="0"/>
    </xf>
    <xf numFmtId="3" fontId="41" fillId="0" borderId="53" xfId="0" applyNumberFormat="1" applyFont="1" applyBorder="1" applyAlignment="1" applyProtection="1">
      <alignment vertical="center"/>
      <protection locked="0"/>
    </xf>
    <xf numFmtId="3" fontId="41" fillId="0" borderId="15" xfId="0" applyNumberFormat="1" applyFont="1" applyBorder="1" applyAlignment="1" applyProtection="1">
      <alignment vertical="center"/>
      <protection locked="0"/>
    </xf>
    <xf numFmtId="3" fontId="45" fillId="0" borderId="15" xfId="0" applyNumberFormat="1" applyFont="1" applyBorder="1" applyAlignment="1" applyProtection="1">
      <alignment vertical="center"/>
      <protection locked="0"/>
    </xf>
    <xf numFmtId="3" fontId="41" fillId="0" borderId="64" xfId="0" applyNumberFormat="1" applyFont="1" applyBorder="1" applyAlignment="1" applyProtection="1">
      <alignment vertical="center"/>
      <protection locked="0"/>
    </xf>
    <xf numFmtId="4" fontId="7" fillId="20" borderId="62" xfId="86" applyNumberFormat="1" applyFont="1" applyFill="1" applyBorder="1" applyAlignment="1">
      <alignment vertical="center"/>
      <protection/>
    </xf>
    <xf numFmtId="0" fontId="2" fillId="0" borderId="0" xfId="86" applyFont="1" applyAlignment="1">
      <alignment vertical="center"/>
      <protection/>
    </xf>
    <xf numFmtId="4" fontId="10" fillId="20" borderId="62" xfId="86" applyNumberFormat="1" applyFont="1" applyFill="1" applyBorder="1" applyAlignment="1">
      <alignment vertical="center"/>
      <protection/>
    </xf>
    <xf numFmtId="0" fontId="12" fillId="0" borderId="0" xfId="86" applyFont="1" applyAlignment="1">
      <alignment vertical="center"/>
      <protection/>
    </xf>
    <xf numFmtId="0" fontId="12" fillId="20" borderId="47" xfId="84" applyFont="1" applyFill="1" applyBorder="1" applyAlignment="1" applyProtection="1">
      <alignment horizontal="center"/>
      <protection locked="0"/>
    </xf>
    <xf numFmtId="0" fontId="12" fillId="20" borderId="48" xfId="84" applyFont="1" applyFill="1" applyBorder="1" applyAlignment="1" applyProtection="1">
      <alignment horizontal="center"/>
      <protection locked="0"/>
    </xf>
    <xf numFmtId="0" fontId="12" fillId="20" borderId="26" xfId="84" applyFont="1" applyFill="1" applyBorder="1" applyAlignment="1" applyProtection="1">
      <alignment horizontal="center"/>
      <protection locked="0"/>
    </xf>
    <xf numFmtId="0" fontId="12" fillId="20" borderId="28" xfId="84" applyFont="1" applyFill="1" applyBorder="1" applyAlignment="1" applyProtection="1">
      <alignment horizontal="center"/>
      <protection locked="0"/>
    </xf>
    <xf numFmtId="0" fontId="12" fillId="0" borderId="14" xfId="89" applyFont="1" applyBorder="1" applyAlignment="1">
      <alignment vertical="center" wrapText="1"/>
      <protection/>
    </xf>
    <xf numFmtId="0" fontId="12" fillId="0" borderId="40" xfId="89" applyFont="1" applyBorder="1" applyAlignment="1">
      <alignment vertical="center" wrapText="1"/>
      <protection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7" fillId="20" borderId="60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38" fillId="0" borderId="40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4" fontId="2" fillId="0" borderId="0" xfId="86" applyNumberFormat="1" applyFont="1" applyAlignment="1">
      <alignment vertical="center" wrapText="1"/>
      <protection/>
    </xf>
    <xf numFmtId="4" fontId="2" fillId="0" borderId="54" xfId="86" applyNumberFormat="1" applyFont="1" applyFill="1" applyBorder="1" applyAlignment="1">
      <alignment horizontal="right" vertical="center" wrapText="1"/>
      <protection/>
    </xf>
    <xf numFmtId="213" fontId="7" fillId="0" borderId="0" xfId="0" applyNumberFormat="1" applyFont="1" applyAlignment="1">
      <alignment/>
    </xf>
    <xf numFmtId="213" fontId="7" fillId="20" borderId="20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Alignment="1">
      <alignment/>
    </xf>
    <xf numFmtId="213" fontId="7" fillId="20" borderId="44" xfId="0" applyNumberFormat="1" applyFont="1" applyFill="1" applyBorder="1" applyAlignment="1">
      <alignment horizontal="center" vertical="center"/>
    </xf>
    <xf numFmtId="213" fontId="7" fillId="20" borderId="41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Alignment="1">
      <alignment vertical="center"/>
    </xf>
    <xf numFmtId="213" fontId="2" fillId="0" borderId="11" xfId="0" applyNumberFormat="1" applyFont="1" applyBorder="1" applyAlignment="1">
      <alignment/>
    </xf>
    <xf numFmtId="213" fontId="2" fillId="0" borderId="15" xfId="0" applyNumberFormat="1" applyFont="1" applyBorder="1" applyAlignment="1">
      <alignment/>
    </xf>
    <xf numFmtId="213" fontId="2" fillId="0" borderId="13" xfId="0" applyNumberFormat="1" applyFont="1" applyBorder="1" applyAlignment="1">
      <alignment/>
    </xf>
    <xf numFmtId="213" fontId="2" fillId="0" borderId="73" xfId="0" applyNumberFormat="1" applyFont="1" applyBorder="1" applyAlignment="1">
      <alignment/>
    </xf>
    <xf numFmtId="213" fontId="2" fillId="0" borderId="51" xfId="0" applyNumberFormat="1" applyFont="1" applyBorder="1" applyAlignment="1">
      <alignment/>
    </xf>
    <xf numFmtId="213" fontId="2" fillId="0" borderId="9" xfId="0" applyNumberFormat="1" applyFont="1" applyBorder="1" applyAlignment="1">
      <alignment/>
    </xf>
    <xf numFmtId="213" fontId="2" fillId="0" borderId="54" xfId="0" applyNumberFormat="1" applyFont="1" applyBorder="1" applyAlignment="1">
      <alignment/>
    </xf>
    <xf numFmtId="213" fontId="2" fillId="0" borderId="71" xfId="0" applyNumberFormat="1" applyFont="1" applyBorder="1" applyAlignment="1">
      <alignment/>
    </xf>
    <xf numFmtId="213" fontId="2" fillId="0" borderId="74" xfId="0" applyNumberFormat="1" applyFont="1" applyBorder="1" applyAlignment="1">
      <alignment/>
    </xf>
    <xf numFmtId="213" fontId="7" fillId="20" borderId="69" xfId="0" applyNumberFormat="1" applyFont="1" applyFill="1" applyBorder="1" applyAlignment="1">
      <alignment/>
    </xf>
    <xf numFmtId="213" fontId="7" fillId="20" borderId="62" xfId="0" applyNumberFormat="1" applyFont="1" applyFill="1" applyBorder="1" applyAlignment="1">
      <alignment/>
    </xf>
    <xf numFmtId="213" fontId="7" fillId="20" borderId="60" xfId="0" applyNumberFormat="1" applyFont="1" applyFill="1" applyBorder="1" applyAlignment="1">
      <alignment/>
    </xf>
    <xf numFmtId="213" fontId="7" fillId="20" borderId="37" xfId="0" applyNumberFormat="1" applyFont="1" applyFill="1" applyBorder="1" applyAlignment="1">
      <alignment/>
    </xf>
    <xf numFmtId="213" fontId="7" fillId="20" borderId="43" xfId="0" applyNumberFormat="1" applyFont="1" applyFill="1" applyBorder="1" applyAlignment="1">
      <alignment horizontal="center"/>
    </xf>
    <xf numFmtId="213" fontId="7" fillId="20" borderId="44" xfId="0" applyNumberFormat="1" applyFont="1" applyFill="1" applyBorder="1" applyAlignment="1">
      <alignment horizontal="center"/>
    </xf>
    <xf numFmtId="213" fontId="2" fillId="0" borderId="55" xfId="0" applyNumberFormat="1" applyFont="1" applyBorder="1" applyAlignment="1">
      <alignment/>
    </xf>
    <xf numFmtId="213" fontId="2" fillId="0" borderId="61" xfId="0" applyNumberFormat="1" applyFont="1" applyBorder="1" applyAlignment="1">
      <alignment/>
    </xf>
    <xf numFmtId="213" fontId="7" fillId="20" borderId="59" xfId="0" applyNumberFormat="1" applyFont="1" applyFill="1" applyBorder="1" applyAlignment="1">
      <alignment/>
    </xf>
    <xf numFmtId="213" fontId="2" fillId="0" borderId="51" xfId="0" applyNumberFormat="1" applyFont="1" applyBorder="1" applyAlignment="1">
      <alignment vertical="center"/>
    </xf>
    <xf numFmtId="213" fontId="2" fillId="0" borderId="61" xfId="0" applyNumberFormat="1" applyFont="1" applyBorder="1" applyAlignment="1">
      <alignment vertical="center"/>
    </xf>
    <xf numFmtId="213" fontId="2" fillId="0" borderId="54" xfId="0" applyNumberFormat="1" applyFont="1" applyBorder="1" applyAlignment="1">
      <alignment vertical="center"/>
    </xf>
    <xf numFmtId="213" fontId="12" fillId="0" borderId="66" xfId="0" applyNumberFormat="1" applyFont="1" applyBorder="1" applyAlignment="1">
      <alignment horizontal="right" vertical="center"/>
    </xf>
    <xf numFmtId="213" fontId="12" fillId="0" borderId="61" xfId="0" applyNumberFormat="1" applyFont="1" applyBorder="1" applyAlignment="1">
      <alignment horizontal="right" vertical="center"/>
    </xf>
    <xf numFmtId="213" fontId="12" fillId="0" borderId="55" xfId="0" applyNumberFormat="1" applyFont="1" applyBorder="1" applyAlignment="1">
      <alignment/>
    </xf>
    <xf numFmtId="213" fontId="12" fillId="0" borderId="53" xfId="0" applyNumberFormat="1" applyFont="1" applyBorder="1" applyAlignment="1">
      <alignment/>
    </xf>
    <xf numFmtId="213" fontId="12" fillId="0" borderId="61" xfId="0" applyNumberFormat="1" applyFont="1" applyBorder="1" applyAlignment="1">
      <alignment/>
    </xf>
    <xf numFmtId="213" fontId="12" fillId="0" borderId="54" xfId="0" applyNumberFormat="1" applyFont="1" applyBorder="1" applyAlignment="1">
      <alignment/>
    </xf>
    <xf numFmtId="213" fontId="12" fillId="0" borderId="61" xfId="0" applyNumberFormat="1" applyFont="1" applyBorder="1" applyAlignment="1">
      <alignment horizontal="right" vertical="center" wrapText="1"/>
    </xf>
    <xf numFmtId="213" fontId="12" fillId="0" borderId="61" xfId="0" applyNumberFormat="1" applyFont="1" applyBorder="1" applyAlignment="1">
      <alignment vertical="center" wrapText="1"/>
    </xf>
    <xf numFmtId="213" fontId="12" fillId="0" borderId="54" xfId="0" applyNumberFormat="1" applyFont="1" applyBorder="1" applyAlignment="1">
      <alignment vertical="center" wrapText="1"/>
    </xf>
    <xf numFmtId="213" fontId="2" fillId="0" borderId="0" xfId="0" applyNumberFormat="1" applyFont="1" applyAlignment="1">
      <alignment vertical="center" wrapText="1"/>
    </xf>
    <xf numFmtId="213" fontId="12" fillId="0" borderId="75" xfId="0" applyNumberFormat="1" applyFont="1" applyBorder="1" applyAlignment="1">
      <alignment/>
    </xf>
    <xf numFmtId="213" fontId="12" fillId="0" borderId="63" xfId="0" applyNumberFormat="1" applyFont="1" applyBorder="1" applyAlignment="1">
      <alignment/>
    </xf>
    <xf numFmtId="213" fontId="12" fillId="0" borderId="74" xfId="0" applyNumberFormat="1" applyFont="1" applyFill="1" applyBorder="1" applyAlignment="1">
      <alignment vertical="center"/>
    </xf>
    <xf numFmtId="213" fontId="12" fillId="0" borderId="52" xfId="0" applyNumberFormat="1" applyFont="1" applyFill="1" applyBorder="1" applyAlignment="1">
      <alignment vertical="center"/>
    </xf>
    <xf numFmtId="213" fontId="10" fillId="20" borderId="69" xfId="0" applyNumberFormat="1" applyFont="1" applyFill="1" applyBorder="1" applyAlignment="1">
      <alignment vertical="center"/>
    </xf>
    <xf numFmtId="213" fontId="10" fillId="20" borderId="59" xfId="0" applyNumberFormat="1" applyFont="1" applyFill="1" applyBorder="1" applyAlignment="1">
      <alignment vertical="center"/>
    </xf>
    <xf numFmtId="213" fontId="10" fillId="20" borderId="62" xfId="0" applyNumberFormat="1" applyFont="1" applyFill="1" applyBorder="1" applyAlignment="1">
      <alignment vertical="center"/>
    </xf>
    <xf numFmtId="213" fontId="7" fillId="20" borderId="56" xfId="0" applyNumberFormat="1" applyFont="1" applyFill="1" applyBorder="1" applyAlignment="1">
      <alignment horizontal="center" vertical="center"/>
    </xf>
    <xf numFmtId="213" fontId="2" fillId="0" borderId="49" xfId="0" applyNumberFormat="1" applyFont="1" applyBorder="1" applyAlignment="1">
      <alignment vertical="center"/>
    </xf>
    <xf numFmtId="213" fontId="2" fillId="0" borderId="50" xfId="0" applyNumberFormat="1" applyFont="1" applyBorder="1" applyAlignment="1">
      <alignment vertical="center"/>
    </xf>
    <xf numFmtId="213" fontId="2" fillId="0" borderId="53" xfId="0" applyNumberFormat="1" applyFont="1" applyBorder="1" applyAlignment="1">
      <alignment vertical="center"/>
    </xf>
    <xf numFmtId="213" fontId="2" fillId="0" borderId="12" xfId="0" applyNumberFormat="1" applyFont="1" applyBorder="1" applyAlignment="1">
      <alignment vertical="center"/>
    </xf>
    <xf numFmtId="213" fontId="2" fillId="0" borderId="74" xfId="0" applyNumberFormat="1" applyFont="1" applyBorder="1" applyAlignment="1">
      <alignment vertical="center"/>
    </xf>
    <xf numFmtId="213" fontId="2" fillId="0" borderId="9" xfId="0" applyNumberFormat="1" applyFont="1" applyBorder="1" applyAlignment="1">
      <alignment vertical="center"/>
    </xf>
    <xf numFmtId="213" fontId="46" fillId="0" borderId="51" xfId="0" applyNumberFormat="1" applyFont="1" applyBorder="1" applyAlignment="1">
      <alignment vertical="center"/>
    </xf>
    <xf numFmtId="213" fontId="46" fillId="0" borderId="9" xfId="0" applyNumberFormat="1" applyFont="1" applyBorder="1" applyAlignment="1">
      <alignment vertical="center"/>
    </xf>
    <xf numFmtId="213" fontId="46" fillId="0" borderId="54" xfId="0" applyNumberFormat="1" applyFont="1" applyBorder="1" applyAlignment="1">
      <alignment vertical="center"/>
    </xf>
    <xf numFmtId="213" fontId="46" fillId="0" borderId="74" xfId="0" applyNumberFormat="1" applyFont="1" applyBorder="1" applyAlignment="1">
      <alignment vertical="center"/>
    </xf>
    <xf numFmtId="213" fontId="2" fillId="0" borderId="42" xfId="0" applyNumberFormat="1" applyFont="1" applyBorder="1" applyAlignment="1">
      <alignment vertical="center"/>
    </xf>
    <xf numFmtId="213" fontId="2" fillId="0" borderId="43" xfId="0" applyNumberFormat="1" applyFont="1" applyBorder="1" applyAlignment="1">
      <alignment vertical="center"/>
    </xf>
    <xf numFmtId="213" fontId="2" fillId="0" borderId="44" xfId="0" applyNumberFormat="1" applyFont="1" applyBorder="1" applyAlignment="1">
      <alignment vertical="center"/>
    </xf>
    <xf numFmtId="213" fontId="2" fillId="0" borderId="76" xfId="0" applyNumberFormat="1" applyFont="1" applyBorder="1" applyAlignment="1">
      <alignment vertical="center"/>
    </xf>
    <xf numFmtId="213" fontId="7" fillId="20" borderId="63" xfId="0" applyNumberFormat="1" applyFont="1" applyFill="1" applyBorder="1" applyAlignment="1">
      <alignment horizontal="center" vertical="center"/>
    </xf>
    <xf numFmtId="214" fontId="7" fillId="20" borderId="42" xfId="0" applyNumberFormat="1" applyFont="1" applyFill="1" applyBorder="1" applyAlignment="1">
      <alignment horizontal="center"/>
    </xf>
    <xf numFmtId="213" fontId="12" fillId="0" borderId="49" xfId="0" applyNumberFormat="1" applyFont="1" applyBorder="1" applyAlignment="1">
      <alignment horizontal="right" vertical="center"/>
    </xf>
    <xf numFmtId="213" fontId="12" fillId="0" borderId="11" xfId="0" applyNumberFormat="1" applyFont="1" applyBorder="1" applyAlignment="1">
      <alignment horizontal="right" vertical="center"/>
    </xf>
    <xf numFmtId="213" fontId="12" fillId="0" borderId="51" xfId="0" applyNumberFormat="1" applyFont="1" applyBorder="1" applyAlignment="1">
      <alignment horizontal="right" vertical="center"/>
    </xf>
    <xf numFmtId="213" fontId="2" fillId="0" borderId="73" xfId="0" applyNumberFormat="1" applyFont="1" applyBorder="1" applyAlignment="1">
      <alignment vertical="center"/>
    </xf>
    <xf numFmtId="213" fontId="12" fillId="0" borderId="53" xfId="0" applyNumberFormat="1" applyFont="1" applyBorder="1" applyAlignment="1">
      <alignment vertical="center" wrapText="1"/>
    </xf>
    <xf numFmtId="213" fontId="12" fillId="0" borderId="0" xfId="0" applyNumberFormat="1" applyFont="1" applyAlignment="1">
      <alignment/>
    </xf>
    <xf numFmtId="213" fontId="12" fillId="0" borderId="55" xfId="0" applyNumberFormat="1" applyFont="1" applyBorder="1" applyAlignment="1">
      <alignment horizontal="right" vertical="center"/>
    </xf>
    <xf numFmtId="213" fontId="12" fillId="0" borderId="50" xfId="0" applyNumberFormat="1" applyFont="1" applyBorder="1" applyAlignment="1">
      <alignment horizontal="right" vertical="center"/>
    </xf>
    <xf numFmtId="213" fontId="12" fillId="0" borderId="12" xfId="0" applyNumberFormat="1" applyFont="1" applyBorder="1" applyAlignment="1">
      <alignment horizontal="right" vertical="center"/>
    </xf>
    <xf numFmtId="213" fontId="12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210" fontId="12" fillId="0" borderId="0" xfId="0" applyNumberFormat="1" applyFont="1" applyAlignment="1">
      <alignment/>
    </xf>
    <xf numFmtId="4" fontId="2" fillId="0" borderId="63" xfId="86" applyNumberFormat="1" applyFont="1" applyBorder="1" applyAlignment="1">
      <alignment vertical="center" wrapText="1"/>
      <protection/>
    </xf>
    <xf numFmtId="4" fontId="7" fillId="20" borderId="62" xfId="86" applyNumberFormat="1" applyFont="1" applyFill="1" applyBorder="1" applyAlignment="1">
      <alignment vertical="center"/>
      <protection/>
    </xf>
    <xf numFmtId="213" fontId="5" fillId="0" borderId="0" xfId="0" applyNumberFormat="1" applyFont="1" applyAlignment="1">
      <alignment horizontal="right"/>
    </xf>
    <xf numFmtId="4" fontId="2" fillId="0" borderId="66" xfId="86" applyNumberFormat="1" applyFont="1" applyFill="1" applyBorder="1" applyAlignment="1">
      <alignment vertical="center" wrapText="1"/>
      <protection/>
    </xf>
    <xf numFmtId="202" fontId="2" fillId="0" borderId="70" xfId="86" applyNumberFormat="1" applyFont="1" applyBorder="1" applyAlignment="1" quotePrefix="1">
      <alignment horizontal="center" vertical="center" wrapText="1"/>
      <protection/>
    </xf>
    <xf numFmtId="202" fontId="2" fillId="0" borderId="70" xfId="86" applyNumberFormat="1" applyFont="1" applyBorder="1" applyAlignment="1">
      <alignment horizontal="center" vertical="center" wrapText="1"/>
      <protection/>
    </xf>
    <xf numFmtId="202" fontId="2" fillId="0" borderId="70" xfId="86" applyNumberFormat="1" applyFont="1" applyFill="1" applyBorder="1" applyAlignment="1">
      <alignment horizontal="center" vertical="center" wrapText="1"/>
      <protection/>
    </xf>
    <xf numFmtId="49" fontId="2" fillId="0" borderId="70" xfId="86" applyNumberFormat="1" applyFont="1" applyBorder="1" applyAlignment="1">
      <alignment horizontal="center" vertical="center" wrapText="1"/>
      <protection/>
    </xf>
    <xf numFmtId="0" fontId="7" fillId="20" borderId="60" xfId="86" applyFont="1" applyFill="1" applyBorder="1" applyAlignment="1">
      <alignment horizontal="center" vertical="center"/>
      <protection/>
    </xf>
    <xf numFmtId="4" fontId="2" fillId="0" borderId="74" xfId="86" applyNumberFormat="1" applyFont="1" applyBorder="1" applyAlignment="1">
      <alignment vertical="center" wrapText="1"/>
      <protection/>
    </xf>
    <xf numFmtId="4" fontId="2" fillId="0" borderId="77" xfId="86" applyNumberFormat="1" applyFont="1" applyBorder="1" applyAlignment="1">
      <alignment vertical="center" wrapText="1"/>
      <protection/>
    </xf>
    <xf numFmtId="4" fontId="7" fillId="20" borderId="78" xfId="86" applyNumberFormat="1" applyFont="1" applyFill="1" applyBorder="1" applyAlignment="1">
      <alignment vertical="center"/>
      <protection/>
    </xf>
    <xf numFmtId="0" fontId="2" fillId="0" borderId="70" xfId="86" applyFont="1" applyBorder="1" applyAlignment="1">
      <alignment vertical="center"/>
      <protection/>
    </xf>
    <xf numFmtId="0" fontId="2" fillId="0" borderId="71" xfId="86" applyFont="1" applyBorder="1" applyAlignment="1">
      <alignment vertical="center" wrapText="1"/>
      <protection/>
    </xf>
    <xf numFmtId="0" fontId="2" fillId="0" borderId="70" xfId="86" applyFont="1" applyBorder="1" applyAlignment="1">
      <alignment vertical="center" wrapText="1"/>
      <protection/>
    </xf>
    <xf numFmtId="0" fontId="7" fillId="20" borderId="60" xfId="86" applyFont="1" applyFill="1" applyBorder="1" applyAlignment="1">
      <alignment vertical="center"/>
      <protection/>
    </xf>
    <xf numFmtId="202" fontId="2" fillId="0" borderId="70" xfId="86" applyNumberFormat="1" applyFont="1" applyBorder="1" applyAlignment="1">
      <alignment horizontal="center" vertical="center"/>
      <protection/>
    </xf>
    <xf numFmtId="213" fontId="12" fillId="0" borderId="49" xfId="0" applyNumberFormat="1" applyFont="1" applyFill="1" applyBorder="1" applyAlignment="1" applyProtection="1">
      <alignment horizontal="right" vertical="center"/>
      <protection locked="0"/>
    </xf>
    <xf numFmtId="213" fontId="12" fillId="0" borderId="51" xfId="0" applyNumberFormat="1" applyFont="1" applyFill="1" applyBorder="1" applyAlignment="1" applyProtection="1">
      <alignment horizontal="right" vertical="center"/>
      <protection locked="0"/>
    </xf>
    <xf numFmtId="213" fontId="38" fillId="0" borderId="51" xfId="0" applyNumberFormat="1" applyFont="1" applyFill="1" applyBorder="1" applyAlignment="1" applyProtection="1">
      <alignment horizontal="right" vertical="center"/>
      <protection locked="0"/>
    </xf>
    <xf numFmtId="213" fontId="12" fillId="0" borderId="52" xfId="0" applyNumberFormat="1" applyFont="1" applyFill="1" applyBorder="1" applyAlignment="1" applyProtection="1">
      <alignment horizontal="right" vertical="center"/>
      <protection locked="0"/>
    </xf>
    <xf numFmtId="213" fontId="40" fillId="20" borderId="69" xfId="0" applyNumberFormat="1" applyFont="1" applyFill="1" applyBorder="1" applyAlignment="1" applyProtection="1">
      <alignment horizontal="right" vertical="center"/>
      <protection locked="0"/>
    </xf>
    <xf numFmtId="213" fontId="12" fillId="0" borderId="49" xfId="0" applyNumberFormat="1" applyFont="1" applyBorder="1" applyAlignment="1" applyProtection="1">
      <alignment vertical="center"/>
      <protection locked="0"/>
    </xf>
    <xf numFmtId="213" fontId="12" fillId="0" borderId="11" xfId="0" applyNumberFormat="1" applyFont="1" applyBorder="1" applyAlignment="1" applyProtection="1">
      <alignment vertical="center"/>
      <protection locked="0"/>
    </xf>
    <xf numFmtId="213" fontId="38" fillId="0" borderId="11" xfId="0" applyNumberFormat="1" applyFont="1" applyBorder="1" applyAlignment="1" applyProtection="1">
      <alignment vertical="center"/>
      <protection locked="0"/>
    </xf>
    <xf numFmtId="213" fontId="12" fillId="0" borderId="79" xfId="0" applyNumberFormat="1" applyFont="1" applyBorder="1" applyAlignment="1" applyProtection="1">
      <alignment vertical="center"/>
      <protection locked="0"/>
    </xf>
    <xf numFmtId="4" fontId="8" fillId="0" borderId="65" xfId="86" applyNumberFormat="1" applyFont="1" applyBorder="1">
      <alignment/>
      <protection/>
    </xf>
    <xf numFmtId="4" fontId="12" fillId="0" borderId="62" xfId="0" applyNumberFormat="1" applyFont="1" applyBorder="1" applyAlignment="1">
      <alignment/>
    </xf>
    <xf numFmtId="0" fontId="2" fillId="0" borderId="27" xfId="86" applyFont="1" applyBorder="1" applyAlignment="1">
      <alignment vertical="center"/>
      <protection/>
    </xf>
    <xf numFmtId="49" fontId="2" fillId="0" borderId="27" xfId="86" applyNumberFormat="1" applyFont="1" applyBorder="1" applyAlignment="1">
      <alignment horizontal="center" vertical="center"/>
      <protection/>
    </xf>
    <xf numFmtId="4" fontId="2" fillId="0" borderId="15" xfId="86" applyNumberFormat="1" applyFont="1" applyBorder="1" applyAlignment="1">
      <alignment vertical="center" wrapText="1"/>
      <protection/>
    </xf>
    <xf numFmtId="4" fontId="10" fillId="20" borderId="78" xfId="86" applyNumberFormat="1" applyFont="1" applyFill="1" applyBorder="1" applyAlignment="1">
      <alignment vertical="center"/>
      <protection/>
    </xf>
    <xf numFmtId="0" fontId="10" fillId="20" borderId="60" xfId="86" applyFont="1" applyFill="1" applyBorder="1" applyAlignment="1">
      <alignment horizontal="center" vertical="center"/>
      <protection/>
    </xf>
    <xf numFmtId="49" fontId="2" fillId="0" borderId="70" xfId="86" applyNumberFormat="1" applyFont="1" applyFill="1" applyBorder="1" applyAlignment="1">
      <alignment horizontal="center" vertical="center" wrapText="1"/>
      <protection/>
    </xf>
    <xf numFmtId="4" fontId="12" fillId="0" borderId="37" xfId="0" applyNumberFormat="1" applyFont="1" applyBorder="1" applyAlignment="1">
      <alignment/>
    </xf>
    <xf numFmtId="0" fontId="12" fillId="0" borderId="26" xfId="89" applyFont="1" applyBorder="1" applyAlignment="1">
      <alignment vertical="center" wrapText="1"/>
      <protection/>
    </xf>
    <xf numFmtId="213" fontId="2" fillId="0" borderId="79" xfId="0" applyNumberFormat="1" applyFont="1" applyBorder="1" applyAlignment="1">
      <alignment/>
    </xf>
    <xf numFmtId="213" fontId="2" fillId="0" borderId="80" xfId="0" applyNumberFormat="1" applyFont="1" applyBorder="1" applyAlignment="1">
      <alignment/>
    </xf>
    <xf numFmtId="213" fontId="2" fillId="0" borderId="64" xfId="0" applyNumberFormat="1" applyFont="1" applyBorder="1" applyAlignment="1">
      <alignment/>
    </xf>
    <xf numFmtId="4" fontId="2" fillId="0" borderId="0" xfId="86" applyNumberFormat="1" applyFont="1" applyAlignment="1">
      <alignment vertical="center" wrapText="1"/>
      <protection/>
    </xf>
    <xf numFmtId="0" fontId="2" fillId="0" borderId="0" xfId="86" applyFont="1" applyAlignment="1">
      <alignment vertical="center" wrapText="1"/>
      <protection/>
    </xf>
    <xf numFmtId="213" fontId="40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217" fontId="2" fillId="0" borderId="0" xfId="0" applyNumberFormat="1" applyFont="1" applyAlignment="1">
      <alignment/>
    </xf>
    <xf numFmtId="190" fontId="12" fillId="0" borderId="0" xfId="86" applyNumberFormat="1" applyFont="1">
      <alignment/>
      <protection/>
    </xf>
    <xf numFmtId="4" fontId="2" fillId="0" borderId="49" xfId="84" applyNumberFormat="1" applyFont="1" applyFill="1" applyBorder="1" applyAlignment="1" applyProtection="1">
      <alignment horizontal="right"/>
      <protection locked="0"/>
    </xf>
    <xf numFmtId="4" fontId="2" fillId="0" borderId="50" xfId="84" applyNumberFormat="1" applyFont="1" applyFill="1" applyBorder="1" applyAlignment="1" applyProtection="1">
      <alignment horizontal="right"/>
      <protection locked="0"/>
    </xf>
    <xf numFmtId="4" fontId="12" fillId="0" borderId="40" xfId="87" applyNumberFormat="1" applyFont="1" applyBorder="1" applyProtection="1">
      <alignment/>
      <protection locked="0"/>
    </xf>
    <xf numFmtId="4" fontId="12" fillId="0" borderId="9" xfId="87" applyNumberFormat="1" applyFont="1" applyBorder="1" applyProtection="1">
      <alignment/>
      <protection locked="0"/>
    </xf>
    <xf numFmtId="0" fontId="12" fillId="0" borderId="54" xfId="87" applyFont="1" applyBorder="1" applyProtection="1">
      <alignment/>
      <protection locked="0"/>
    </xf>
    <xf numFmtId="4" fontId="12" fillId="0" borderId="51" xfId="87" applyNumberFormat="1" applyFont="1" applyBorder="1" applyProtection="1">
      <alignment/>
      <protection/>
    </xf>
    <xf numFmtId="4" fontId="12" fillId="0" borderId="51" xfId="87" applyNumberFormat="1" applyFont="1" applyBorder="1" applyProtection="1">
      <alignment/>
      <protection locked="0"/>
    </xf>
    <xf numFmtId="0" fontId="12" fillId="0" borderId="54" xfId="87" applyFont="1" applyBorder="1" applyAlignment="1" applyProtection="1">
      <alignment horizontal="left"/>
      <protection locked="0"/>
    </xf>
    <xf numFmtId="0" fontId="12" fillId="0" borderId="51" xfId="87" applyFont="1" applyBorder="1" applyAlignment="1" applyProtection="1">
      <alignment horizontal="right"/>
      <protection locked="0"/>
    </xf>
    <xf numFmtId="4" fontId="12" fillId="0" borderId="52" xfId="87" applyNumberFormat="1" applyFont="1" applyBorder="1" applyProtection="1">
      <alignment/>
      <protection locked="0"/>
    </xf>
    <xf numFmtId="4" fontId="12" fillId="0" borderId="48" xfId="87" applyNumberFormat="1" applyFont="1" applyBorder="1" applyProtection="1">
      <alignment/>
      <protection locked="0"/>
    </xf>
    <xf numFmtId="3" fontId="13" fillId="0" borderId="40" xfId="92" applyFont="1" applyFill="1" applyBorder="1" applyAlignment="1">
      <alignment vertical="center" wrapText="1"/>
      <protection/>
    </xf>
    <xf numFmtId="3" fontId="13" fillId="0" borderId="35" xfId="92" applyFont="1" applyFill="1" applyBorder="1" applyAlignment="1">
      <alignment vertical="center" wrapText="1"/>
      <protection/>
    </xf>
    <xf numFmtId="4" fontId="12" fillId="0" borderId="49" xfId="87" applyNumberFormat="1" applyFont="1" applyBorder="1" applyProtection="1">
      <alignment/>
      <protection locked="0"/>
    </xf>
    <xf numFmtId="4" fontId="12" fillId="0" borderId="50" xfId="87" applyNumberFormat="1" applyFont="1" applyBorder="1" applyProtection="1">
      <alignment/>
      <protection locked="0"/>
    </xf>
    <xf numFmtId="0" fontId="12" fillId="0" borderId="54" xfId="87" applyFont="1" applyFill="1" applyBorder="1" applyAlignment="1" applyProtection="1">
      <alignment/>
      <protection locked="0"/>
    </xf>
    <xf numFmtId="4" fontId="12" fillId="0" borderId="40" xfId="87" applyNumberFormat="1" applyFont="1" applyBorder="1" applyProtection="1">
      <alignment/>
      <protection/>
    </xf>
    <xf numFmtId="4" fontId="12" fillId="0" borderId="9" xfId="87" applyNumberFormat="1" applyFont="1" applyBorder="1" applyProtection="1">
      <alignment/>
      <protection/>
    </xf>
    <xf numFmtId="0" fontId="12" fillId="0" borderId="54" xfId="87" applyFont="1" applyFill="1" applyBorder="1" applyAlignment="1" applyProtection="1">
      <alignment vertical="center" wrapText="1"/>
      <protection locked="0"/>
    </xf>
    <xf numFmtId="0" fontId="12" fillId="0" borderId="54" xfId="87" applyFont="1" applyFill="1" applyBorder="1" applyAlignment="1" applyProtection="1">
      <alignment horizontal="left" vertical="center" wrapText="1"/>
      <protection locked="0"/>
    </xf>
    <xf numFmtId="4" fontId="2" fillId="0" borderId="61" xfId="86" applyNumberFormat="1" applyFont="1" applyBorder="1" applyAlignment="1">
      <alignment horizontal="right" vertical="center"/>
      <protection/>
    </xf>
    <xf numFmtId="4" fontId="2" fillId="0" borderId="61" xfId="86" applyNumberFormat="1" applyFont="1" applyBorder="1" applyAlignment="1">
      <alignment vertical="center"/>
      <protection/>
    </xf>
    <xf numFmtId="4" fontId="2" fillId="0" borderId="61" xfId="86" applyNumberFormat="1" applyFont="1" applyFill="1" applyBorder="1" applyAlignment="1">
      <alignment vertical="center" wrapText="1"/>
      <protection/>
    </xf>
    <xf numFmtId="4" fontId="2" fillId="0" borderId="61" xfId="86" applyNumberFormat="1" applyFont="1" applyFill="1" applyBorder="1" applyAlignment="1">
      <alignment vertical="center"/>
      <protection/>
    </xf>
    <xf numFmtId="202" fontId="2" fillId="0" borderId="81" xfId="86" applyNumberFormat="1" applyFont="1" applyBorder="1" applyAlignment="1" quotePrefix="1">
      <alignment horizontal="center" vertical="center"/>
      <protection/>
    </xf>
    <xf numFmtId="49" fontId="2" fillId="0" borderId="81" xfId="86" applyNumberFormat="1" applyFont="1" applyBorder="1" applyAlignment="1">
      <alignment horizontal="center" vertical="center"/>
      <protection/>
    </xf>
    <xf numFmtId="202" fontId="2" fillId="0" borderId="81" xfId="86" applyNumberFormat="1" applyFont="1" applyBorder="1" applyAlignment="1">
      <alignment horizontal="center" vertical="center"/>
      <protection/>
    </xf>
    <xf numFmtId="4" fontId="2" fillId="0" borderId="49" xfId="86" applyNumberFormat="1" applyFont="1" applyBorder="1" applyAlignment="1">
      <alignment horizontal="right" vertical="center"/>
      <protection/>
    </xf>
    <xf numFmtId="4" fontId="2" fillId="0" borderId="51" xfId="86" applyNumberFormat="1" applyFont="1" applyBorder="1" applyAlignment="1">
      <alignment horizontal="right" vertical="center"/>
      <protection/>
    </xf>
    <xf numFmtId="4" fontId="2" fillId="0" borderId="51" xfId="86" applyNumberFormat="1" applyFont="1" applyBorder="1" applyAlignment="1">
      <alignment vertical="center"/>
      <protection/>
    </xf>
    <xf numFmtId="4" fontId="2" fillId="0" borderId="51" xfId="86" applyNumberFormat="1" applyFont="1" applyFill="1" applyBorder="1" applyAlignment="1">
      <alignment vertical="center"/>
      <protection/>
    </xf>
    <xf numFmtId="4" fontId="2" fillId="0" borderId="61" xfId="86" applyNumberFormat="1" applyFont="1" applyFill="1" applyBorder="1">
      <alignment/>
      <protection/>
    </xf>
    <xf numFmtId="4" fontId="2" fillId="0" borderId="61" xfId="86" applyNumberFormat="1" applyFont="1" applyBorder="1" applyAlignment="1">
      <alignment horizontal="right"/>
      <protection/>
    </xf>
    <xf numFmtId="4" fontId="2" fillId="0" borderId="61" xfId="86" applyNumberFormat="1" applyFont="1" applyBorder="1">
      <alignment/>
      <protection/>
    </xf>
    <xf numFmtId="4" fontId="2" fillId="0" borderId="61" xfId="86" applyNumberFormat="1" applyFont="1" applyFill="1" applyBorder="1" applyAlignment="1">
      <alignment horizontal="right"/>
      <protection/>
    </xf>
    <xf numFmtId="3" fontId="2" fillId="0" borderId="49" xfId="84" applyNumberFormat="1" applyFont="1" applyFill="1" applyBorder="1" applyAlignment="1" applyProtection="1">
      <alignment horizontal="right"/>
      <protection locked="0"/>
    </xf>
    <xf numFmtId="3" fontId="12" fillId="0" borderId="82" xfId="88" applyNumberFormat="1" applyFont="1" applyFill="1" applyBorder="1" applyProtection="1">
      <alignment/>
      <protection locked="0"/>
    </xf>
    <xf numFmtId="3" fontId="12" fillId="0" borderId="51" xfId="88" applyNumberFormat="1" applyFont="1" applyFill="1" applyBorder="1" applyProtection="1">
      <alignment/>
      <protection/>
    </xf>
    <xf numFmtId="3" fontId="12" fillId="0" borderId="51" xfId="88" applyNumberFormat="1" applyFont="1" applyFill="1" applyBorder="1" applyProtection="1">
      <alignment/>
      <protection locked="0"/>
    </xf>
    <xf numFmtId="3" fontId="12" fillId="0" borderId="51" xfId="88" applyNumberFormat="1" applyFont="1" applyFill="1" applyBorder="1" applyProtection="1">
      <alignment/>
      <protection locked="0"/>
    </xf>
    <xf numFmtId="3" fontId="12" fillId="0" borderId="9" xfId="88" applyNumberFormat="1" applyFont="1" applyFill="1" applyBorder="1" applyProtection="1">
      <alignment/>
      <protection locked="0"/>
    </xf>
    <xf numFmtId="3" fontId="12" fillId="0" borderId="9" xfId="88" applyNumberFormat="1" applyFont="1" applyFill="1" applyBorder="1" applyProtection="1">
      <alignment/>
      <protection locked="0"/>
    </xf>
    <xf numFmtId="3" fontId="12" fillId="0" borderId="51" xfId="88" applyNumberFormat="1" applyFont="1" applyFill="1" applyBorder="1" applyProtection="1">
      <alignment/>
      <protection/>
    </xf>
    <xf numFmtId="3" fontId="12" fillId="0" borderId="83" xfId="88" applyNumberFormat="1" applyFont="1" applyFill="1" applyBorder="1" applyProtection="1">
      <alignment/>
      <protection locked="0"/>
    </xf>
    <xf numFmtId="3" fontId="2" fillId="0" borderId="50" xfId="84" applyNumberFormat="1" applyFont="1" applyFill="1" applyBorder="1" applyAlignment="1" applyProtection="1">
      <alignment horizontal="right"/>
      <protection locked="0"/>
    </xf>
    <xf numFmtId="3" fontId="12" fillId="0" borderId="84" xfId="88" applyNumberFormat="1" applyFont="1" applyFill="1" applyBorder="1" applyProtection="1">
      <alignment/>
      <protection locked="0"/>
    </xf>
    <xf numFmtId="3" fontId="12" fillId="0" borderId="85" xfId="88" applyNumberFormat="1" applyFont="1" applyFill="1" applyBorder="1" applyProtection="1">
      <alignment/>
      <protection locked="0"/>
    </xf>
    <xf numFmtId="3" fontId="12" fillId="0" borderId="82" xfId="88" applyNumberFormat="1" applyFont="1" applyFill="1" applyBorder="1" applyProtection="1">
      <alignment/>
      <protection/>
    </xf>
    <xf numFmtId="3" fontId="12" fillId="0" borderId="9" xfId="88" applyNumberFormat="1" applyFont="1" applyFill="1" applyBorder="1" applyProtection="1">
      <alignment/>
      <protection/>
    </xf>
    <xf numFmtId="3" fontId="12" fillId="0" borderId="9" xfId="88" applyNumberFormat="1" applyFont="1" applyFill="1" applyBorder="1" applyProtection="1">
      <alignment/>
      <protection/>
    </xf>
    <xf numFmtId="3" fontId="12" fillId="0" borderId="83" xfId="88" applyNumberFormat="1" applyFont="1" applyFill="1" applyBorder="1" applyProtection="1">
      <alignment/>
      <protection locked="0"/>
    </xf>
    <xf numFmtId="3" fontId="12" fillId="0" borderId="84" xfId="88" applyNumberFormat="1" applyFont="1" applyFill="1" applyBorder="1" applyProtection="1">
      <alignment/>
      <protection locked="0"/>
    </xf>
    <xf numFmtId="4" fontId="2" fillId="0" borderId="86" xfId="86" applyNumberFormat="1" applyFont="1" applyBorder="1" applyAlignment="1">
      <alignment horizontal="right" vertical="center"/>
      <protection/>
    </xf>
    <xf numFmtId="4" fontId="2" fillId="0" borderId="86" xfId="86" applyNumberFormat="1" applyFont="1" applyBorder="1" applyAlignment="1">
      <alignment vertical="center"/>
      <protection/>
    </xf>
    <xf numFmtId="4" fontId="2" fillId="0" borderId="9" xfId="86" applyNumberFormat="1" applyFont="1" applyBorder="1" applyAlignment="1">
      <alignment vertical="center"/>
      <protection/>
    </xf>
    <xf numFmtId="4" fontId="2" fillId="0" borderId="86" xfId="86" applyNumberFormat="1" applyFont="1" applyFill="1" applyBorder="1" applyAlignment="1">
      <alignment vertical="center"/>
      <protection/>
    </xf>
    <xf numFmtId="4" fontId="12" fillId="0" borderId="9" xfId="88" applyNumberFormat="1" applyFont="1" applyBorder="1">
      <alignment/>
      <protection/>
    </xf>
    <xf numFmtId="0" fontId="49" fillId="0" borderId="0" xfId="86" applyFont="1" applyAlignment="1">
      <alignment horizontal="left"/>
      <protection/>
    </xf>
    <xf numFmtId="4" fontId="2" fillId="0" borderId="9" xfId="86" applyNumberFormat="1" applyFont="1" applyFill="1" applyBorder="1" applyAlignment="1">
      <alignment horizontal="right"/>
      <protection/>
    </xf>
    <xf numFmtId="4" fontId="2" fillId="0" borderId="9" xfId="86" applyNumberFormat="1" applyFont="1" applyFill="1" applyBorder="1">
      <alignment/>
      <protection/>
    </xf>
    <xf numFmtId="4" fontId="2" fillId="0" borderId="9" xfId="86" applyNumberFormat="1" applyFont="1" applyBorder="1" applyAlignment="1">
      <alignment horizontal="right"/>
      <protection/>
    </xf>
    <xf numFmtId="4" fontId="2" fillId="0" borderId="9" xfId="86" applyNumberFormat="1" applyFont="1" applyBorder="1">
      <alignment/>
      <protection/>
    </xf>
    <xf numFmtId="4" fontId="12" fillId="0" borderId="9" xfId="88" applyNumberFormat="1" applyFont="1" applyFill="1" applyBorder="1">
      <alignment/>
      <protection/>
    </xf>
    <xf numFmtId="0" fontId="0" fillId="0" borderId="0" xfId="0" applyFont="1" applyAlignment="1">
      <alignment/>
    </xf>
    <xf numFmtId="3" fontId="2" fillId="0" borderId="35" xfId="92" applyFont="1" applyFill="1" applyBorder="1" applyAlignment="1">
      <alignment horizontal="left" vertical="center" wrapText="1"/>
      <protection/>
    </xf>
    <xf numFmtId="0" fontId="0" fillId="0" borderId="0" xfId="86" applyFont="1" applyAlignment="1">
      <alignment horizontal="left"/>
      <protection/>
    </xf>
    <xf numFmtId="3" fontId="2" fillId="0" borderId="40" xfId="92" applyFont="1" applyFill="1" applyBorder="1" applyAlignment="1">
      <alignment vertical="center" wrapText="1"/>
      <protection/>
    </xf>
    <xf numFmtId="3" fontId="2" fillId="0" borderId="35" xfId="92" applyFont="1" applyFill="1" applyBorder="1" applyAlignment="1">
      <alignment vertical="center" wrapText="1"/>
      <protection/>
    </xf>
    <xf numFmtId="0" fontId="7" fillId="0" borderId="26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3" fontId="12" fillId="0" borderId="71" xfId="0" applyNumberFormat="1" applyFont="1" applyBorder="1" applyAlignment="1">
      <alignment horizontal="center"/>
    </xf>
    <xf numFmtId="169" fontId="12" fillId="0" borderId="66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7" fillId="20" borderId="60" xfId="0" applyNumberFormat="1" applyFont="1" applyFill="1" applyBorder="1" applyAlignment="1">
      <alignment horizontal="center"/>
    </xf>
    <xf numFmtId="3" fontId="7" fillId="20" borderId="38" xfId="0" applyNumberFormat="1" applyFont="1" applyFill="1" applyBorder="1" applyAlignment="1">
      <alignment/>
    </xf>
    <xf numFmtId="3" fontId="7" fillId="20" borderId="39" xfId="0" applyNumberFormat="1" applyFont="1" applyFill="1" applyBorder="1" applyAlignment="1">
      <alignment/>
    </xf>
    <xf numFmtId="3" fontId="13" fillId="0" borderId="35" xfId="92" applyFont="1" applyFill="1" applyBorder="1" applyAlignment="1">
      <alignment horizontal="center" vertical="center" wrapText="1"/>
      <protection/>
    </xf>
    <xf numFmtId="3" fontId="2" fillId="0" borderId="14" xfId="92" applyFont="1" applyFill="1" applyBorder="1" applyAlignment="1">
      <alignment vertical="center" wrapText="1"/>
      <protection/>
    </xf>
    <xf numFmtId="3" fontId="2" fillId="0" borderId="87" xfId="92" applyFont="1" applyFill="1" applyBorder="1" applyAlignment="1">
      <alignment vertical="center" wrapText="1"/>
      <protection/>
    </xf>
    <xf numFmtId="214" fontId="7" fillId="20" borderId="52" xfId="0" applyNumberFormat="1" applyFont="1" applyFill="1" applyBorder="1" applyAlignment="1">
      <alignment horizontal="center"/>
    </xf>
    <xf numFmtId="213" fontId="7" fillId="20" borderId="48" xfId="0" applyNumberFormat="1" applyFont="1" applyFill="1" applyBorder="1" applyAlignment="1">
      <alignment horizontal="center"/>
    </xf>
    <xf numFmtId="213" fontId="7" fillId="20" borderId="63" xfId="0" applyNumberFormat="1" applyFont="1" applyFill="1" applyBorder="1" applyAlignment="1">
      <alignment horizontal="center"/>
    </xf>
    <xf numFmtId="0" fontId="7" fillId="20" borderId="30" xfId="0" applyFont="1" applyFill="1" applyBorder="1" applyAlignment="1">
      <alignment/>
    </xf>
    <xf numFmtId="213" fontId="7" fillId="20" borderId="58" xfId="0" applyNumberFormat="1" applyFont="1" applyFill="1" applyBorder="1" applyAlignment="1">
      <alignment/>
    </xf>
    <xf numFmtId="213" fontId="7" fillId="20" borderId="33" xfId="0" applyNumberFormat="1" applyFont="1" applyFill="1" applyBorder="1" applyAlignment="1">
      <alignment/>
    </xf>
    <xf numFmtId="213" fontId="7" fillId="20" borderId="19" xfId="0" applyNumberFormat="1" applyFont="1" applyFill="1" applyBorder="1" applyAlignment="1">
      <alignment/>
    </xf>
    <xf numFmtId="213" fontId="7" fillId="20" borderId="18" xfId="0" applyNumberFormat="1" applyFont="1" applyFill="1" applyBorder="1" applyAlignment="1">
      <alignment/>
    </xf>
    <xf numFmtId="213" fontId="2" fillId="0" borderId="44" xfId="0" applyNumberFormat="1" applyFont="1" applyBorder="1" applyAlignment="1">
      <alignment/>
    </xf>
    <xf numFmtId="214" fontId="7" fillId="20" borderId="77" xfId="0" applyNumberFormat="1" applyFont="1" applyFill="1" applyBorder="1" applyAlignment="1">
      <alignment horizontal="center"/>
    </xf>
    <xf numFmtId="213" fontId="7" fillId="20" borderId="88" xfId="0" applyNumberFormat="1" applyFont="1" applyFill="1" applyBorder="1" applyAlignment="1">
      <alignment/>
    </xf>
    <xf numFmtId="0" fontId="2" fillId="0" borderId="71" xfId="0" applyFont="1" applyBorder="1" applyAlignment="1">
      <alignment/>
    </xf>
    <xf numFmtId="0" fontId="7" fillId="20" borderId="31" xfId="0" applyFont="1" applyFill="1" applyBorder="1" applyAlignment="1">
      <alignment/>
    </xf>
    <xf numFmtId="0" fontId="2" fillId="0" borderId="22" xfId="0" applyFont="1" applyBorder="1" applyAlignment="1">
      <alignment vertical="center" wrapText="1"/>
    </xf>
    <xf numFmtId="169" fontId="2" fillId="0" borderId="74" xfId="86" applyNumberFormat="1" applyFont="1" applyBorder="1" applyAlignment="1">
      <alignment vertical="center" wrapText="1"/>
      <protection/>
    </xf>
    <xf numFmtId="169" fontId="7" fillId="20" borderId="78" xfId="86" applyNumberFormat="1" applyFont="1" applyFill="1" applyBorder="1" applyAlignment="1">
      <alignment vertical="center"/>
      <protection/>
    </xf>
    <xf numFmtId="4" fontId="2" fillId="24" borderId="57" xfId="0" applyNumberFormat="1" applyFont="1" applyFill="1" applyBorder="1" applyAlignment="1">
      <alignment vertical="center" wrapText="1"/>
    </xf>
    <xf numFmtId="4" fontId="2" fillId="24" borderId="35" xfId="0" applyNumberFormat="1" applyFont="1" applyFill="1" applyBorder="1" applyAlignment="1">
      <alignment vertical="center" wrapText="1"/>
    </xf>
    <xf numFmtId="4" fontId="2" fillId="24" borderId="46" xfId="0" applyNumberFormat="1" applyFont="1" applyFill="1" applyBorder="1" applyAlignment="1">
      <alignment vertical="center" wrapText="1"/>
    </xf>
    <xf numFmtId="4" fontId="13" fillId="0" borderId="55" xfId="92" applyNumberFormat="1" applyFont="1" applyFill="1" applyBorder="1" applyAlignment="1">
      <alignment vertical="center" wrapText="1"/>
      <protection/>
    </xf>
    <xf numFmtId="4" fontId="13" fillId="0" borderId="14" xfId="92" applyNumberFormat="1" applyFont="1" applyFill="1" applyBorder="1" applyAlignment="1">
      <alignment horizontal="right" vertical="center" wrapText="1"/>
      <protection/>
    </xf>
    <xf numFmtId="0" fontId="7" fillId="20" borderId="36" xfId="0" applyFont="1" applyFill="1" applyBorder="1" applyAlignment="1">
      <alignment horizontal="center"/>
    </xf>
    <xf numFmtId="169" fontId="12" fillId="0" borderId="26" xfId="0" applyNumberFormat="1" applyFont="1" applyBorder="1" applyAlignment="1">
      <alignment horizontal="center"/>
    </xf>
    <xf numFmtId="169" fontId="12" fillId="0" borderId="40" xfId="0" applyNumberFormat="1" applyFont="1" applyBorder="1" applyAlignment="1">
      <alignment horizontal="center"/>
    </xf>
    <xf numFmtId="3" fontId="2" fillId="0" borderId="40" xfId="92" applyFont="1" applyFill="1" applyBorder="1" applyAlignment="1">
      <alignment horizontal="left" vertical="center" wrapText="1"/>
      <protection/>
    </xf>
    <xf numFmtId="4" fontId="2" fillId="0" borderId="51" xfId="86" applyNumberFormat="1" applyFont="1" applyFill="1" applyBorder="1" applyAlignment="1">
      <alignment horizontal="right" vertical="center"/>
      <protection/>
    </xf>
    <xf numFmtId="4" fontId="2" fillId="23" borderId="20" xfId="92" applyNumberFormat="1" applyFont="1" applyFill="1" applyBorder="1" applyAlignment="1">
      <alignment horizontal="right" vertical="center" wrapText="1"/>
      <protection/>
    </xf>
    <xf numFmtId="4" fontId="2" fillId="23" borderId="13" xfId="92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210" fontId="6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1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10" fontId="5" fillId="0" borderId="0" xfId="0" applyNumberFormat="1" applyFont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54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66" xfId="0" applyNumberFormat="1" applyFont="1" applyBorder="1" applyAlignment="1">
      <alignment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1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210" fontId="7" fillId="0" borderId="0" xfId="0" applyNumberFormat="1" applyFont="1" applyAlignment="1">
      <alignment vertical="center" wrapText="1"/>
    </xf>
    <xf numFmtId="210" fontId="2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207" fontId="2" fillId="0" borderId="9" xfId="0" applyNumberFormat="1" applyFont="1" applyBorder="1" applyAlignment="1">
      <alignment vertical="center" wrapText="1"/>
    </xf>
    <xf numFmtId="207" fontId="7" fillId="0" borderId="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4" fontId="7" fillId="0" borderId="43" xfId="0" applyNumberFormat="1" applyFont="1" applyBorder="1" applyAlignment="1">
      <alignment vertical="center" wrapText="1"/>
    </xf>
    <xf numFmtId="3" fontId="7" fillId="0" borderId="44" xfId="0" applyNumberFormat="1" applyFont="1" applyBorder="1" applyAlignment="1">
      <alignment vertical="center" wrapText="1"/>
    </xf>
    <xf numFmtId="3" fontId="2" fillId="0" borderId="72" xfId="92" applyFont="1" applyFill="1" applyBorder="1" applyAlignment="1">
      <alignment vertical="center"/>
      <protection/>
    </xf>
    <xf numFmtId="3" fontId="2" fillId="0" borderId="57" xfId="92" applyFont="1" applyFill="1" applyBorder="1" applyAlignment="1">
      <alignment vertical="center"/>
      <protection/>
    </xf>
    <xf numFmtId="3" fontId="2" fillId="0" borderId="40" xfId="92" applyFont="1" applyFill="1" applyBorder="1" applyAlignment="1">
      <alignment vertical="center"/>
      <protection/>
    </xf>
    <xf numFmtId="3" fontId="2" fillId="0" borderId="35" xfId="92" applyFont="1" applyFill="1" applyBorder="1" applyAlignment="1">
      <alignment vertical="center"/>
      <protection/>
    </xf>
    <xf numFmtId="3" fontId="2" fillId="0" borderId="47" xfId="92" applyFont="1" applyFill="1" applyBorder="1" applyAlignment="1">
      <alignment vertical="center"/>
      <protection/>
    </xf>
    <xf numFmtId="3" fontId="2" fillId="0" borderId="89" xfId="92" applyFont="1" applyFill="1" applyBorder="1" applyAlignment="1">
      <alignment vertical="center"/>
      <protection/>
    </xf>
    <xf numFmtId="0" fontId="2" fillId="0" borderId="40" xfId="86" applyFont="1" applyFill="1" applyBorder="1" applyAlignment="1">
      <alignment vertical="center"/>
      <protection/>
    </xf>
    <xf numFmtId="0" fontId="2" fillId="0" borderId="35" xfId="86" applyFont="1" applyFill="1" applyBorder="1" applyAlignment="1">
      <alignment vertical="center"/>
      <protection/>
    </xf>
    <xf numFmtId="213" fontId="7" fillId="20" borderId="44" xfId="0" applyNumberFormat="1" applyFont="1" applyFill="1" applyBorder="1" applyAlignment="1">
      <alignment horizontal="center" vertical="center" wrapText="1"/>
    </xf>
    <xf numFmtId="214" fontId="7" fillId="20" borderId="52" xfId="0" applyNumberFormat="1" applyFont="1" applyFill="1" applyBorder="1" applyAlignment="1">
      <alignment horizontal="center" vertical="center"/>
    </xf>
    <xf numFmtId="213" fontId="7" fillId="20" borderId="48" xfId="0" applyNumberFormat="1" applyFont="1" applyFill="1" applyBorder="1" applyAlignment="1">
      <alignment horizontal="center" vertical="center"/>
    </xf>
    <xf numFmtId="213" fontId="7" fillId="20" borderId="43" xfId="0" applyNumberFormat="1" applyFont="1" applyFill="1" applyBorder="1" applyAlignment="1">
      <alignment horizontal="center" vertical="center" wrapText="1"/>
    </xf>
    <xf numFmtId="9" fontId="12" fillId="0" borderId="54" xfId="0" applyNumberFormat="1" applyFont="1" applyFill="1" applyBorder="1" applyAlignment="1" applyProtection="1">
      <alignment horizontal="right" vertical="center"/>
      <protection locked="0"/>
    </xf>
    <xf numFmtId="9" fontId="38" fillId="0" borderId="54" xfId="0" applyNumberFormat="1" applyFont="1" applyFill="1" applyBorder="1" applyAlignment="1" applyProtection="1">
      <alignment horizontal="right" vertical="center"/>
      <protection locked="0"/>
    </xf>
    <xf numFmtId="9" fontId="12" fillId="0" borderId="63" xfId="0" applyNumberFormat="1" applyFont="1" applyFill="1" applyBorder="1" applyAlignment="1" applyProtection="1">
      <alignment horizontal="right" vertical="center"/>
      <protection locked="0"/>
    </xf>
    <xf numFmtId="9" fontId="40" fillId="20" borderId="62" xfId="0" applyNumberFormat="1" applyFont="1" applyFill="1" applyBorder="1" applyAlignment="1" applyProtection="1">
      <alignment horizontal="right" vertical="center"/>
      <protection locked="0"/>
    </xf>
    <xf numFmtId="9" fontId="12" fillId="0" borderId="53" xfId="0" applyNumberFormat="1" applyFont="1" applyBorder="1" applyAlignment="1" applyProtection="1">
      <alignment horizontal="right" vertical="center"/>
      <protection locked="0"/>
    </xf>
    <xf numFmtId="9" fontId="12" fillId="0" borderId="15" xfId="0" applyNumberFormat="1" applyFont="1" applyBorder="1" applyAlignment="1" applyProtection="1">
      <alignment horizontal="right" vertical="center"/>
      <protection locked="0"/>
    </xf>
    <xf numFmtId="9" fontId="38" fillId="0" borderId="15" xfId="0" applyNumberFormat="1" applyFont="1" applyBorder="1" applyAlignment="1" applyProtection="1">
      <alignment horizontal="right" vertical="center"/>
      <protection locked="0"/>
    </xf>
    <xf numFmtId="9" fontId="12" fillId="0" borderId="64" xfId="0" applyNumberFormat="1" applyFont="1" applyBorder="1" applyAlignment="1" applyProtection="1">
      <alignment horizontal="right" vertical="center"/>
      <protection locked="0"/>
    </xf>
    <xf numFmtId="9" fontId="40" fillId="20" borderId="19" xfId="0" applyNumberFormat="1" applyFont="1" applyFill="1" applyBorder="1" applyAlignment="1" applyProtection="1">
      <alignment horizontal="right" vertical="center"/>
      <protection locked="0"/>
    </xf>
    <xf numFmtId="9" fontId="12" fillId="0" borderId="15" xfId="0" applyNumberFormat="1" applyFont="1" applyFill="1" applyBorder="1" applyAlignment="1" applyProtection="1">
      <alignment horizontal="right" vertical="center"/>
      <protection locked="0"/>
    </xf>
    <xf numFmtId="9" fontId="2" fillId="0" borderId="54" xfId="0" applyNumberFormat="1" applyFont="1" applyBorder="1" applyAlignment="1">
      <alignment vertical="center"/>
    </xf>
    <xf numFmtId="9" fontId="7" fillId="20" borderId="19" xfId="0" applyNumberFormat="1" applyFont="1" applyFill="1" applyBorder="1" applyAlignment="1">
      <alignment vertical="center"/>
    </xf>
    <xf numFmtId="213" fontId="0" fillId="0" borderId="65" xfId="0" applyNumberFormat="1" applyBorder="1" applyAlignment="1">
      <alignment/>
    </xf>
    <xf numFmtId="0" fontId="7" fillId="20" borderId="21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20" borderId="17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13" fontId="7" fillId="20" borderId="65" xfId="0" applyNumberFormat="1" applyFont="1" applyFill="1" applyBorder="1" applyAlignment="1">
      <alignment horizontal="center" vertical="center"/>
    </xf>
    <xf numFmtId="213" fontId="0" fillId="0" borderId="57" xfId="0" applyNumberFormat="1" applyBorder="1" applyAlignment="1">
      <alignment/>
    </xf>
    <xf numFmtId="213" fontId="7" fillId="20" borderId="49" xfId="0" applyNumberFormat="1" applyFont="1" applyFill="1" applyBorder="1" applyAlignment="1">
      <alignment horizontal="center" vertical="center"/>
    </xf>
    <xf numFmtId="213" fontId="7" fillId="20" borderId="50" xfId="0" applyNumberFormat="1" applyFont="1" applyFill="1" applyBorder="1" applyAlignment="1">
      <alignment horizontal="center" vertical="center"/>
    </xf>
    <xf numFmtId="213" fontId="0" fillId="0" borderId="53" xfId="0" applyNumberFormat="1" applyBorder="1" applyAlignment="1">
      <alignment vertical="center"/>
    </xf>
    <xf numFmtId="213" fontId="7" fillId="20" borderId="72" xfId="0" applyNumberFormat="1" applyFont="1" applyFill="1" applyBorder="1" applyAlignment="1">
      <alignment horizontal="center" vertical="center"/>
    </xf>
    <xf numFmtId="0" fontId="7" fillId="20" borderId="72" xfId="0" applyFont="1" applyFill="1" applyBorder="1" applyAlignment="1">
      <alignment vertical="center"/>
    </xf>
    <xf numFmtId="0" fontId="7" fillId="20" borderId="45" xfId="0" applyFont="1" applyFill="1" applyBorder="1" applyAlignment="1">
      <alignment vertical="center"/>
    </xf>
    <xf numFmtId="213" fontId="7" fillId="20" borderId="53" xfId="0" applyNumberFormat="1" applyFont="1" applyFill="1" applyBorder="1" applyAlignment="1">
      <alignment horizontal="center" vertical="center" wrapText="1"/>
    </xf>
    <xf numFmtId="213" fontId="7" fillId="20" borderId="44" xfId="0" applyNumberFormat="1" applyFont="1" applyFill="1" applyBorder="1" applyAlignment="1">
      <alignment horizontal="center" vertical="center" wrapText="1"/>
    </xf>
    <xf numFmtId="213" fontId="7" fillId="20" borderId="90" xfId="0" applyNumberFormat="1" applyFont="1" applyFill="1" applyBorder="1" applyAlignment="1">
      <alignment horizontal="center" vertical="center" wrapText="1"/>
    </xf>
    <xf numFmtId="213" fontId="7" fillId="20" borderId="76" xfId="0" applyNumberFormat="1" applyFont="1" applyFill="1" applyBorder="1" applyAlignment="1">
      <alignment horizontal="center" vertical="center" wrapText="1"/>
    </xf>
    <xf numFmtId="0" fontId="10" fillId="20" borderId="21" xfId="89" applyFont="1" applyFill="1" applyBorder="1" applyAlignment="1">
      <alignment vertical="center"/>
      <protection/>
    </xf>
    <xf numFmtId="0" fontId="2" fillId="0" borderId="30" xfId="0" applyFont="1" applyBorder="1" applyAlignment="1">
      <alignment vertical="center"/>
    </xf>
    <xf numFmtId="0" fontId="7" fillId="20" borderId="20" xfId="0" applyFont="1" applyFill="1" applyBorder="1" applyAlignment="1">
      <alignment horizontal="center" vertical="center"/>
    </xf>
    <xf numFmtId="0" fontId="7" fillId="20" borderId="70" xfId="0" applyFont="1" applyFill="1" applyBorder="1" applyAlignment="1">
      <alignment horizontal="center" vertical="center"/>
    </xf>
    <xf numFmtId="0" fontId="7" fillId="20" borderId="72" xfId="0" applyFont="1" applyFill="1" applyBorder="1" applyAlignment="1">
      <alignment horizontal="center" vertical="center"/>
    </xf>
    <xf numFmtId="0" fontId="7" fillId="20" borderId="47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3" fontId="2" fillId="0" borderId="72" xfId="92" applyFont="1" applyFill="1" applyBorder="1" applyAlignment="1">
      <alignment horizontal="left" vertical="center" wrapText="1"/>
      <protection/>
    </xf>
    <xf numFmtId="3" fontId="2" fillId="0" borderId="57" xfId="92" applyFont="1" applyFill="1" applyBorder="1" applyAlignment="1">
      <alignment horizontal="left" vertical="center" wrapText="1"/>
      <protection/>
    </xf>
    <xf numFmtId="0" fontId="7" fillId="20" borderId="20" xfId="86" applyFont="1" applyFill="1" applyBorder="1" applyAlignment="1">
      <alignment horizontal="center" vertical="center" wrapText="1"/>
      <protection/>
    </xf>
    <xf numFmtId="0" fontId="7" fillId="20" borderId="41" xfId="86" applyFont="1" applyFill="1" applyBorder="1" applyAlignment="1">
      <alignment horizontal="center" vertical="center" wrapText="1"/>
      <protection/>
    </xf>
    <xf numFmtId="0" fontId="10" fillId="20" borderId="36" xfId="86" applyFont="1" applyFill="1" applyBorder="1" applyAlignment="1">
      <alignment horizontal="left" vertical="center"/>
      <protection/>
    </xf>
    <xf numFmtId="0" fontId="10" fillId="20" borderId="39" xfId="86" applyFont="1" applyFill="1" applyBorder="1" applyAlignment="1">
      <alignment horizontal="left" vertical="center"/>
      <protection/>
    </xf>
    <xf numFmtId="3" fontId="2" fillId="0" borderId="40" xfId="92" applyFont="1" applyFill="1" applyBorder="1" applyAlignment="1">
      <alignment horizontal="left" vertical="center" wrapText="1"/>
      <protection/>
    </xf>
    <xf numFmtId="3" fontId="2" fillId="0" borderId="35" xfId="92" applyFont="1" applyFill="1" applyBorder="1" applyAlignment="1">
      <alignment horizontal="left" vertical="center" wrapText="1"/>
      <protection/>
    </xf>
    <xf numFmtId="0" fontId="2" fillId="24" borderId="42" xfId="0" applyFont="1" applyFill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 wrapText="1"/>
    </xf>
    <xf numFmtId="0" fontId="7" fillId="20" borderId="91" xfId="86" applyFont="1" applyFill="1" applyBorder="1" applyAlignment="1">
      <alignment horizontal="center" vertical="center" wrapText="1"/>
      <protection/>
    </xf>
    <xf numFmtId="0" fontId="7" fillId="20" borderId="88" xfId="86" applyFont="1" applyFill="1" applyBorder="1" applyAlignment="1">
      <alignment horizontal="center" vertical="center" wrapText="1"/>
      <protection/>
    </xf>
    <xf numFmtId="0" fontId="7" fillId="20" borderId="17" xfId="86" applyFont="1" applyFill="1" applyBorder="1" applyAlignment="1">
      <alignment horizontal="center" vertical="center" wrapText="1"/>
      <protection/>
    </xf>
    <xf numFmtId="0" fontId="7" fillId="20" borderId="19" xfId="86" applyFont="1" applyFill="1" applyBorder="1" applyAlignment="1">
      <alignment horizontal="center" vertical="center" wrapText="1"/>
      <protection/>
    </xf>
    <xf numFmtId="0" fontId="10" fillId="20" borderId="21" xfId="86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0" fillId="0" borderId="45" xfId="86" applyFont="1" applyBorder="1" applyAlignment="1">
      <alignment horizontal="left"/>
      <protection/>
    </xf>
    <xf numFmtId="0" fontId="10" fillId="0" borderId="67" xfId="86" applyFont="1" applyBorder="1" applyAlignment="1">
      <alignment horizontal="left"/>
      <protection/>
    </xf>
    <xf numFmtId="0" fontId="10" fillId="0" borderId="76" xfId="86" applyFont="1" applyBorder="1" applyAlignment="1">
      <alignment horizontal="left"/>
      <protection/>
    </xf>
    <xf numFmtId="0" fontId="10" fillId="0" borderId="40" xfId="86" applyFont="1" applyBorder="1" applyAlignment="1">
      <alignment horizontal="left"/>
      <protection/>
    </xf>
    <xf numFmtId="0" fontId="10" fillId="0" borderId="66" xfId="86" applyFont="1" applyBorder="1" applyAlignment="1">
      <alignment horizontal="left"/>
      <protection/>
    </xf>
    <xf numFmtId="0" fontId="10" fillId="0" borderId="74" xfId="86" applyFont="1" applyBorder="1" applyAlignment="1">
      <alignment horizontal="left"/>
      <protection/>
    </xf>
    <xf numFmtId="0" fontId="10" fillId="0" borderId="72" xfId="86" applyFont="1" applyBorder="1" applyAlignment="1">
      <alignment horizontal="left"/>
      <protection/>
    </xf>
    <xf numFmtId="0" fontId="10" fillId="0" borderId="65" xfId="86" applyFont="1" applyBorder="1" applyAlignment="1">
      <alignment horizontal="left"/>
      <protection/>
    </xf>
    <xf numFmtId="0" fontId="10" fillId="0" borderId="90" xfId="86" applyFont="1" applyBorder="1" applyAlignment="1">
      <alignment horizontal="left"/>
      <protection/>
    </xf>
    <xf numFmtId="0" fontId="7" fillId="20" borderId="21" xfId="86" applyFont="1" applyFill="1" applyBorder="1" applyAlignment="1">
      <alignment horizontal="center" vertical="center"/>
      <protection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7" fillId="0" borderId="45" xfId="86" applyFont="1" applyBorder="1" applyAlignment="1">
      <alignment horizontal="left"/>
      <protection/>
    </xf>
    <xf numFmtId="0" fontId="7" fillId="0" borderId="67" xfId="86" applyFont="1" applyBorder="1" applyAlignment="1">
      <alignment horizontal="left"/>
      <protection/>
    </xf>
    <xf numFmtId="0" fontId="7" fillId="0" borderId="46" xfId="86" applyFont="1" applyBorder="1" applyAlignment="1">
      <alignment horizontal="left"/>
      <protection/>
    </xf>
    <xf numFmtId="0" fontId="7" fillId="0" borderId="40" xfId="86" applyFont="1" applyBorder="1" applyAlignment="1">
      <alignment horizontal="left"/>
      <protection/>
    </xf>
    <xf numFmtId="0" fontId="7" fillId="0" borderId="66" xfId="86" applyFont="1" applyBorder="1" applyAlignment="1">
      <alignment horizontal="left"/>
      <protection/>
    </xf>
    <xf numFmtId="0" fontId="7" fillId="0" borderId="35" xfId="86" applyFont="1" applyBorder="1" applyAlignment="1">
      <alignment horizontal="left"/>
      <protection/>
    </xf>
    <xf numFmtId="0" fontId="10" fillId="20" borderId="21" xfId="86" applyFont="1" applyFill="1" applyBorder="1" applyAlignment="1">
      <alignment horizontal="center" vertical="center"/>
      <protection/>
    </xf>
    <xf numFmtId="0" fontId="10" fillId="20" borderId="25" xfId="86" applyFont="1" applyFill="1" applyBorder="1" applyAlignment="1">
      <alignment horizontal="center" vertical="center"/>
      <protection/>
    </xf>
    <xf numFmtId="0" fontId="10" fillId="20" borderId="30" xfId="86" applyFont="1" applyFill="1" applyBorder="1" applyAlignment="1">
      <alignment horizontal="center" vertical="center"/>
      <protection/>
    </xf>
    <xf numFmtId="0" fontId="10" fillId="20" borderId="34" xfId="86" applyFont="1" applyFill="1" applyBorder="1" applyAlignment="1">
      <alignment horizontal="center" vertical="center"/>
      <protection/>
    </xf>
    <xf numFmtId="0" fontId="10" fillId="20" borderId="69" xfId="86" applyFont="1" applyFill="1" applyBorder="1" applyAlignment="1">
      <alignment horizontal="left"/>
      <protection/>
    </xf>
    <xf numFmtId="0" fontId="10" fillId="20" borderId="62" xfId="86" applyFont="1" applyFill="1" applyBorder="1" applyAlignment="1">
      <alignment horizontal="left"/>
      <protection/>
    </xf>
    <xf numFmtId="0" fontId="10" fillId="0" borderId="36" xfId="86" applyFont="1" applyBorder="1" applyAlignment="1">
      <alignment horizontal="left"/>
      <protection/>
    </xf>
    <xf numFmtId="0" fontId="10" fillId="0" borderId="39" xfId="86" applyFont="1" applyBorder="1" applyAlignment="1">
      <alignment horizontal="left"/>
      <protection/>
    </xf>
    <xf numFmtId="0" fontId="7" fillId="0" borderId="72" xfId="86" applyFont="1" applyBorder="1" applyAlignment="1">
      <alignment horizontal="left"/>
      <protection/>
    </xf>
    <xf numFmtId="0" fontId="7" fillId="0" borderId="65" xfId="86" applyFont="1" applyBorder="1" applyAlignment="1">
      <alignment horizontal="left"/>
      <protection/>
    </xf>
    <xf numFmtId="0" fontId="7" fillId="0" borderId="57" xfId="86" applyFont="1" applyBorder="1" applyAlignment="1">
      <alignment horizontal="left"/>
      <protection/>
    </xf>
    <xf numFmtId="0" fontId="12" fillId="0" borderId="11" xfId="86" applyFont="1" applyBorder="1" applyAlignment="1">
      <alignment horizontal="left"/>
      <protection/>
    </xf>
    <xf numFmtId="0" fontId="12" fillId="0" borderId="12" xfId="86" applyFont="1" applyBorder="1" applyAlignment="1">
      <alignment horizontal="left"/>
      <protection/>
    </xf>
    <xf numFmtId="0" fontId="12" fillId="0" borderId="15" xfId="86" applyFont="1" applyBorder="1" applyAlignment="1">
      <alignment horizontal="left"/>
      <protection/>
    </xf>
    <xf numFmtId="0" fontId="10" fillId="0" borderId="69" xfId="86" applyFont="1" applyBorder="1" applyAlignment="1">
      <alignment horizontal="left"/>
      <protection/>
    </xf>
    <xf numFmtId="0" fontId="10" fillId="0" borderId="38" xfId="86" applyFont="1" applyBorder="1" applyAlignment="1">
      <alignment horizontal="left"/>
      <protection/>
    </xf>
    <xf numFmtId="0" fontId="10" fillId="0" borderId="62" xfId="86" applyFont="1" applyBorder="1" applyAlignment="1">
      <alignment horizontal="left"/>
      <protection/>
    </xf>
    <xf numFmtId="0" fontId="10" fillId="20" borderId="36" xfId="86" applyFont="1" applyFill="1" applyBorder="1" applyAlignment="1">
      <alignment horizontal="left"/>
      <protection/>
    </xf>
    <xf numFmtId="0" fontId="10" fillId="20" borderId="37" xfId="86" applyFont="1" applyFill="1" applyBorder="1" applyAlignment="1">
      <alignment horizontal="left"/>
      <protection/>
    </xf>
    <xf numFmtId="0" fontId="10" fillId="20" borderId="39" xfId="86" applyFont="1" applyFill="1" applyBorder="1" applyAlignment="1">
      <alignment horizontal="left"/>
      <protection/>
    </xf>
    <xf numFmtId="0" fontId="10" fillId="20" borderId="38" xfId="86" applyFont="1" applyFill="1" applyBorder="1" applyAlignment="1">
      <alignment horizontal="left"/>
      <protection/>
    </xf>
    <xf numFmtId="0" fontId="12" fillId="0" borderId="52" xfId="86" applyFont="1" applyBorder="1" applyAlignment="1">
      <alignment horizontal="left"/>
      <protection/>
    </xf>
    <xf numFmtId="0" fontId="12" fillId="0" borderId="48" xfId="86" applyFont="1" applyBorder="1" applyAlignment="1">
      <alignment horizontal="left"/>
      <protection/>
    </xf>
    <xf numFmtId="0" fontId="12" fillId="0" borderId="63" xfId="86" applyFont="1" applyBorder="1" applyAlignment="1">
      <alignment horizontal="left"/>
      <protection/>
    </xf>
    <xf numFmtId="0" fontId="12" fillId="0" borderId="51" xfId="86" applyFont="1" applyBorder="1" applyAlignment="1">
      <alignment horizontal="left"/>
      <protection/>
    </xf>
    <xf numFmtId="0" fontId="12" fillId="0" borderId="9" xfId="86" applyFont="1" applyBorder="1" applyAlignment="1">
      <alignment horizontal="left"/>
      <protection/>
    </xf>
    <xf numFmtId="0" fontId="12" fillId="0" borderId="54" xfId="86" applyFont="1" applyBorder="1" applyAlignment="1">
      <alignment horizontal="left"/>
      <protection/>
    </xf>
    <xf numFmtId="0" fontId="12" fillId="0" borderId="40" xfId="86" applyFont="1" applyBorder="1" applyAlignment="1">
      <alignment horizontal="left"/>
      <protection/>
    </xf>
    <xf numFmtId="0" fontId="12" fillId="0" borderId="35" xfId="86" applyFont="1" applyBorder="1" applyAlignment="1">
      <alignment horizontal="left"/>
      <protection/>
    </xf>
    <xf numFmtId="0" fontId="7" fillId="20" borderId="21" xfId="0" applyFont="1" applyFill="1" applyBorder="1" applyAlignment="1">
      <alignment horizontal="center" vertical="center"/>
    </xf>
    <xf numFmtId="0" fontId="7" fillId="20" borderId="91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88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20" borderId="49" xfId="86" applyFont="1" applyFill="1" applyBorder="1" applyAlignment="1">
      <alignment horizontal="center" vertical="center"/>
      <protection/>
    </xf>
    <xf numFmtId="0" fontId="12" fillId="0" borderId="5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2" xfId="86" applyFont="1" applyFill="1" applyBorder="1" applyAlignment="1">
      <alignment horizontal="left"/>
      <protection/>
    </xf>
    <xf numFmtId="0" fontId="12" fillId="0" borderId="63" xfId="86" applyFont="1" applyFill="1" applyBorder="1" applyAlignment="1">
      <alignment horizontal="left"/>
      <protection/>
    </xf>
    <xf numFmtId="0" fontId="12" fillId="0" borderId="51" xfId="86" applyFont="1" applyFill="1" applyBorder="1" applyAlignment="1">
      <alignment horizontal="left"/>
      <protection/>
    </xf>
    <xf numFmtId="0" fontId="12" fillId="0" borderId="54" xfId="86" applyFont="1" applyFill="1" applyBorder="1" applyAlignment="1">
      <alignment horizontal="left"/>
      <protection/>
    </xf>
    <xf numFmtId="0" fontId="12" fillId="0" borderId="45" xfId="86" applyFont="1" applyBorder="1" applyAlignment="1">
      <alignment horizontal="left"/>
      <protection/>
    </xf>
    <xf numFmtId="0" fontId="12" fillId="0" borderId="46" xfId="86" applyFont="1" applyBorder="1" applyAlignment="1">
      <alignment horizontal="left"/>
      <protection/>
    </xf>
    <xf numFmtId="3" fontId="7" fillId="20" borderId="22" xfId="86" applyNumberFormat="1" applyFont="1" applyFill="1" applyBorder="1" applyAlignment="1">
      <alignment horizontal="center" vertical="center" wrapText="1"/>
      <protection/>
    </xf>
    <xf numFmtId="0" fontId="7" fillId="20" borderId="31" xfId="86" applyFont="1" applyFill="1" applyBorder="1" applyAlignment="1">
      <alignment horizontal="center" vertical="center" wrapText="1"/>
      <protection/>
    </xf>
    <xf numFmtId="0" fontId="2" fillId="0" borderId="31" xfId="86" applyFont="1" applyBorder="1" applyAlignment="1">
      <alignment horizontal="center" vertical="center" wrapText="1"/>
      <protection/>
    </xf>
    <xf numFmtId="0" fontId="15" fillId="0" borderId="31" xfId="0" applyFont="1" applyBorder="1" applyAlignment="1">
      <alignment horizontal="center" vertical="center" wrapText="1"/>
    </xf>
    <xf numFmtId="0" fontId="7" fillId="20" borderId="24" xfId="86" applyFont="1" applyFill="1" applyBorder="1" applyAlignment="1">
      <alignment horizontal="center" vertical="center" wrapText="1"/>
      <protection/>
    </xf>
    <xf numFmtId="0" fontId="7" fillId="20" borderId="33" xfId="86" applyFont="1" applyFill="1" applyBorder="1" applyAlignment="1">
      <alignment horizontal="center" vertical="center" wrapText="1"/>
      <protection/>
    </xf>
    <xf numFmtId="3" fontId="7" fillId="20" borderId="17" xfId="86" applyNumberFormat="1" applyFont="1" applyFill="1" applyBorder="1" applyAlignment="1">
      <alignment horizontal="center" vertical="center" wrapText="1"/>
      <protection/>
    </xf>
    <xf numFmtId="0" fontId="2" fillId="24" borderId="51" xfId="0" applyFont="1" applyFill="1" applyBorder="1" applyAlignment="1">
      <alignment horizontal="left" vertical="center" wrapText="1"/>
    </xf>
    <xf numFmtId="0" fontId="2" fillId="24" borderId="54" xfId="0" applyFont="1" applyFill="1" applyBorder="1" applyAlignment="1">
      <alignment horizontal="left" vertical="center" wrapText="1"/>
    </xf>
    <xf numFmtId="0" fontId="2" fillId="24" borderId="49" xfId="0" applyFont="1" applyFill="1" applyBorder="1" applyAlignment="1">
      <alignment horizontal="left" vertical="center" wrapText="1"/>
    </xf>
    <xf numFmtId="0" fontId="2" fillId="24" borderId="53" xfId="0" applyFont="1" applyFill="1" applyBorder="1" applyAlignment="1">
      <alignment horizontal="left" vertical="center" wrapText="1"/>
    </xf>
    <xf numFmtId="3" fontId="7" fillId="20" borderId="21" xfId="86" applyNumberFormat="1" applyFont="1" applyFill="1" applyBorder="1" applyAlignment="1">
      <alignment horizontal="left" vertical="center" wrapText="1"/>
      <protection/>
    </xf>
    <xf numFmtId="3" fontId="7" fillId="20" borderId="25" xfId="86" applyNumberFormat="1" applyFont="1" applyFill="1" applyBorder="1" applyAlignment="1">
      <alignment horizontal="left" vertical="center" wrapText="1"/>
      <protection/>
    </xf>
    <xf numFmtId="3" fontId="7" fillId="20" borderId="30" xfId="86" applyNumberFormat="1" applyFont="1" applyFill="1" applyBorder="1" applyAlignment="1">
      <alignment horizontal="left" vertical="center" wrapText="1"/>
      <protection/>
    </xf>
    <xf numFmtId="3" fontId="7" fillId="20" borderId="34" xfId="86" applyNumberFormat="1" applyFont="1" applyFill="1" applyBorder="1" applyAlignment="1">
      <alignment horizontal="left" vertical="center" wrapText="1"/>
      <protection/>
    </xf>
    <xf numFmtId="0" fontId="2" fillId="0" borderId="40" xfId="86" applyFont="1" applyBorder="1" applyAlignment="1">
      <alignment horizontal="left" vertical="center" wrapText="1"/>
      <protection/>
    </xf>
    <xf numFmtId="0" fontId="2" fillId="0" borderId="35" xfId="86" applyFont="1" applyBorder="1" applyAlignment="1">
      <alignment horizontal="left" vertical="center" wrapText="1"/>
      <protection/>
    </xf>
    <xf numFmtId="0" fontId="2" fillId="0" borderId="72" xfId="86" applyFont="1" applyBorder="1" applyAlignment="1">
      <alignment horizontal="left" vertical="center" wrapText="1"/>
      <protection/>
    </xf>
    <xf numFmtId="0" fontId="2" fillId="0" borderId="57" xfId="86" applyFont="1" applyBorder="1" applyAlignment="1">
      <alignment horizontal="left" vertical="center" wrapText="1"/>
      <protection/>
    </xf>
    <xf numFmtId="0" fontId="2" fillId="0" borderId="40" xfId="86" applyFont="1" applyFill="1" applyBorder="1" applyAlignment="1">
      <alignment horizontal="left" vertical="center" wrapText="1"/>
      <protection/>
    </xf>
    <xf numFmtId="0" fontId="2" fillId="0" borderId="35" xfId="86" applyFont="1" applyFill="1" applyBorder="1" applyAlignment="1">
      <alignment horizontal="left" vertical="center" wrapText="1"/>
      <protection/>
    </xf>
    <xf numFmtId="0" fontId="10" fillId="0" borderId="51" xfId="87" applyFont="1" applyFill="1" applyBorder="1" applyAlignment="1" applyProtection="1">
      <alignment horizontal="left" vertical="center" wrapText="1"/>
      <protection locked="0"/>
    </xf>
    <xf numFmtId="0" fontId="10" fillId="0" borderId="54" xfId="87" applyFont="1" applyFill="1" applyBorder="1" applyAlignment="1" applyProtection="1">
      <alignment horizontal="left" vertical="center" wrapText="1"/>
      <protection locked="0"/>
    </xf>
    <xf numFmtId="0" fontId="36" fillId="0" borderId="52" xfId="87" applyFont="1" applyFill="1" applyBorder="1" applyAlignment="1" applyProtection="1">
      <alignment horizontal="left" vertical="center" wrapText="1"/>
      <protection locked="0"/>
    </xf>
    <xf numFmtId="0" fontId="36" fillId="0" borderId="63" xfId="87" applyFont="1" applyFill="1" applyBorder="1" applyAlignment="1" applyProtection="1">
      <alignment horizontal="left" vertical="center" wrapText="1"/>
      <protection locked="0"/>
    </xf>
    <xf numFmtId="0" fontId="42" fillId="20" borderId="69" xfId="0" applyFont="1" applyFill="1" applyBorder="1" applyAlignment="1" applyProtection="1">
      <alignment horizontal="left" vertical="center" wrapText="1"/>
      <protection locked="0"/>
    </xf>
    <xf numFmtId="0" fontId="42" fillId="20" borderId="62" xfId="0" applyFont="1" applyFill="1" applyBorder="1" applyAlignment="1" applyProtection="1">
      <alignment horizontal="left" vertical="center" wrapText="1"/>
      <protection locked="0"/>
    </xf>
    <xf numFmtId="0" fontId="42" fillId="20" borderId="58" xfId="0" applyFont="1" applyFill="1" applyBorder="1" applyAlignment="1" applyProtection="1">
      <alignment horizontal="left" vertical="center" wrapText="1"/>
      <protection locked="0"/>
    </xf>
    <xf numFmtId="0" fontId="42" fillId="20" borderId="19" xfId="0" applyFont="1" applyFill="1" applyBorder="1" applyAlignment="1" applyProtection="1">
      <alignment horizontal="left" vertical="center" wrapText="1"/>
      <protection locked="0"/>
    </xf>
    <xf numFmtId="0" fontId="15" fillId="0" borderId="51" xfId="87" applyFont="1" applyFill="1" applyBorder="1" applyAlignment="1" applyProtection="1">
      <alignment horizontal="left" vertical="center" wrapText="1" indent="1"/>
      <protection locked="0"/>
    </xf>
    <xf numFmtId="0" fontId="15" fillId="0" borderId="54" xfId="87" applyFont="1" applyFill="1" applyBorder="1" applyAlignment="1" applyProtection="1">
      <alignment horizontal="left" vertical="center" wrapText="1" indent="1"/>
      <protection locked="0"/>
    </xf>
    <xf numFmtId="0" fontId="36" fillId="0" borderId="51" xfId="87" applyFont="1" applyFill="1" applyBorder="1" applyAlignment="1" applyProtection="1">
      <alignment horizontal="left" vertical="center" wrapText="1"/>
      <protection locked="0"/>
    </xf>
    <xf numFmtId="0" fontId="36" fillId="0" borderId="54" xfId="87" applyFont="1" applyFill="1" applyBorder="1" applyAlignment="1" applyProtection="1">
      <alignment horizontal="left" vertical="center" wrapText="1"/>
      <protection locked="0"/>
    </xf>
    <xf numFmtId="0" fontId="12" fillId="0" borderId="51" xfId="87" applyFont="1" applyFill="1" applyBorder="1" applyAlignment="1" applyProtection="1">
      <alignment horizontal="left" vertical="center" wrapText="1" indent="1"/>
      <protection locked="0"/>
    </xf>
    <xf numFmtId="0" fontId="12" fillId="0" borderId="54" xfId="87" applyFont="1" applyFill="1" applyBorder="1" applyAlignment="1" applyProtection="1">
      <alignment horizontal="left" vertical="center" wrapText="1" indent="1"/>
      <protection locked="0"/>
    </xf>
    <xf numFmtId="0" fontId="12" fillId="0" borderId="51" xfId="87" applyFont="1" applyFill="1" applyBorder="1" applyAlignment="1" applyProtection="1">
      <alignment horizontal="right" vertical="center" wrapText="1" indent="1"/>
      <protection locked="0"/>
    </xf>
    <xf numFmtId="0" fontId="36" fillId="0" borderId="40" xfId="87" applyFont="1" applyFill="1" applyBorder="1" applyAlignment="1" applyProtection="1">
      <alignment horizontal="left" vertical="center" wrapText="1"/>
      <protection locked="0"/>
    </xf>
    <xf numFmtId="0" fontId="36" fillId="0" borderId="35" xfId="87" applyFont="1" applyFill="1" applyBorder="1" applyAlignment="1" applyProtection="1">
      <alignment horizontal="left" vertical="center" wrapText="1"/>
      <protection locked="0"/>
    </xf>
    <xf numFmtId="0" fontId="12" fillId="0" borderId="40" xfId="87" applyFont="1" applyFill="1" applyBorder="1" applyAlignment="1" applyProtection="1">
      <alignment horizontal="left" vertical="center" wrapText="1" indent="1"/>
      <protection locked="0"/>
    </xf>
    <xf numFmtId="0" fontId="12" fillId="0" borderId="35" xfId="87" applyFont="1" applyFill="1" applyBorder="1" applyAlignment="1" applyProtection="1">
      <alignment horizontal="left" vertical="center" wrapText="1" indent="1"/>
      <protection locked="0"/>
    </xf>
    <xf numFmtId="0" fontId="12" fillId="0" borderId="52" xfId="87" applyFont="1" applyBorder="1" applyAlignment="1" applyProtection="1">
      <alignment horizontal="right" vertical="center"/>
      <protection locked="0"/>
    </xf>
    <xf numFmtId="0" fontId="12" fillId="0" borderId="11" xfId="87" applyFont="1" applyBorder="1" applyAlignment="1" applyProtection="1">
      <alignment horizontal="right" vertical="center"/>
      <protection locked="0"/>
    </xf>
    <xf numFmtId="0" fontId="12" fillId="0" borderId="51" xfId="87" applyFont="1" applyBorder="1" applyAlignment="1" applyProtection="1">
      <alignment horizontal="left" vertical="center" indent="1"/>
      <protection locked="0"/>
    </xf>
    <xf numFmtId="0" fontId="12" fillId="0" borderId="54" xfId="87" applyFont="1" applyBorder="1" applyAlignment="1" applyProtection="1">
      <alignment horizontal="left" vertical="center" indent="1"/>
      <protection locked="0"/>
    </xf>
    <xf numFmtId="0" fontId="12" fillId="0" borderId="51" xfId="87" applyFont="1" applyFill="1" applyBorder="1" applyAlignment="1" applyProtection="1">
      <alignment horizontal="right" vertical="center" wrapText="1"/>
      <protection locked="0"/>
    </xf>
    <xf numFmtId="0" fontId="9" fillId="0" borderId="51" xfId="87" applyFont="1" applyBorder="1" applyAlignment="1" applyProtection="1">
      <alignment horizontal="right" vertical="center" wrapText="1"/>
      <protection locked="0"/>
    </xf>
    <xf numFmtId="0" fontId="12" fillId="0" borderId="52" xfId="87" applyFont="1" applyFill="1" applyBorder="1" applyAlignment="1" applyProtection="1">
      <alignment horizontal="right" vertical="center" wrapText="1" indent="1"/>
      <protection locked="0"/>
    </xf>
    <xf numFmtId="0" fontId="12" fillId="0" borderId="79" xfId="87" applyFont="1" applyFill="1" applyBorder="1" applyAlignment="1" applyProtection="1">
      <alignment horizontal="right" vertical="center" wrapText="1" indent="1"/>
      <protection locked="0"/>
    </xf>
    <xf numFmtId="0" fontId="12" fillId="0" borderId="11" xfId="87" applyFont="1" applyFill="1" applyBorder="1" applyAlignment="1" applyProtection="1">
      <alignment horizontal="right" vertical="center" wrapText="1" indent="1"/>
      <protection locked="0"/>
    </xf>
    <xf numFmtId="0" fontId="2" fillId="0" borderId="51" xfId="87" applyFont="1" applyFill="1" applyBorder="1" applyAlignment="1" applyProtection="1">
      <alignment horizontal="left" vertical="center" wrapText="1" indent="1"/>
      <protection locked="0"/>
    </xf>
    <xf numFmtId="0" fontId="9" fillId="0" borderId="54" xfId="87" applyBorder="1" applyAlignment="1" applyProtection="1">
      <alignment horizontal="left" indent="1"/>
      <protection locked="0"/>
    </xf>
    <xf numFmtId="0" fontId="7" fillId="0" borderId="51" xfId="87" applyFont="1" applyFill="1" applyBorder="1" applyAlignment="1" applyProtection="1">
      <alignment horizontal="left" vertical="center" wrapText="1"/>
      <protection locked="0"/>
    </xf>
    <xf numFmtId="0" fontId="7" fillId="0" borderId="54" xfId="87" applyFont="1" applyFill="1" applyBorder="1" applyAlignment="1" applyProtection="1">
      <alignment horizontal="left" vertical="center" wrapText="1"/>
      <protection locked="0"/>
    </xf>
    <xf numFmtId="0" fontId="7" fillId="0" borderId="51" xfId="87" applyFont="1" applyFill="1" applyBorder="1" applyAlignment="1" applyProtection="1">
      <alignment horizontal="left" vertical="center" wrapText="1"/>
      <protection locked="0"/>
    </xf>
    <xf numFmtId="0" fontId="7" fillId="0" borderId="54" xfId="87" applyFont="1" applyFill="1" applyBorder="1" applyAlignment="1" applyProtection="1">
      <alignment horizontal="left" vertical="center" wrapText="1"/>
      <protection locked="0"/>
    </xf>
    <xf numFmtId="0" fontId="7" fillId="0" borderId="40" xfId="87" applyFont="1" applyFill="1" applyBorder="1" applyAlignment="1" applyProtection="1">
      <alignment horizontal="left" vertical="center" wrapText="1"/>
      <protection locked="0"/>
    </xf>
    <xf numFmtId="0" fontId="7" fillId="0" borderId="35" xfId="87" applyFont="1" applyFill="1" applyBorder="1" applyAlignment="1" applyProtection="1">
      <alignment horizontal="left" vertical="center" wrapText="1"/>
      <protection locked="0"/>
    </xf>
    <xf numFmtId="0" fontId="12" fillId="0" borderId="54" xfId="87" applyFont="1" applyBorder="1" applyAlignment="1" applyProtection="1">
      <alignment horizontal="left" indent="1"/>
      <protection locked="0"/>
    </xf>
    <xf numFmtId="0" fontId="12" fillId="0" borderId="51" xfId="87" applyFont="1" applyBorder="1" applyAlignment="1" applyProtection="1">
      <alignment horizontal="right" vertical="center"/>
      <protection locked="0"/>
    </xf>
    <xf numFmtId="0" fontId="12" fillId="0" borderId="51" xfId="87" applyFont="1" applyBorder="1" applyAlignment="1" applyProtection="1">
      <alignment horizontal="left" indent="1"/>
      <protection locked="0"/>
    </xf>
    <xf numFmtId="0" fontId="12" fillId="0" borderId="51" xfId="87" applyFont="1" applyBorder="1" applyAlignment="1" applyProtection="1">
      <alignment horizontal="left" vertical="center" wrapText="1" indent="1"/>
      <protection locked="0"/>
    </xf>
    <xf numFmtId="0" fontId="12" fillId="0" borderId="54" xfId="87" applyFont="1" applyBorder="1" applyAlignment="1" applyProtection="1">
      <alignment horizontal="left" vertical="center" wrapText="1" indent="1"/>
      <protection locked="0"/>
    </xf>
    <xf numFmtId="0" fontId="9" fillId="0" borderId="54" xfId="87" applyBorder="1" applyProtection="1">
      <alignment/>
      <protection locked="0"/>
    </xf>
    <xf numFmtId="0" fontId="12" fillId="0" borderId="51" xfId="87" applyFont="1" applyBorder="1" applyAlignment="1" applyProtection="1">
      <alignment horizontal="right" vertical="center" wrapText="1"/>
      <protection locked="0"/>
    </xf>
    <xf numFmtId="0" fontId="12" fillId="0" borderId="52" xfId="87" applyFont="1" applyBorder="1" applyAlignment="1" applyProtection="1">
      <alignment horizontal="left" indent="1"/>
      <protection locked="0"/>
    </xf>
    <xf numFmtId="0" fontId="12" fillId="0" borderId="63" xfId="87" applyFont="1" applyBorder="1" applyAlignment="1" applyProtection="1">
      <alignment horizontal="left" indent="1"/>
      <protection locked="0"/>
    </xf>
    <xf numFmtId="0" fontId="40" fillId="20" borderId="36" xfId="0" applyFont="1" applyFill="1" applyBorder="1" applyAlignment="1" applyProtection="1">
      <alignment horizontal="left" vertical="center"/>
      <protection locked="0"/>
    </xf>
    <xf numFmtId="0" fontId="40" fillId="20" borderId="39" xfId="0" applyFont="1" applyFill="1" applyBorder="1" applyAlignment="1" applyProtection="1">
      <alignment horizontal="left" vertical="center"/>
      <protection locked="0"/>
    </xf>
    <xf numFmtId="0" fontId="10" fillId="0" borderId="49" xfId="87" applyFont="1" applyBorder="1" applyAlignment="1" applyProtection="1">
      <alignment horizontal="left" vertical="center" wrapText="1"/>
      <protection locked="0"/>
    </xf>
    <xf numFmtId="0" fontId="10" fillId="0" borderId="53" xfId="87" applyFont="1" applyBorder="1" applyAlignment="1" applyProtection="1">
      <alignment horizontal="left" vertical="center" wrapText="1"/>
      <protection locked="0"/>
    </xf>
    <xf numFmtId="0" fontId="10" fillId="0" borderId="51" xfId="87" applyFont="1" applyBorder="1" applyAlignment="1" applyProtection="1">
      <alignment horizontal="left"/>
      <protection locked="0"/>
    </xf>
    <xf numFmtId="0" fontId="10" fillId="0" borderId="54" xfId="87" applyFont="1" applyBorder="1" applyAlignment="1" applyProtection="1">
      <alignment horizontal="left"/>
      <protection locked="0"/>
    </xf>
    <xf numFmtId="0" fontId="10" fillId="0" borderId="51" xfId="87" applyFont="1" applyBorder="1" applyAlignment="1" applyProtection="1">
      <alignment horizontal="left" vertical="center"/>
      <protection locked="0"/>
    </xf>
    <xf numFmtId="0" fontId="10" fillId="0" borderId="54" xfId="87" applyFont="1" applyBorder="1" applyAlignment="1" applyProtection="1">
      <alignment horizontal="left" vertical="center"/>
      <protection locked="0"/>
    </xf>
    <xf numFmtId="0" fontId="10" fillId="20" borderId="49" xfId="0" applyFont="1" applyFill="1" applyBorder="1" applyAlignment="1" applyProtection="1">
      <alignment horizontal="center" vertical="center"/>
      <protection locked="0"/>
    </xf>
    <xf numFmtId="0" fontId="10" fillId="20" borderId="53" xfId="0" applyFont="1" applyFill="1" applyBorder="1" applyAlignment="1" applyProtection="1">
      <alignment horizontal="center" vertical="center"/>
      <protection locked="0"/>
    </xf>
    <xf numFmtId="0" fontId="7" fillId="20" borderId="21" xfId="86" applyFont="1" applyFill="1" applyBorder="1" applyAlignment="1">
      <alignment horizontal="center" vertical="center" wrapText="1"/>
      <protection/>
    </xf>
    <xf numFmtId="0" fontId="7" fillId="20" borderId="25" xfId="86" applyFont="1" applyFill="1" applyBorder="1" applyAlignment="1">
      <alignment horizontal="center" vertical="center" wrapText="1"/>
      <protection/>
    </xf>
    <xf numFmtId="0" fontId="7" fillId="20" borderId="30" xfId="86" applyFont="1" applyFill="1" applyBorder="1" applyAlignment="1">
      <alignment horizontal="center" vertical="center" wrapText="1"/>
      <protection/>
    </xf>
    <xf numFmtId="0" fontId="7" fillId="20" borderId="34" xfId="86" applyFont="1" applyFill="1" applyBorder="1" applyAlignment="1">
      <alignment horizontal="center" vertical="center" wrapText="1"/>
      <protection/>
    </xf>
    <xf numFmtId="0" fontId="10" fillId="20" borderId="21" xfId="85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0" fillId="20" borderId="72" xfId="84" applyFont="1" applyFill="1" applyBorder="1" applyAlignment="1" applyProtection="1">
      <alignment horizontal="center" vertical="center" wrapText="1"/>
      <protection locked="0"/>
    </xf>
    <xf numFmtId="0" fontId="12" fillId="20" borderId="65" xfId="84" applyFont="1" applyFill="1" applyBorder="1" applyAlignment="1" applyProtection="1">
      <alignment horizontal="center" vertical="center" wrapText="1"/>
      <protection locked="0"/>
    </xf>
    <xf numFmtId="0" fontId="12" fillId="20" borderId="57" xfId="84" applyFont="1" applyFill="1" applyBorder="1" applyAlignment="1" applyProtection="1">
      <alignment horizontal="center" vertical="center" wrapText="1"/>
      <protection locked="0"/>
    </xf>
    <xf numFmtId="210" fontId="10" fillId="20" borderId="54" xfId="0" applyNumberFormat="1" applyFont="1" applyFill="1" applyBorder="1" applyAlignment="1" applyProtection="1">
      <alignment horizontal="center" vertical="center"/>
      <protection locked="0"/>
    </xf>
    <xf numFmtId="210" fontId="10" fillId="20" borderId="44" xfId="0" applyNumberFormat="1" applyFont="1" applyFill="1" applyBorder="1" applyAlignment="1" applyProtection="1">
      <alignment horizontal="center" vertical="center"/>
      <protection locked="0"/>
    </xf>
    <xf numFmtId="0" fontId="7" fillId="20" borderId="22" xfId="86" applyFont="1" applyFill="1" applyBorder="1" applyAlignment="1">
      <alignment horizontal="center" vertical="center"/>
      <protection/>
    </xf>
    <xf numFmtId="0" fontId="2" fillId="0" borderId="31" xfId="86" applyFont="1" applyBorder="1" applyAlignment="1">
      <alignment horizontal="center" vertical="center"/>
      <protection/>
    </xf>
    <xf numFmtId="0" fontId="12" fillId="20" borderId="63" xfId="84" applyFont="1" applyFill="1" applyBorder="1" applyAlignment="1" applyProtection="1">
      <alignment horizontal="center" vertical="center"/>
      <protection locked="0"/>
    </xf>
    <xf numFmtId="0" fontId="12" fillId="20" borderId="19" xfId="84" applyFont="1" applyFill="1" applyBorder="1" applyAlignment="1" applyProtection="1">
      <alignment horizontal="center" vertical="center"/>
      <protection locked="0"/>
    </xf>
    <xf numFmtId="0" fontId="10" fillId="0" borderId="49" xfId="87" applyFont="1" applyBorder="1" applyAlignment="1" applyProtection="1">
      <alignment horizontal="left"/>
      <protection locked="0"/>
    </xf>
    <xf numFmtId="0" fontId="10" fillId="0" borderId="53" xfId="87" applyFont="1" applyBorder="1" applyAlignment="1" applyProtection="1">
      <alignment horizontal="left"/>
      <protection locked="0"/>
    </xf>
    <xf numFmtId="3" fontId="10" fillId="20" borderId="51" xfId="0" applyNumberFormat="1" applyFont="1" applyFill="1" applyBorder="1" applyAlignment="1" applyProtection="1" quotePrefix="1">
      <alignment horizontal="center" vertical="center"/>
      <protection locked="0"/>
    </xf>
    <xf numFmtId="3" fontId="10" fillId="20" borderId="52" xfId="0" applyNumberFormat="1" applyFont="1" applyFill="1" applyBorder="1" applyAlignment="1" applyProtection="1">
      <alignment horizontal="center" vertical="center"/>
      <protection locked="0"/>
    </xf>
    <xf numFmtId="0" fontId="7" fillId="20" borderId="23" xfId="0" applyFont="1" applyFill="1" applyBorder="1" applyAlignment="1">
      <alignment horizontal="left" vertical="center"/>
    </xf>
    <xf numFmtId="0" fontId="7" fillId="20" borderId="25" xfId="0" applyFont="1" applyFill="1" applyBorder="1" applyAlignment="1">
      <alignment horizontal="left" vertical="center"/>
    </xf>
    <xf numFmtId="0" fontId="2" fillId="0" borderId="45" xfId="86" applyFont="1" applyBorder="1" applyAlignment="1">
      <alignment horizontal="left" vertical="center" wrapText="1"/>
      <protection/>
    </xf>
    <xf numFmtId="0" fontId="2" fillId="0" borderId="46" xfId="86" applyFont="1" applyBorder="1" applyAlignment="1">
      <alignment horizontal="left" vertical="center" wrapText="1"/>
      <protection/>
    </xf>
    <xf numFmtId="3" fontId="7" fillId="20" borderId="45" xfId="92" applyFont="1" applyFill="1" applyBorder="1" applyAlignment="1">
      <alignment horizontal="left" vertical="center" wrapText="1"/>
      <protection/>
    </xf>
    <xf numFmtId="3" fontId="7" fillId="20" borderId="46" xfId="92" applyFont="1" applyFill="1" applyBorder="1" applyAlignment="1">
      <alignment horizontal="left" vertical="center" wrapText="1"/>
      <protection/>
    </xf>
    <xf numFmtId="0" fontId="2" fillId="0" borderId="40" xfId="86" applyFont="1" applyFill="1" applyBorder="1" applyAlignment="1">
      <alignment horizontal="left"/>
      <protection/>
    </xf>
    <xf numFmtId="0" fontId="2" fillId="0" borderId="35" xfId="86" applyFont="1" applyFill="1" applyBorder="1" applyAlignment="1">
      <alignment horizontal="left"/>
      <protection/>
    </xf>
    <xf numFmtId="3" fontId="7" fillId="20" borderId="26" xfId="86" applyNumberFormat="1" applyFont="1" applyFill="1" applyBorder="1" applyAlignment="1">
      <alignment horizontal="left" vertical="center" wrapText="1"/>
      <protection/>
    </xf>
    <xf numFmtId="3" fontId="7" fillId="20" borderId="29" xfId="86" applyNumberFormat="1" applyFont="1" applyFill="1" applyBorder="1" applyAlignment="1">
      <alignment horizontal="left" vertical="center" wrapText="1"/>
      <protection/>
    </xf>
    <xf numFmtId="3" fontId="2" fillId="0" borderId="40" xfId="92" applyFont="1" applyFill="1" applyBorder="1" applyAlignment="1">
      <alignment vertical="center" wrapText="1"/>
      <protection/>
    </xf>
    <xf numFmtId="0" fontId="0" fillId="0" borderId="35" xfId="0" applyBorder="1" applyAlignment="1">
      <alignment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20" borderId="21" xfId="85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38" fillId="0" borderId="51" xfId="0" applyFont="1" applyBorder="1" applyAlignment="1" applyProtection="1">
      <alignment horizontal="right" vertical="center"/>
      <protection locked="0"/>
    </xf>
    <xf numFmtId="0" fontId="7" fillId="20" borderId="36" xfId="86" applyFont="1" applyFill="1" applyBorder="1" applyAlignment="1">
      <alignment horizontal="left" vertical="center"/>
      <protection/>
    </xf>
    <xf numFmtId="0" fontId="7" fillId="20" borderId="39" xfId="86" applyFont="1" applyFill="1" applyBorder="1" applyAlignment="1">
      <alignment horizontal="left" vertical="center"/>
      <protection/>
    </xf>
    <xf numFmtId="0" fontId="7" fillId="20" borderId="72" xfId="84" applyFont="1" applyFill="1" applyBorder="1" applyAlignment="1" applyProtection="1">
      <alignment horizontal="center" vertical="center" wrapText="1"/>
      <protection locked="0"/>
    </xf>
    <xf numFmtId="0" fontId="2" fillId="20" borderId="65" xfId="84" applyFont="1" applyFill="1" applyBorder="1" applyAlignment="1" applyProtection="1">
      <alignment horizontal="center" vertical="center" wrapText="1"/>
      <protection locked="0"/>
    </xf>
    <xf numFmtId="0" fontId="2" fillId="20" borderId="57" xfId="84" applyFont="1" applyFill="1" applyBorder="1" applyAlignment="1" applyProtection="1">
      <alignment horizontal="center" vertical="center" wrapText="1"/>
      <protection locked="0"/>
    </xf>
    <xf numFmtId="210" fontId="10" fillId="20" borderId="63" xfId="0" applyNumberFormat="1" applyFont="1" applyFill="1" applyBorder="1" applyAlignment="1" applyProtection="1">
      <alignment horizontal="center" vertical="center"/>
      <protection locked="0"/>
    </xf>
    <xf numFmtId="0" fontId="2" fillId="20" borderId="63" xfId="84" applyFont="1" applyFill="1" applyBorder="1" applyAlignment="1" applyProtection="1">
      <alignment horizontal="center" vertical="center"/>
      <protection locked="0"/>
    </xf>
    <xf numFmtId="0" fontId="2" fillId="20" borderId="19" xfId="84" applyFont="1" applyFill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left" vertical="center"/>
      <protection locked="0"/>
    </xf>
    <xf numFmtId="0" fontId="12" fillId="0" borderId="63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3" xfId="0" applyFont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12" fillId="0" borderId="54" xfId="0" applyFont="1" applyBorder="1" applyAlignment="1" applyProtection="1">
      <alignment horizontal="left" vertical="center" wrapText="1"/>
      <protection locked="0"/>
    </xf>
    <xf numFmtId="0" fontId="38" fillId="0" borderId="51" xfId="0" applyFont="1" applyBorder="1" applyAlignment="1" applyProtection="1">
      <alignment horizontal="right" vertical="center" wrapText="1"/>
      <protection locked="0"/>
    </xf>
    <xf numFmtId="0" fontId="11" fillId="0" borderId="54" xfId="0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46" fillId="0" borderId="51" xfId="0" applyFont="1" applyFill="1" applyBorder="1" applyAlignment="1" applyProtection="1">
      <alignment horizontal="left" vertical="center" wrapText="1"/>
      <protection locked="0"/>
    </xf>
    <xf numFmtId="0" fontId="47" fillId="0" borderId="54" xfId="0" applyFont="1" applyBorder="1" applyAlignment="1" applyProtection="1">
      <alignment horizontal="left" vertical="center"/>
      <protection locked="0"/>
    </xf>
    <xf numFmtId="0" fontId="38" fillId="0" borderId="54" xfId="0" applyFont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36" fillId="0" borderId="51" xfId="0" applyFont="1" applyFill="1" applyBorder="1" applyAlignment="1" applyProtection="1">
      <alignment horizontal="left" vertical="center" wrapText="1"/>
      <protection locked="0"/>
    </xf>
    <xf numFmtId="0" fontId="36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54" xfId="0" applyFont="1" applyFill="1" applyBorder="1" applyAlignment="1" applyProtection="1">
      <alignment horizontal="left" vertical="center" wrapText="1"/>
      <protection locked="0"/>
    </xf>
    <xf numFmtId="0" fontId="38" fillId="0" borderId="51" xfId="0" applyFont="1" applyFill="1" applyBorder="1" applyAlignment="1" applyProtection="1">
      <alignment horizontal="right" vertical="center" wrapText="1"/>
      <protection locked="0"/>
    </xf>
    <xf numFmtId="0" fontId="39" fillId="0" borderId="51" xfId="0" applyFont="1" applyBorder="1" applyAlignment="1" applyProtection="1">
      <alignment horizontal="right" vertical="center" wrapText="1"/>
      <protection locked="0"/>
    </xf>
    <xf numFmtId="0" fontId="38" fillId="0" borderId="52" xfId="0" applyFont="1" applyFill="1" applyBorder="1" applyAlignment="1" applyProtection="1">
      <alignment horizontal="right" vertical="center" wrapText="1"/>
      <protection locked="0"/>
    </xf>
    <xf numFmtId="0" fontId="38" fillId="0" borderId="79" xfId="0" applyFont="1" applyFill="1" applyBorder="1" applyAlignment="1" applyProtection="1">
      <alignment horizontal="right" vertical="center" wrapText="1"/>
      <protection locked="0"/>
    </xf>
    <xf numFmtId="0" fontId="38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40" xfId="0" applyFont="1" applyFill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38" fillId="0" borderId="52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6" fillId="0" borderId="40" xfId="0" applyFont="1" applyFill="1" applyBorder="1" applyAlignment="1" applyProtection="1">
      <alignment horizontal="left" vertical="center" wrapText="1"/>
      <protection locked="0"/>
    </xf>
    <xf numFmtId="0" fontId="36" fillId="0" borderId="35" xfId="0" applyFont="1" applyFill="1" applyBorder="1" applyAlignment="1" applyProtection="1">
      <alignment horizontal="left" vertical="center" wrapText="1"/>
      <protection locked="0"/>
    </xf>
    <xf numFmtId="0" fontId="48" fillId="0" borderId="51" xfId="0" applyFont="1" applyFill="1" applyBorder="1" applyAlignment="1" applyProtection="1">
      <alignment horizontal="left" vertical="center" wrapText="1"/>
      <protection locked="0"/>
    </xf>
    <xf numFmtId="0" fontId="48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Fill="1" applyBorder="1" applyAlignment="1" applyProtection="1">
      <alignment horizontal="left" vertical="center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36" fillId="0" borderId="52" xfId="0" applyFont="1" applyFill="1" applyBorder="1" applyAlignment="1" applyProtection="1">
      <alignment horizontal="left" vertical="center" wrapText="1"/>
      <protection locked="0"/>
    </xf>
    <xf numFmtId="0" fontId="36" fillId="0" borderId="63" xfId="0" applyFont="1" applyFill="1" applyBorder="1" applyAlignment="1" applyProtection="1">
      <alignment horizontal="left" vertical="center" wrapText="1"/>
      <protection locked="0"/>
    </xf>
    <xf numFmtId="0" fontId="7" fillId="20" borderId="25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3" fontId="2" fillId="23" borderId="23" xfId="86" applyNumberFormat="1" applyFont="1" applyFill="1" applyBorder="1" applyAlignment="1">
      <alignment horizontal="left" vertical="center" wrapText="1"/>
      <protection/>
    </xf>
  </cellXfs>
  <cellStyles count="9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rmální_finanční plán JI" xfId="84"/>
    <cellStyle name="normální_finanční plánPE" xfId="85"/>
    <cellStyle name="normální_FP_návrh_28.05_09" xfId="86"/>
    <cellStyle name="normální_HB" xfId="87"/>
    <cellStyle name="normální_JI" xfId="88"/>
    <cellStyle name="normální_Platby 2009_předpoklad" xfId="89"/>
    <cellStyle name="normální_RK Odpisový plán na rok 2002" xfId="90"/>
    <cellStyle name="Note" xfId="91"/>
    <cellStyle name="nový" xfId="92"/>
    <cellStyle name="Output" xfId="93"/>
    <cellStyle name="Poznámka" xfId="94"/>
    <cellStyle name="Percent" xfId="95"/>
    <cellStyle name="Propojená buňka" xfId="96"/>
    <cellStyle name="Followed Hyperlink" xfId="97"/>
    <cellStyle name="Správně" xfId="98"/>
    <cellStyle name="Text upozornění" xfId="99"/>
    <cellStyle name="Title" xfId="100"/>
    <cellStyle name="Total" xfId="101"/>
    <cellStyle name="Vstup" xfId="102"/>
    <cellStyle name="Výpočet" xfId="103"/>
    <cellStyle name="Výstup" xfId="104"/>
    <cellStyle name="Vysvětlující text" xfId="105"/>
    <cellStyle name="Warning Text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K300"/>
  <sheetViews>
    <sheetView showGridLines="0" tabSelected="1" workbookViewId="0" topLeftCell="A1">
      <selection activeCell="E50" sqref="E50"/>
    </sheetView>
  </sheetViews>
  <sheetFormatPr defaultColWidth="9.00390625" defaultRowHeight="12.75"/>
  <cols>
    <col min="1" max="1" width="38.25390625" style="6" customWidth="1"/>
    <col min="2" max="10" width="10.375" style="232" customWidth="1"/>
    <col min="11" max="11" width="9.75390625" style="232" customWidth="1"/>
    <col min="12" max="12" width="11.875" style="6" customWidth="1"/>
    <col min="13" max="16384" width="9.125" style="6" customWidth="1"/>
  </cols>
  <sheetData>
    <row r="1" spans="1:11" s="7" customFormat="1" ht="13.5" thickBot="1">
      <c r="A1" s="49" t="s">
        <v>87</v>
      </c>
      <c r="B1" s="230"/>
      <c r="C1" s="230"/>
      <c r="D1" s="230"/>
      <c r="E1" s="230"/>
      <c r="F1" s="230"/>
      <c r="G1" s="230"/>
      <c r="H1" s="230"/>
      <c r="I1" s="230"/>
      <c r="K1" s="230"/>
    </row>
    <row r="2" spans="1:11" ht="20.25" customHeight="1">
      <c r="A2" s="554" t="s">
        <v>35</v>
      </c>
      <c r="B2" s="231" t="s">
        <v>375</v>
      </c>
      <c r="C2" s="558" t="s">
        <v>85</v>
      </c>
      <c r="D2" s="556" t="s">
        <v>86</v>
      </c>
      <c r="I2" s="305" t="s">
        <v>263</v>
      </c>
      <c r="J2" s="6"/>
      <c r="K2" s="6"/>
    </row>
    <row r="3" spans="1:8" s="9" customFormat="1" ht="28.5" customHeight="1" thickBot="1">
      <c r="A3" s="555"/>
      <c r="B3" s="234" t="s">
        <v>243</v>
      </c>
      <c r="C3" s="559"/>
      <c r="D3" s="557"/>
      <c r="E3" s="235"/>
      <c r="F3" s="235"/>
      <c r="G3" s="235"/>
      <c r="H3" s="235"/>
    </row>
    <row r="4" spans="1:11" ht="11.25">
      <c r="A4" s="50" t="s">
        <v>33</v>
      </c>
      <c r="B4" s="238">
        <f>SUM(C4:D4)</f>
        <v>9300</v>
      </c>
      <c r="C4" s="239">
        <f>'HB'!E95/1000</f>
        <v>5000</v>
      </c>
      <c r="D4" s="237">
        <f>'HB'!J96/1000</f>
        <v>4300</v>
      </c>
      <c r="I4" s="6"/>
      <c r="J4" s="6"/>
      <c r="K4" s="6"/>
    </row>
    <row r="5" spans="1:11" ht="12" thickBot="1">
      <c r="A5" s="51" t="s">
        <v>34</v>
      </c>
      <c r="B5" s="243">
        <v>8900</v>
      </c>
      <c r="C5" s="244">
        <f>JI!E95/1000</f>
        <v>0</v>
      </c>
      <c r="D5" s="242">
        <f>B5</f>
        <v>8900</v>
      </c>
      <c r="I5" s="6"/>
      <c r="J5" s="6"/>
      <c r="K5" s="6"/>
    </row>
    <row r="6" spans="1:11" ht="12" thickBot="1">
      <c r="A6" s="52" t="s">
        <v>21</v>
      </c>
      <c r="B6" s="247">
        <f>SUM(B4:B5)</f>
        <v>18200</v>
      </c>
      <c r="C6" s="248">
        <f>SUM(C4:C5)</f>
        <v>5000</v>
      </c>
      <c r="D6" s="246">
        <f>SUM(D4:D5)</f>
        <v>13200</v>
      </c>
      <c r="I6" s="6"/>
      <c r="J6" s="6"/>
      <c r="K6" s="6"/>
    </row>
    <row r="7" ht="5.25" customHeight="1"/>
    <row r="8" spans="1:11" s="7" customFormat="1" ht="13.5" thickBot="1">
      <c r="A8" s="49" t="s">
        <v>246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1:10" ht="12.75">
      <c r="A9" s="562" t="s">
        <v>328</v>
      </c>
      <c r="B9" s="553" t="s">
        <v>84</v>
      </c>
      <c r="C9" s="548"/>
      <c r="D9" s="549"/>
      <c r="E9" s="553" t="s">
        <v>88</v>
      </c>
      <c r="F9" s="548"/>
      <c r="G9" s="549"/>
      <c r="H9" s="548" t="s">
        <v>187</v>
      </c>
      <c r="I9" s="548"/>
      <c r="J9" s="549"/>
    </row>
    <row r="10" spans="1:10" ht="11.25">
      <c r="A10" s="563"/>
      <c r="B10" s="431">
        <v>2010</v>
      </c>
      <c r="C10" s="432" t="s">
        <v>325</v>
      </c>
      <c r="D10" s="433" t="s">
        <v>89</v>
      </c>
      <c r="E10" s="431">
        <v>2010</v>
      </c>
      <c r="F10" s="432" t="s">
        <v>325</v>
      </c>
      <c r="G10" s="433" t="s">
        <v>89</v>
      </c>
      <c r="H10" s="440">
        <v>2010</v>
      </c>
      <c r="I10" s="432" t="s">
        <v>325</v>
      </c>
      <c r="J10" s="433" t="s">
        <v>89</v>
      </c>
    </row>
    <row r="11" spans="1:10" ht="11.25">
      <c r="A11" s="442" t="s">
        <v>32</v>
      </c>
      <c r="B11" s="240">
        <f>'HB'!E89</f>
        <v>767926.55</v>
      </c>
      <c r="C11" s="241">
        <f>'HB'!H89</f>
        <v>783450</v>
      </c>
      <c r="D11" s="242">
        <f>+C11-B11</f>
        <v>15523.449999999953</v>
      </c>
      <c r="E11" s="240">
        <f>'HB'!E26</f>
        <v>772051.4470000002</v>
      </c>
      <c r="F11" s="241">
        <f>'HB'!H26</f>
        <v>767307.5989999999</v>
      </c>
      <c r="G11" s="242">
        <f>+F11-E11</f>
        <v>-4743.848000000231</v>
      </c>
      <c r="H11" s="244">
        <f>+E11-B11</f>
        <v>4124.897000000114</v>
      </c>
      <c r="I11" s="241">
        <f>+F11-C11</f>
        <v>-16142.40100000007</v>
      </c>
      <c r="J11" s="242">
        <f>+I11-H11</f>
        <v>-20267.298000000184</v>
      </c>
    </row>
    <row r="12" spans="1:10" ht="11.25">
      <c r="A12" s="442" t="s">
        <v>242</v>
      </c>
      <c r="B12" s="240">
        <f>JI!E89</f>
        <v>1127247.71039</v>
      </c>
      <c r="C12" s="241">
        <f>JI!H89</f>
        <v>1121675.518</v>
      </c>
      <c r="D12" s="242">
        <f>+C12-B12</f>
        <v>-5572.192389999982</v>
      </c>
      <c r="E12" s="240">
        <f>JI!E26</f>
        <v>1154659.3255999996</v>
      </c>
      <c r="F12" s="241">
        <f>JI!H26</f>
        <v>1099395.8863962002</v>
      </c>
      <c r="G12" s="242">
        <f>+F12-E12</f>
        <v>-55263.43920379947</v>
      </c>
      <c r="H12" s="244">
        <f>+E12-B12</f>
        <v>27411.615209999727</v>
      </c>
      <c r="I12" s="241">
        <f>+F12-C12</f>
        <v>-22279.63160379976</v>
      </c>
      <c r="J12" s="242">
        <f>+I12-H12</f>
        <v>-49691.24681379949</v>
      </c>
    </row>
    <row r="13" spans="1:11" s="7" customFormat="1" ht="12" thickBot="1">
      <c r="A13" s="443" t="s">
        <v>21</v>
      </c>
      <c r="B13" s="435">
        <f aca="true" t="shared" si="0" ref="B13:J13">SUM(B11:B12)</f>
        <v>1895174.26039</v>
      </c>
      <c r="C13" s="436">
        <f t="shared" si="0"/>
        <v>1905125.518</v>
      </c>
      <c r="D13" s="437">
        <f t="shared" si="0"/>
        <v>9951.257609999971</v>
      </c>
      <c r="E13" s="435">
        <f t="shared" si="0"/>
        <v>1926710.7725999998</v>
      </c>
      <c r="F13" s="436">
        <f t="shared" si="0"/>
        <v>1866703.4853962</v>
      </c>
      <c r="G13" s="437">
        <f t="shared" si="0"/>
        <v>-60007.2872037997</v>
      </c>
      <c r="H13" s="441">
        <f t="shared" si="0"/>
        <v>31536.51220999984</v>
      </c>
      <c r="I13" s="436">
        <f t="shared" si="0"/>
        <v>-38422.03260379983</v>
      </c>
      <c r="J13" s="437">
        <f t="shared" si="0"/>
        <v>-69958.54481379967</v>
      </c>
      <c r="K13" s="230"/>
    </row>
    <row r="14" ht="6" customHeight="1"/>
    <row r="15" ht="12.75">
      <c r="A15" s="49" t="s">
        <v>90</v>
      </c>
    </row>
    <row r="16" ht="12" thickBot="1">
      <c r="A16" s="7" t="s">
        <v>327</v>
      </c>
    </row>
    <row r="17" spans="1:10" s="9" customFormat="1" ht="12" customHeight="1">
      <c r="A17" s="560" t="s">
        <v>91</v>
      </c>
      <c r="B17" s="550" t="s">
        <v>32</v>
      </c>
      <c r="C17" s="551"/>
      <c r="D17" s="552"/>
      <c r="E17" s="550" t="s">
        <v>242</v>
      </c>
      <c r="F17" s="551"/>
      <c r="G17" s="552"/>
      <c r="H17" s="550" t="s">
        <v>259</v>
      </c>
      <c r="I17" s="551"/>
      <c r="J17" s="552"/>
    </row>
    <row r="18" spans="1:11" ht="12" thickBot="1">
      <c r="A18" s="561"/>
      <c r="B18" s="290">
        <v>2010</v>
      </c>
      <c r="C18" s="249" t="s">
        <v>325</v>
      </c>
      <c r="D18" s="250" t="s">
        <v>89</v>
      </c>
      <c r="E18" s="290">
        <v>2010</v>
      </c>
      <c r="F18" s="249" t="s">
        <v>325</v>
      </c>
      <c r="G18" s="250" t="s">
        <v>89</v>
      </c>
      <c r="H18" s="290">
        <v>2010</v>
      </c>
      <c r="I18" s="249" t="s">
        <v>325</v>
      </c>
      <c r="J18" s="250" t="s">
        <v>89</v>
      </c>
      <c r="K18" s="6"/>
    </row>
    <row r="19" spans="1:11" ht="11.25">
      <c r="A19" s="218" t="s">
        <v>92</v>
      </c>
      <c r="B19" s="236">
        <v>480986.72</v>
      </c>
      <c r="C19" s="251">
        <v>480599.764</v>
      </c>
      <c r="D19" s="237">
        <f>+C19-B19</f>
        <v>-386.9559999999474</v>
      </c>
      <c r="E19" s="236">
        <v>818577.0166799998</v>
      </c>
      <c r="F19" s="251">
        <v>842783.7773276002</v>
      </c>
      <c r="G19" s="237">
        <f>+F19-E19</f>
        <v>24206.7606476004</v>
      </c>
      <c r="H19" s="236">
        <f>+B19+E19</f>
        <v>1299563.7366799996</v>
      </c>
      <c r="I19" s="251">
        <f>+C19+F19</f>
        <v>1323383.5413276001</v>
      </c>
      <c r="J19" s="237">
        <f>+I19-H19</f>
        <v>23819.80464760051</v>
      </c>
      <c r="K19" s="6"/>
    </row>
    <row r="20" spans="1:11" ht="11.25">
      <c r="A20" s="219" t="s">
        <v>93</v>
      </c>
      <c r="B20" s="240">
        <v>26580</v>
      </c>
      <c r="C20" s="252">
        <v>26580</v>
      </c>
      <c r="D20" s="242">
        <f aca="true" t="shared" si="1" ref="D20:D27">+C20-B20</f>
        <v>0</v>
      </c>
      <c r="E20" s="240">
        <v>13717.162829999996</v>
      </c>
      <c r="F20" s="252">
        <v>16489.2558</v>
      </c>
      <c r="G20" s="242">
        <f aca="true" t="shared" si="2" ref="G20:G28">+F20-E20</f>
        <v>2772.0929700000033</v>
      </c>
      <c r="H20" s="236">
        <f>+B20+E20</f>
        <v>40297.162829999994</v>
      </c>
      <c r="I20" s="251">
        <f>+C20+F20</f>
        <v>43069.2558</v>
      </c>
      <c r="J20" s="242">
        <f aca="true" t="shared" si="3" ref="J20:J28">+I20-H20</f>
        <v>2772.092970000005</v>
      </c>
      <c r="K20" s="6"/>
    </row>
    <row r="21" spans="1:10" s="9" customFormat="1" ht="11.25">
      <c r="A21" s="219" t="s">
        <v>247</v>
      </c>
      <c r="B21" s="254">
        <v>7881</v>
      </c>
      <c r="C21" s="255">
        <v>8709.28</v>
      </c>
      <c r="D21" s="256">
        <f t="shared" si="1"/>
        <v>828.2800000000007</v>
      </c>
      <c r="E21" s="254">
        <v>15850.172840000007</v>
      </c>
      <c r="F21" s="255">
        <v>20299.46392</v>
      </c>
      <c r="G21" s="256">
        <f t="shared" si="2"/>
        <v>4449.291079999992</v>
      </c>
      <c r="H21" s="236">
        <f aca="true" t="shared" si="4" ref="H21:H28">+B21+E21</f>
        <v>23731.172840000007</v>
      </c>
      <c r="I21" s="251">
        <f aca="true" t="shared" si="5" ref="I21:I28">+C21+F21</f>
        <v>29008.74392</v>
      </c>
      <c r="J21" s="256">
        <f t="shared" si="3"/>
        <v>5277.571079999994</v>
      </c>
    </row>
    <row r="22" spans="1:11" ht="11.25">
      <c r="A22" s="219" t="s">
        <v>94</v>
      </c>
      <c r="B22" s="240">
        <v>15323</v>
      </c>
      <c r="C22" s="252">
        <v>15024.348</v>
      </c>
      <c r="D22" s="242">
        <f t="shared" si="1"/>
        <v>-298.65200000000004</v>
      </c>
      <c r="E22" s="240">
        <v>11218.8094</v>
      </c>
      <c r="F22" s="252">
        <v>8334.4302</v>
      </c>
      <c r="G22" s="242">
        <f t="shared" si="2"/>
        <v>-2884.3791999999994</v>
      </c>
      <c r="H22" s="236">
        <f t="shared" si="4"/>
        <v>26541.8094</v>
      </c>
      <c r="I22" s="251">
        <f t="shared" si="5"/>
        <v>23358.7782</v>
      </c>
      <c r="J22" s="242">
        <f t="shared" si="3"/>
        <v>-3183.0311999999976</v>
      </c>
      <c r="K22" s="6"/>
    </row>
    <row r="23" spans="1:11" ht="11.25">
      <c r="A23" s="219" t="s">
        <v>95</v>
      </c>
      <c r="B23" s="240">
        <v>121</v>
      </c>
      <c r="C23" s="252">
        <v>121</v>
      </c>
      <c r="D23" s="242">
        <f t="shared" si="1"/>
        <v>0</v>
      </c>
      <c r="E23" s="240"/>
      <c r="F23" s="252">
        <v>2122</v>
      </c>
      <c r="G23" s="242">
        <f t="shared" si="2"/>
        <v>2122</v>
      </c>
      <c r="H23" s="236">
        <f t="shared" si="4"/>
        <v>121</v>
      </c>
      <c r="I23" s="251">
        <f t="shared" si="5"/>
        <v>2243</v>
      </c>
      <c r="J23" s="242">
        <f t="shared" si="3"/>
        <v>2122</v>
      </c>
      <c r="K23" s="6"/>
    </row>
    <row r="24" spans="1:11" ht="11.25">
      <c r="A24" s="219" t="s">
        <v>96</v>
      </c>
      <c r="B24" s="240">
        <v>39262</v>
      </c>
      <c r="C24" s="252">
        <v>38494.472</v>
      </c>
      <c r="D24" s="242">
        <f t="shared" si="1"/>
        <v>-767.5279999999984</v>
      </c>
      <c r="E24" s="240">
        <v>33868.53105999998</v>
      </c>
      <c r="F24" s="252">
        <v>37605.61914</v>
      </c>
      <c r="G24" s="242">
        <f t="shared" si="2"/>
        <v>3737.088080000023</v>
      </c>
      <c r="H24" s="236">
        <f t="shared" si="4"/>
        <v>73130.53105999998</v>
      </c>
      <c r="I24" s="251">
        <f t="shared" si="5"/>
        <v>76100.09114</v>
      </c>
      <c r="J24" s="242">
        <f t="shared" si="3"/>
        <v>2969.5600800000248</v>
      </c>
      <c r="K24" s="6"/>
    </row>
    <row r="25" spans="1:11" ht="11.25">
      <c r="A25" s="219" t="s">
        <v>97</v>
      </c>
      <c r="B25" s="240">
        <v>63</v>
      </c>
      <c r="C25" s="252">
        <v>63</v>
      </c>
      <c r="D25" s="242">
        <f t="shared" si="1"/>
        <v>0</v>
      </c>
      <c r="E25" s="240">
        <v>216.7502000000001</v>
      </c>
      <c r="F25" s="252">
        <v>191</v>
      </c>
      <c r="G25" s="242">
        <f t="shared" si="2"/>
        <v>-25.750200000000092</v>
      </c>
      <c r="H25" s="236">
        <f t="shared" si="4"/>
        <v>279.75020000000006</v>
      </c>
      <c r="I25" s="251">
        <f t="shared" si="5"/>
        <v>254</v>
      </c>
      <c r="J25" s="242">
        <f t="shared" si="3"/>
        <v>-25.750200000000063</v>
      </c>
      <c r="K25" s="6"/>
    </row>
    <row r="26" spans="1:11" ht="11.25">
      <c r="A26" s="219" t="s">
        <v>98</v>
      </c>
      <c r="B26" s="240">
        <v>51421</v>
      </c>
      <c r="C26" s="252">
        <v>50401.72</v>
      </c>
      <c r="D26" s="242">
        <f t="shared" si="1"/>
        <v>-1019.2799999999988</v>
      </c>
      <c r="E26" s="240">
        <v>4318.491840000003</v>
      </c>
      <c r="F26" s="252">
        <v>6634.5848</v>
      </c>
      <c r="G26" s="242">
        <f t="shared" si="2"/>
        <v>2316.0929599999963</v>
      </c>
      <c r="H26" s="236">
        <f t="shared" si="4"/>
        <v>55739.49184</v>
      </c>
      <c r="I26" s="251">
        <f t="shared" si="5"/>
        <v>57036.3048</v>
      </c>
      <c r="J26" s="242">
        <f t="shared" si="3"/>
        <v>1296.8129599999957</v>
      </c>
      <c r="K26" s="6"/>
    </row>
    <row r="27" spans="1:11" ht="11.25">
      <c r="A27" s="219" t="s">
        <v>99</v>
      </c>
      <c r="B27" s="240"/>
      <c r="C27" s="252"/>
      <c r="D27" s="242">
        <f t="shared" si="1"/>
        <v>0</v>
      </c>
      <c r="E27" s="240">
        <v>3558.49</v>
      </c>
      <c r="F27" s="252">
        <v>80.96720859999999</v>
      </c>
      <c r="G27" s="242">
        <f t="shared" si="2"/>
        <v>-3477.5227913999997</v>
      </c>
      <c r="H27" s="236">
        <f t="shared" si="4"/>
        <v>3558.49</v>
      </c>
      <c r="I27" s="251">
        <f t="shared" si="5"/>
        <v>80.96720859999999</v>
      </c>
      <c r="J27" s="242">
        <f t="shared" si="3"/>
        <v>-3477.5227913999997</v>
      </c>
      <c r="K27" s="6"/>
    </row>
    <row r="28" spans="1:11" ht="12" thickBot="1">
      <c r="A28" s="338" t="s">
        <v>470</v>
      </c>
      <c r="B28" s="339"/>
      <c r="C28" s="340"/>
      <c r="D28" s="341"/>
      <c r="E28" s="240">
        <v>55659.83313</v>
      </c>
      <c r="F28" s="252">
        <v>13000</v>
      </c>
      <c r="G28" s="439">
        <f t="shared" si="2"/>
        <v>-42659.83313</v>
      </c>
      <c r="H28" s="236">
        <f t="shared" si="4"/>
        <v>55659.83313</v>
      </c>
      <c r="I28" s="251">
        <f t="shared" si="5"/>
        <v>13000</v>
      </c>
      <c r="J28" s="242">
        <f t="shared" si="3"/>
        <v>-42659.83313</v>
      </c>
      <c r="K28" s="6"/>
    </row>
    <row r="29" spans="1:11" ht="12" thickBot="1">
      <c r="A29" s="53" t="s">
        <v>21</v>
      </c>
      <c r="B29" s="245">
        <f aca="true" t="shared" si="6" ref="B29:G29">SUM(B19:B28)</f>
        <v>621637.72</v>
      </c>
      <c r="C29" s="253">
        <f t="shared" si="6"/>
        <v>619993.584</v>
      </c>
      <c r="D29" s="246">
        <f>SUM(D19:D28)</f>
        <v>-1644.135999999944</v>
      </c>
      <c r="E29" s="245">
        <f>SUM(E19:E28)</f>
        <v>956985.2579799999</v>
      </c>
      <c r="F29" s="253">
        <f t="shared" si="6"/>
        <v>947541.0983962001</v>
      </c>
      <c r="G29" s="246">
        <f t="shared" si="6"/>
        <v>-9444.159583799585</v>
      </c>
      <c r="H29" s="245">
        <f>SUM(H19:H28)</f>
        <v>1578622.9779799993</v>
      </c>
      <c r="I29" s="253">
        <f>SUM(I19:I28)</f>
        <v>1567534.6823962</v>
      </c>
      <c r="J29" s="246">
        <f>SUM(J19:J28)</f>
        <v>-11088.295583799467</v>
      </c>
      <c r="K29" s="6"/>
    </row>
    <row r="30" ht="5.25" customHeight="1"/>
    <row r="31" ht="4.5" customHeight="1"/>
    <row r="32" ht="12" thickBot="1">
      <c r="A32" s="7" t="s">
        <v>373</v>
      </c>
    </row>
    <row r="33" spans="1:11" ht="12.75">
      <c r="A33" s="546" t="s">
        <v>374</v>
      </c>
      <c r="B33" s="550" t="s">
        <v>32</v>
      </c>
      <c r="C33" s="551"/>
      <c r="D33" s="552"/>
      <c r="E33" s="550" t="s">
        <v>242</v>
      </c>
      <c r="F33" s="551"/>
      <c r="G33" s="552"/>
      <c r="H33" s="550" t="s">
        <v>259</v>
      </c>
      <c r="I33" s="551"/>
      <c r="J33" s="552"/>
      <c r="K33" s="6"/>
    </row>
    <row r="34" spans="1:11" ht="12" thickBot="1">
      <c r="A34" s="547"/>
      <c r="B34" s="290">
        <v>2010</v>
      </c>
      <c r="C34" s="249" t="s">
        <v>325</v>
      </c>
      <c r="D34" s="250" t="s">
        <v>89</v>
      </c>
      <c r="E34" s="290">
        <v>2010</v>
      </c>
      <c r="F34" s="249" t="s">
        <v>325</v>
      </c>
      <c r="G34" s="250" t="s">
        <v>89</v>
      </c>
      <c r="H34" s="290">
        <v>2010</v>
      </c>
      <c r="I34" s="249" t="s">
        <v>325</v>
      </c>
      <c r="J34" s="250" t="s">
        <v>89</v>
      </c>
      <c r="K34" s="6"/>
    </row>
    <row r="35" spans="1:11" ht="11.25">
      <c r="A35" s="444" t="str">
        <f>'HB'!A94</f>
        <v>sestra + pojištění</v>
      </c>
      <c r="B35" s="257">
        <f>'HB'!D94/1000</f>
        <v>1569</v>
      </c>
      <c r="C35" s="258">
        <f>'HB'!E94/1000</f>
        <v>1491</v>
      </c>
      <c r="D35" s="259">
        <f>+C35-B35</f>
        <v>-78</v>
      </c>
      <c r="E35" s="291">
        <f>JI!D94/1000</f>
        <v>1374</v>
      </c>
      <c r="F35" s="298">
        <f>JI!E94/1000</f>
        <v>1305</v>
      </c>
      <c r="G35" s="260">
        <f>+F35-E35</f>
        <v>-69</v>
      </c>
      <c r="H35" s="263">
        <f>+B35+E35</f>
        <v>2943</v>
      </c>
      <c r="I35" s="263">
        <f>+C35+F35</f>
        <v>2796</v>
      </c>
      <c r="J35" s="295">
        <f>+I35-H35</f>
        <v>-147</v>
      </c>
      <c r="K35" s="6"/>
    </row>
    <row r="36" spans="1:11" ht="11.25">
      <c r="A36" s="220" t="str">
        <f>'HB'!A95</f>
        <v>nájemné</v>
      </c>
      <c r="B36" s="257">
        <f>'HB'!D95/1000</f>
        <v>0</v>
      </c>
      <c r="C36" s="258">
        <f>'HB'!E95/1000</f>
        <v>5000</v>
      </c>
      <c r="D36" s="261">
        <f aca="true" t="shared" si="7" ref="D36:D51">+C36-B36</f>
        <v>5000</v>
      </c>
      <c r="E36" s="293">
        <f>JI!D95/1000</f>
        <v>0</v>
      </c>
      <c r="F36" s="300">
        <f>JI!E95/1000</f>
        <v>0</v>
      </c>
      <c r="G36" s="262">
        <f aca="true" t="shared" si="8" ref="G36:G51">+F36-E36</f>
        <v>0</v>
      </c>
      <c r="H36" s="263">
        <f>+B36+E36</f>
        <v>0</v>
      </c>
      <c r="I36" s="263">
        <f>+C36+F36</f>
        <v>5000</v>
      </c>
      <c r="J36" s="265">
        <f aca="true" t="shared" si="9" ref="J36:J51">+I36-H36</f>
        <v>5000</v>
      </c>
      <c r="K36" s="6"/>
    </row>
    <row r="37" spans="1:11" ht="11.25">
      <c r="A37" s="220" t="str">
        <f>'HB'!A96</f>
        <v>příkazní smlouvy</v>
      </c>
      <c r="B37" s="257">
        <f>'HB'!D96/1000</f>
        <v>60.972</v>
      </c>
      <c r="C37" s="258">
        <f>'HB'!E96/1000</f>
        <v>0</v>
      </c>
      <c r="D37" s="261">
        <f t="shared" si="7"/>
        <v>-60.972</v>
      </c>
      <c r="E37" s="293">
        <f>JI!D96/1000</f>
        <v>86.088</v>
      </c>
      <c r="F37" s="300">
        <f>JI!E96/1000</f>
        <v>0</v>
      </c>
      <c r="G37" s="262">
        <f t="shared" si="8"/>
        <v>-86.088</v>
      </c>
      <c r="H37" s="263">
        <f aca="true" t="shared" si="10" ref="H37:H51">+B37+E37</f>
        <v>147.06</v>
      </c>
      <c r="I37" s="263">
        <f aca="true" t="shared" si="11" ref="I37:I51">+C37+F37</f>
        <v>0</v>
      </c>
      <c r="J37" s="265">
        <f t="shared" si="9"/>
        <v>-147.06</v>
      </c>
      <c r="K37" s="6"/>
    </row>
    <row r="38" spans="1:10" s="54" customFormat="1" ht="11.25">
      <c r="A38" s="220" t="str">
        <f>'HB'!A97</f>
        <v>provozní transfery od zřizovatele - prodej majetku</v>
      </c>
      <c r="B38" s="257">
        <f>'HB'!D97/1000</f>
        <v>9.5</v>
      </c>
      <c r="C38" s="258">
        <f>'HB'!E97/1000</f>
        <v>0</v>
      </c>
      <c r="D38" s="264">
        <f t="shared" si="7"/>
        <v>-9.5</v>
      </c>
      <c r="E38" s="293">
        <f>JI!D97/1000</f>
        <v>28.803</v>
      </c>
      <c r="F38" s="299">
        <f>JI!E97/1000</f>
        <v>0</v>
      </c>
      <c r="G38" s="265">
        <f t="shared" si="8"/>
        <v>-28.803</v>
      </c>
      <c r="H38" s="263">
        <f t="shared" si="10"/>
        <v>38.303</v>
      </c>
      <c r="I38" s="263">
        <f t="shared" si="11"/>
        <v>0</v>
      </c>
      <c r="J38" s="265">
        <f t="shared" si="9"/>
        <v>-38.303</v>
      </c>
    </row>
    <row r="39" spans="1:11" ht="11.25">
      <c r="A39" s="220" t="str">
        <f>'HB'!A98</f>
        <v>akreditace</v>
      </c>
      <c r="B39" s="257">
        <f>'HB'!D98/1000</f>
        <v>0</v>
      </c>
      <c r="C39" s="258">
        <f>'HB'!E98/1000</f>
        <v>0</v>
      </c>
      <c r="D39" s="261">
        <f t="shared" si="7"/>
        <v>0</v>
      </c>
      <c r="E39" s="292">
        <f>JI!D98/1000</f>
        <v>0</v>
      </c>
      <c r="F39" s="299">
        <f>JI!E98/1000</f>
        <v>0</v>
      </c>
      <c r="G39" s="262">
        <f t="shared" si="8"/>
        <v>0</v>
      </c>
      <c r="H39" s="263">
        <f t="shared" si="10"/>
        <v>0</v>
      </c>
      <c r="I39" s="263">
        <f t="shared" si="11"/>
        <v>0</v>
      </c>
      <c r="J39" s="265">
        <f t="shared" si="9"/>
        <v>0</v>
      </c>
      <c r="K39" s="6"/>
    </row>
    <row r="40" spans="1:11" ht="11.25">
      <c r="A40" s="220" t="str">
        <f>'HB'!A99</f>
        <v>LSPP</v>
      </c>
      <c r="B40" s="257">
        <f>'HB'!D99/1000</f>
        <v>4000</v>
      </c>
      <c r="C40" s="258">
        <f>'HB'!E99/1000</f>
        <v>4000</v>
      </c>
      <c r="D40" s="261">
        <f t="shared" si="7"/>
        <v>0</v>
      </c>
      <c r="E40" s="292">
        <f>JI!D99/1000</f>
        <v>4000</v>
      </c>
      <c r="F40" s="299">
        <f>JI!E99/1000</f>
        <v>4000</v>
      </c>
      <c r="G40" s="262">
        <f t="shared" si="8"/>
        <v>0</v>
      </c>
      <c r="H40" s="263">
        <f t="shared" si="10"/>
        <v>8000</v>
      </c>
      <c r="I40" s="263">
        <f t="shared" si="11"/>
        <v>8000</v>
      </c>
      <c r="J40" s="265">
        <f t="shared" si="9"/>
        <v>0</v>
      </c>
      <c r="K40" s="6"/>
    </row>
    <row r="41" spans="1:11" ht="11.25">
      <c r="A41" s="221" t="str">
        <f>'HB'!A100</f>
        <v>podpora vzdělávání</v>
      </c>
      <c r="B41" s="257">
        <f>'HB'!D100/1000</f>
        <v>16.9</v>
      </c>
      <c r="C41" s="258">
        <f>'HB'!E100/1000</f>
        <v>0</v>
      </c>
      <c r="D41" s="261">
        <f t="shared" si="7"/>
        <v>-16.9</v>
      </c>
      <c r="E41" s="292">
        <f>JI!D100/1000</f>
        <v>299.506</v>
      </c>
      <c r="F41" s="299">
        <f>JI!E100/1000</f>
        <v>0</v>
      </c>
      <c r="G41" s="262">
        <f t="shared" si="8"/>
        <v>-299.506</v>
      </c>
      <c r="H41" s="263">
        <f t="shared" si="10"/>
        <v>316.40599999999995</v>
      </c>
      <c r="I41" s="263">
        <f t="shared" si="11"/>
        <v>0</v>
      </c>
      <c r="J41" s="265">
        <f t="shared" si="9"/>
        <v>-316.40599999999995</v>
      </c>
      <c r="K41" s="6"/>
    </row>
    <row r="42" spans="1:10" s="54" customFormat="1" ht="11.25">
      <c r="A42" s="221" t="str">
        <f>'HB'!A101</f>
        <v>specializační vzdělávání zdravotnických pracovníků</v>
      </c>
      <c r="B42" s="257">
        <f>'HB'!D101/1000</f>
        <v>182.665</v>
      </c>
      <c r="C42" s="258">
        <f>'HB'!E101/1000</f>
        <v>113.499</v>
      </c>
      <c r="D42" s="264">
        <f t="shared" si="7"/>
        <v>-69.166</v>
      </c>
      <c r="E42" s="292">
        <f>JI!D101/1000</f>
        <v>1012.217</v>
      </c>
      <c r="F42" s="299">
        <f>JI!E101/1000</f>
        <v>2150.558</v>
      </c>
      <c r="G42" s="265">
        <f t="shared" si="8"/>
        <v>1138.341</v>
      </c>
      <c r="H42" s="263">
        <f t="shared" si="10"/>
        <v>1194.882</v>
      </c>
      <c r="I42" s="263">
        <f t="shared" si="11"/>
        <v>2264.057</v>
      </c>
      <c r="J42" s="265">
        <f t="shared" si="9"/>
        <v>1069.1749999999997</v>
      </c>
    </row>
    <row r="43" spans="1:10" s="54" customFormat="1" ht="11.25">
      <c r="A43" s="221" t="str">
        <f>'HB'!A102</f>
        <v>realizace zdravotnického vzdělávacího programu</v>
      </c>
      <c r="B43" s="257">
        <f>'HB'!D102/1000</f>
        <v>0</v>
      </c>
      <c r="C43" s="258">
        <f>'HB'!E102/1000</f>
        <v>0</v>
      </c>
      <c r="D43" s="264">
        <f t="shared" si="7"/>
        <v>0</v>
      </c>
      <c r="E43" s="292">
        <f>JI!D102/1000</f>
        <v>0</v>
      </c>
      <c r="F43" s="299">
        <f>JI!E102/1000</f>
        <v>0</v>
      </c>
      <c r="G43" s="265">
        <f t="shared" si="8"/>
        <v>0</v>
      </c>
      <c r="H43" s="263">
        <f t="shared" si="10"/>
        <v>0</v>
      </c>
      <c r="I43" s="263">
        <f t="shared" si="11"/>
        <v>0</v>
      </c>
      <c r="J43" s="265">
        <f t="shared" si="9"/>
        <v>0</v>
      </c>
    </row>
    <row r="44" spans="1:11" ht="11.25">
      <c r="A44" s="221" t="str">
        <f>'HB'!A103</f>
        <v>sociální lůžka</v>
      </c>
      <c r="B44" s="257">
        <f>'HB'!D103/1000</f>
        <v>0</v>
      </c>
      <c r="C44" s="258">
        <f>'HB'!E103/1000</f>
        <v>0</v>
      </c>
      <c r="D44" s="261">
        <f t="shared" si="7"/>
        <v>0</v>
      </c>
      <c r="E44" s="292">
        <f>JI!D103/1000</f>
        <v>0</v>
      </c>
      <c r="F44" s="299">
        <f>JI!E103/1000</f>
        <v>0</v>
      </c>
      <c r="G44" s="262">
        <f t="shared" si="8"/>
        <v>0</v>
      </c>
      <c r="H44" s="263">
        <f t="shared" si="10"/>
        <v>0</v>
      </c>
      <c r="I44" s="263">
        <f t="shared" si="11"/>
        <v>0</v>
      </c>
      <c r="J44" s="265">
        <f t="shared" si="9"/>
        <v>0</v>
      </c>
      <c r="K44" s="6"/>
    </row>
    <row r="45" spans="1:11" ht="11.25">
      <c r="A45" s="220" t="str">
        <f>'HB'!A104</f>
        <v>NOR</v>
      </c>
      <c r="B45" s="257">
        <f>'HB'!D104/1000</f>
        <v>55.1</v>
      </c>
      <c r="C45" s="258">
        <f>'HB'!E104/1000</f>
        <v>0</v>
      </c>
      <c r="D45" s="267">
        <f t="shared" si="7"/>
        <v>-55.1</v>
      </c>
      <c r="E45" s="292">
        <f>JI!D104/1000</f>
        <v>76.7</v>
      </c>
      <c r="F45" s="299">
        <f>JI!E104/1000</f>
        <v>0</v>
      </c>
      <c r="G45" s="268">
        <f t="shared" si="8"/>
        <v>-76.7</v>
      </c>
      <c r="H45" s="263">
        <f t="shared" si="10"/>
        <v>131.8</v>
      </c>
      <c r="I45" s="263">
        <f t="shared" si="11"/>
        <v>0</v>
      </c>
      <c r="J45" s="265">
        <f t="shared" si="9"/>
        <v>-131.8</v>
      </c>
      <c r="K45" s="6"/>
    </row>
    <row r="46" spans="1:11" ht="11.25">
      <c r="A46" s="221" t="str">
        <f>'HB'!A105</f>
        <v>standard ICT</v>
      </c>
      <c r="B46" s="257">
        <f>'HB'!D105/1000</f>
        <v>0</v>
      </c>
      <c r="C46" s="258">
        <f>'HB'!E105/1000</f>
        <v>0</v>
      </c>
      <c r="D46" s="267">
        <f t="shared" si="7"/>
        <v>0</v>
      </c>
      <c r="E46" s="292">
        <f>JI!D109/1000</f>
        <v>119.3</v>
      </c>
      <c r="F46" s="299">
        <f>JI!E105/1000</f>
        <v>0</v>
      </c>
      <c r="G46" s="268">
        <f t="shared" si="8"/>
        <v>-119.3</v>
      </c>
      <c r="H46" s="263">
        <f t="shared" si="10"/>
        <v>119.3</v>
      </c>
      <c r="I46" s="263">
        <f t="shared" si="11"/>
        <v>0</v>
      </c>
      <c r="J46" s="265">
        <f t="shared" si="9"/>
        <v>-119.3</v>
      </c>
      <c r="K46" s="6"/>
    </row>
    <row r="47" spans="1:11" ht="11.25">
      <c r="A47" s="221" t="str">
        <f>'HB'!A106</f>
        <v>semináře + konference</v>
      </c>
      <c r="B47" s="257">
        <f>'HB'!D106/1000</f>
        <v>60</v>
      </c>
      <c r="C47" s="258">
        <f>'HB'!E106/1000</f>
        <v>0</v>
      </c>
      <c r="D47" s="267">
        <f t="shared" si="7"/>
        <v>-60</v>
      </c>
      <c r="E47" s="292">
        <f>JI!D106/1000</f>
        <v>95</v>
      </c>
      <c r="F47" s="299">
        <f>JI!E106/1000</f>
        <v>0</v>
      </c>
      <c r="G47" s="268">
        <f t="shared" si="8"/>
        <v>-95</v>
      </c>
      <c r="H47" s="263">
        <f t="shared" si="10"/>
        <v>155</v>
      </c>
      <c r="I47" s="263">
        <f t="shared" si="11"/>
        <v>0</v>
      </c>
      <c r="J47" s="265">
        <f t="shared" si="9"/>
        <v>-155</v>
      </c>
      <c r="K47" s="6"/>
    </row>
    <row r="48" spans="1:11" ht="11.25">
      <c r="A48" s="221" t="s">
        <v>471</v>
      </c>
      <c r="B48" s="257">
        <f>'HB'!D107/1000</f>
        <v>0</v>
      </c>
      <c r="C48" s="258">
        <f>'HB'!E107/1000</f>
        <v>0</v>
      </c>
      <c r="D48" s="267">
        <f t="shared" si="7"/>
        <v>0</v>
      </c>
      <c r="E48" s="292">
        <f>JI!D107/1000</f>
        <v>0</v>
      </c>
      <c r="F48" s="299">
        <f>JI!E111/1000</f>
        <v>241.23</v>
      </c>
      <c r="G48" s="268">
        <f t="shared" si="8"/>
        <v>241.23</v>
      </c>
      <c r="H48" s="263">
        <f t="shared" si="10"/>
        <v>0</v>
      </c>
      <c r="I48" s="263">
        <f t="shared" si="11"/>
        <v>241.23</v>
      </c>
      <c r="J48" s="265">
        <f t="shared" si="9"/>
        <v>241.23</v>
      </c>
      <c r="K48" s="6"/>
    </row>
    <row r="49" spans="1:11" ht="11.25">
      <c r="A49" s="221" t="s">
        <v>472</v>
      </c>
      <c r="B49" s="257"/>
      <c r="C49" s="258"/>
      <c r="D49" s="267">
        <f t="shared" si="7"/>
        <v>0</v>
      </c>
      <c r="E49" s="292"/>
      <c r="F49" s="299">
        <f>JI!E112/1000</f>
        <v>663</v>
      </c>
      <c r="G49" s="268"/>
      <c r="H49" s="263">
        <f t="shared" si="10"/>
        <v>0</v>
      </c>
      <c r="I49" s="263">
        <f t="shared" si="11"/>
        <v>663</v>
      </c>
      <c r="J49" s="265">
        <f t="shared" si="9"/>
        <v>663</v>
      </c>
      <c r="K49" s="6"/>
    </row>
    <row r="50" spans="1:11" ht="11.25">
      <c r="A50" s="221" t="str">
        <f>'HB'!A108</f>
        <v>národní program zdraví</v>
      </c>
      <c r="B50" s="257">
        <f>'HB'!D108/1000</f>
        <v>100</v>
      </c>
      <c r="C50" s="258">
        <f>'HB'!E108/1000</f>
        <v>0</v>
      </c>
      <c r="D50" s="267">
        <f t="shared" si="7"/>
        <v>-100</v>
      </c>
      <c r="E50" s="292">
        <f>JI!D108/1000</f>
        <v>0</v>
      </c>
      <c r="F50" s="299">
        <f>JI!E108/1000</f>
        <v>0</v>
      </c>
      <c r="G50" s="268">
        <f t="shared" si="8"/>
        <v>0</v>
      </c>
      <c r="H50" s="263">
        <f t="shared" si="10"/>
        <v>100</v>
      </c>
      <c r="I50" s="263">
        <f t="shared" si="11"/>
        <v>0</v>
      </c>
      <c r="J50" s="265">
        <f t="shared" si="9"/>
        <v>-100</v>
      </c>
      <c r="K50" s="6"/>
    </row>
    <row r="51" spans="1:11" ht="12" thickBot="1">
      <c r="A51" s="220" t="s">
        <v>52</v>
      </c>
      <c r="B51" s="269">
        <f>('HB'!D109+'HB'!D113+'HB'!D110)/1000</f>
        <v>21100.28</v>
      </c>
      <c r="C51" s="258">
        <f>'HB'!E109/1000</f>
        <v>100</v>
      </c>
      <c r="D51" s="267">
        <f t="shared" si="7"/>
        <v>-21000.28</v>
      </c>
      <c r="E51" s="270">
        <f>JI!D110/1000</f>
        <v>33049</v>
      </c>
      <c r="F51" s="297">
        <f>JI!E109/1000</f>
        <v>0</v>
      </c>
      <c r="G51" s="268">
        <f t="shared" si="8"/>
        <v>-33049</v>
      </c>
      <c r="H51" s="263">
        <f t="shared" si="10"/>
        <v>54149.28</v>
      </c>
      <c r="I51" s="263">
        <f t="shared" si="11"/>
        <v>100</v>
      </c>
      <c r="J51" s="265">
        <f t="shared" si="9"/>
        <v>-54049.28</v>
      </c>
      <c r="K51" s="6"/>
    </row>
    <row r="52" spans="1:11" ht="12" thickBot="1">
      <c r="A52" s="222" t="s">
        <v>21</v>
      </c>
      <c r="B52" s="271">
        <f aca="true" t="shared" si="12" ref="B52:G52">SUM(B35:B51)</f>
        <v>27154.416999999998</v>
      </c>
      <c r="C52" s="272">
        <f t="shared" si="12"/>
        <v>10704.499</v>
      </c>
      <c r="D52" s="273">
        <f t="shared" si="12"/>
        <v>-16449.917999999998</v>
      </c>
      <c r="E52" s="271">
        <f t="shared" si="12"/>
        <v>40140.614</v>
      </c>
      <c r="F52" s="272">
        <f t="shared" si="12"/>
        <v>8359.788</v>
      </c>
      <c r="G52" s="273">
        <f t="shared" si="12"/>
        <v>-32443.826</v>
      </c>
      <c r="H52" s="271">
        <f>SUM(H35:H51)</f>
        <v>67295.031</v>
      </c>
      <c r="I52" s="272">
        <f>SUM(I35:I51)</f>
        <v>19064.287</v>
      </c>
      <c r="J52" s="273">
        <f>SUM(J35:J51)</f>
        <v>-48230.744</v>
      </c>
      <c r="K52" s="6"/>
    </row>
    <row r="53" ht="4.5" customHeight="1"/>
    <row r="54" spans="2:7" ht="11.25">
      <c r="B54" s="296"/>
      <c r="C54" s="296"/>
      <c r="D54" s="296"/>
      <c r="E54" s="296"/>
      <c r="F54" s="296"/>
      <c r="G54" s="296"/>
    </row>
    <row r="55" ht="13.5" thickBot="1">
      <c r="A55" s="49" t="s">
        <v>101</v>
      </c>
    </row>
    <row r="56" spans="1:10" ht="12.75">
      <c r="A56" s="564" t="s">
        <v>328</v>
      </c>
      <c r="B56" s="553" t="s">
        <v>102</v>
      </c>
      <c r="C56" s="548"/>
      <c r="D56" s="549"/>
      <c r="E56" s="553" t="s">
        <v>36</v>
      </c>
      <c r="F56" s="548"/>
      <c r="G56" s="549"/>
      <c r="H56" s="548" t="s">
        <v>103</v>
      </c>
      <c r="I56" s="548"/>
      <c r="J56" s="549"/>
    </row>
    <row r="57" spans="1:10" ht="12" thickBot="1">
      <c r="A57" s="565"/>
      <c r="B57" s="290">
        <v>2010</v>
      </c>
      <c r="C57" s="249" t="s">
        <v>325</v>
      </c>
      <c r="D57" s="433" t="s">
        <v>89</v>
      </c>
      <c r="E57" s="290">
        <v>2010</v>
      </c>
      <c r="F57" s="249" t="s">
        <v>325</v>
      </c>
      <c r="G57" s="433" t="s">
        <v>89</v>
      </c>
      <c r="H57" s="290">
        <v>2010</v>
      </c>
      <c r="I57" s="249" t="s">
        <v>325</v>
      </c>
      <c r="J57" s="433" t="s">
        <v>89</v>
      </c>
    </row>
    <row r="58" spans="1:10" ht="11.25">
      <c r="A58" s="51" t="s">
        <v>32</v>
      </c>
      <c r="B58" s="240">
        <f>'HB'!E55</f>
        <v>25398.46</v>
      </c>
      <c r="C58" s="241">
        <f>'HB'!H55</f>
        <v>25270</v>
      </c>
      <c r="D58" s="242">
        <f>+C58-B58</f>
        <v>-128.45999999999913</v>
      </c>
      <c r="E58" s="240">
        <f>'HB'!E84</f>
        <v>11811.83</v>
      </c>
      <c r="F58" s="241">
        <f>'HB'!H84</f>
        <v>21100</v>
      </c>
      <c r="G58" s="242">
        <f>+F58-E58</f>
        <v>9288.17</v>
      </c>
      <c r="H58" s="244">
        <f>'HB'!E62</f>
        <v>37207.479999999996</v>
      </c>
      <c r="I58" s="241">
        <f>'HB'!H62</f>
        <v>37250</v>
      </c>
      <c r="J58" s="242">
        <f>+I58-H58</f>
        <v>42.520000000004075</v>
      </c>
    </row>
    <row r="59" spans="1:10" ht="11.25">
      <c r="A59" s="51" t="s">
        <v>242</v>
      </c>
      <c r="B59" s="240">
        <f>JI!E55</f>
        <v>39338</v>
      </c>
      <c r="C59" s="241">
        <f>JI!H55</f>
        <v>39413</v>
      </c>
      <c r="D59" s="242">
        <f>+C59-B59</f>
        <v>75</v>
      </c>
      <c r="E59" s="240">
        <f>JI!E84</f>
        <v>29436</v>
      </c>
      <c r="F59" s="241">
        <f>JI!H84</f>
        <v>34935.518</v>
      </c>
      <c r="G59" s="242">
        <f>+F59-E59</f>
        <v>5499.517999999996</v>
      </c>
      <c r="H59" s="244">
        <f>JI!E62</f>
        <v>90636.22077999999</v>
      </c>
      <c r="I59" s="241">
        <f>JI!H62</f>
        <v>87745</v>
      </c>
      <c r="J59" s="242">
        <f>+I59-H59</f>
        <v>-2891.2207799999887</v>
      </c>
    </row>
    <row r="60" spans="1:11" s="7" customFormat="1" ht="12" thickBot="1">
      <c r="A60" s="434" t="s">
        <v>21</v>
      </c>
      <c r="B60" s="435">
        <f aca="true" t="shared" si="13" ref="B60:J60">SUM(B58:B59)</f>
        <v>64736.46</v>
      </c>
      <c r="C60" s="436">
        <f t="shared" si="13"/>
        <v>64683</v>
      </c>
      <c r="D60" s="437">
        <f t="shared" si="13"/>
        <v>-53.45999999999913</v>
      </c>
      <c r="E60" s="435">
        <f t="shared" si="13"/>
        <v>41247.83</v>
      </c>
      <c r="F60" s="436">
        <f t="shared" si="13"/>
        <v>56035.518</v>
      </c>
      <c r="G60" s="438">
        <f t="shared" si="13"/>
        <v>14787.687999999996</v>
      </c>
      <c r="H60" s="435">
        <f t="shared" si="13"/>
        <v>127843.70077999998</v>
      </c>
      <c r="I60" s="436">
        <f t="shared" si="13"/>
        <v>124995</v>
      </c>
      <c r="J60" s="437">
        <f t="shared" si="13"/>
        <v>-2848.7007799999847</v>
      </c>
      <c r="K60" s="230"/>
    </row>
    <row r="61" ht="12" thickBot="1"/>
    <row r="62" spans="1:10" s="9" customFormat="1" ht="12.75">
      <c r="A62" s="544" t="s">
        <v>326</v>
      </c>
      <c r="B62" s="550" t="s">
        <v>32</v>
      </c>
      <c r="C62" s="551"/>
      <c r="D62" s="552"/>
      <c r="E62" s="550" t="s">
        <v>242</v>
      </c>
      <c r="F62" s="551"/>
      <c r="G62" s="552"/>
      <c r="H62" s="550" t="s">
        <v>259</v>
      </c>
      <c r="I62" s="551"/>
      <c r="J62" s="552"/>
    </row>
    <row r="63" spans="1:10" s="9" customFormat="1" ht="12" thickBot="1">
      <c r="A63" s="545"/>
      <c r="B63" s="290">
        <v>2010</v>
      </c>
      <c r="C63" s="249" t="s">
        <v>325</v>
      </c>
      <c r="D63" s="233" t="s">
        <v>89</v>
      </c>
      <c r="E63" s="290">
        <v>2010</v>
      </c>
      <c r="F63" s="249" t="s">
        <v>325</v>
      </c>
      <c r="G63" s="274" t="s">
        <v>89</v>
      </c>
      <c r="H63" s="290">
        <v>2010</v>
      </c>
      <c r="I63" s="249" t="s">
        <v>325</v>
      </c>
      <c r="J63" s="289" t="s">
        <v>89</v>
      </c>
    </row>
    <row r="64" spans="1:10" s="9" customFormat="1" ht="11.25">
      <c r="A64" s="227" t="s">
        <v>25</v>
      </c>
      <c r="B64" s="275">
        <f>'HB'!E27</f>
        <v>186752.06</v>
      </c>
      <c r="C64" s="276">
        <f>'HB'!H27</f>
        <v>185800</v>
      </c>
      <c r="D64" s="277">
        <f aca="true" t="shared" si="14" ref="D64:D77">+C64-B64</f>
        <v>-952.0599999999977</v>
      </c>
      <c r="E64" s="275">
        <f>JI!E27</f>
        <v>359710.48961</v>
      </c>
      <c r="F64" s="276">
        <f>JI!H27</f>
        <v>360851</v>
      </c>
      <c r="G64" s="277">
        <f aca="true" t="shared" si="15" ref="G64:G77">+F64-E64</f>
        <v>1140.5103900000104</v>
      </c>
      <c r="H64" s="275">
        <f>+B64+E64</f>
        <v>546462.54961</v>
      </c>
      <c r="I64" s="276">
        <f>+C64+F64</f>
        <v>546651</v>
      </c>
      <c r="J64" s="277">
        <f aca="true" t="shared" si="16" ref="J64:J77">+I64-H64</f>
        <v>188.4503900000127</v>
      </c>
    </row>
    <row r="65" spans="1:10" s="9" customFormat="1" ht="11.25">
      <c r="A65" s="224" t="s">
        <v>248</v>
      </c>
      <c r="B65" s="254">
        <f>'HB'!E28</f>
        <v>52054.44</v>
      </c>
      <c r="C65" s="278">
        <f>'HB'!H28</f>
        <v>51500</v>
      </c>
      <c r="D65" s="256">
        <f t="shared" si="14"/>
        <v>-554.4400000000023</v>
      </c>
      <c r="E65" s="294">
        <f>JI!E28</f>
        <v>215583</v>
      </c>
      <c r="F65" s="280">
        <f>JI!H28</f>
        <v>219013</v>
      </c>
      <c r="G65" s="256">
        <f t="shared" si="15"/>
        <v>3430</v>
      </c>
      <c r="H65" s="254">
        <f>+B65+E65</f>
        <v>267637.44</v>
      </c>
      <c r="I65" s="280">
        <f>+C65+F65</f>
        <v>270513</v>
      </c>
      <c r="J65" s="256">
        <f t="shared" si="16"/>
        <v>2875.5599999999977</v>
      </c>
    </row>
    <row r="66" spans="1:10" s="9" customFormat="1" ht="11.25">
      <c r="A66" s="224" t="s">
        <v>249</v>
      </c>
      <c r="B66" s="254">
        <f>'HB'!E33</f>
        <v>95267.98</v>
      </c>
      <c r="C66" s="280">
        <f>'HB'!H33</f>
        <v>94700</v>
      </c>
      <c r="D66" s="256">
        <f t="shared" si="14"/>
        <v>-567.9799999999959</v>
      </c>
      <c r="E66" s="279">
        <f>JI!E33</f>
        <v>108503.48361</v>
      </c>
      <c r="F66" s="280">
        <f>JI!H33</f>
        <v>107003</v>
      </c>
      <c r="G66" s="256">
        <f t="shared" si="15"/>
        <v>-1500.4836099999957</v>
      </c>
      <c r="H66" s="254">
        <f aca="true" t="shared" si="17" ref="H66:H77">+B66+E66</f>
        <v>203771.46360999998</v>
      </c>
      <c r="I66" s="280">
        <f aca="true" t="shared" si="18" ref="I66:I77">+C66+F66</f>
        <v>201703</v>
      </c>
      <c r="J66" s="256">
        <f t="shared" si="16"/>
        <v>-2068.463609999977</v>
      </c>
    </row>
    <row r="67" spans="1:10" s="9" customFormat="1" ht="11.25">
      <c r="A67" s="225" t="s">
        <v>250</v>
      </c>
      <c r="B67" s="281">
        <f>'HB'!E34</f>
        <v>66</v>
      </c>
      <c r="C67" s="282">
        <f>'HB'!H34</f>
        <v>65</v>
      </c>
      <c r="D67" s="283">
        <f t="shared" si="14"/>
        <v>-1</v>
      </c>
      <c r="E67" s="284">
        <f>JI!E34</f>
        <v>670</v>
      </c>
      <c r="F67" s="282">
        <f>JI!H34</f>
        <v>670</v>
      </c>
      <c r="G67" s="283">
        <f t="shared" si="15"/>
        <v>0</v>
      </c>
      <c r="H67" s="254">
        <f t="shared" si="17"/>
        <v>736</v>
      </c>
      <c r="I67" s="280">
        <f t="shared" si="18"/>
        <v>735</v>
      </c>
      <c r="J67" s="256">
        <f t="shared" si="16"/>
        <v>-1</v>
      </c>
    </row>
    <row r="68" spans="1:10" s="9" customFormat="1" ht="11.25">
      <c r="A68" s="225" t="s">
        <v>251</v>
      </c>
      <c r="B68" s="281">
        <f>'HB'!E35</f>
        <v>741</v>
      </c>
      <c r="C68" s="282">
        <f>'HB'!H35</f>
        <v>730</v>
      </c>
      <c r="D68" s="283">
        <f t="shared" si="14"/>
        <v>-11</v>
      </c>
      <c r="E68" s="284">
        <f>JI!E35</f>
        <v>22982</v>
      </c>
      <c r="F68" s="282">
        <f>JI!H35</f>
        <v>23000</v>
      </c>
      <c r="G68" s="283">
        <f t="shared" si="15"/>
        <v>18</v>
      </c>
      <c r="H68" s="254">
        <f t="shared" si="17"/>
        <v>23723</v>
      </c>
      <c r="I68" s="280">
        <f t="shared" si="18"/>
        <v>23730</v>
      </c>
      <c r="J68" s="256">
        <f t="shared" si="16"/>
        <v>7</v>
      </c>
    </row>
    <row r="69" spans="1:10" s="9" customFormat="1" ht="11.25">
      <c r="A69" s="225" t="s">
        <v>252</v>
      </c>
      <c r="B69" s="281">
        <f>'HB'!E36</f>
        <v>15619</v>
      </c>
      <c r="C69" s="282">
        <f>'HB'!H36</f>
        <v>15520</v>
      </c>
      <c r="D69" s="283">
        <f t="shared" si="14"/>
        <v>-99</v>
      </c>
      <c r="E69" s="284">
        <f>JI!E36</f>
        <v>32286</v>
      </c>
      <c r="F69" s="282">
        <f>JI!H36</f>
        <v>32300</v>
      </c>
      <c r="G69" s="283">
        <f t="shared" si="15"/>
        <v>14</v>
      </c>
      <c r="H69" s="254">
        <f t="shared" si="17"/>
        <v>47905</v>
      </c>
      <c r="I69" s="280">
        <f t="shared" si="18"/>
        <v>47820</v>
      </c>
      <c r="J69" s="256">
        <f t="shared" si="16"/>
        <v>-85</v>
      </c>
    </row>
    <row r="70" spans="1:10" s="9" customFormat="1" ht="11.25">
      <c r="A70" s="225" t="s">
        <v>253</v>
      </c>
      <c r="B70" s="281">
        <f>'HB'!E37</f>
        <v>2966</v>
      </c>
      <c r="C70" s="282">
        <f>'HB'!H37</f>
        <v>2950</v>
      </c>
      <c r="D70" s="283">
        <f t="shared" si="14"/>
        <v>-16</v>
      </c>
      <c r="E70" s="284">
        <f>JI!E37</f>
        <v>3594</v>
      </c>
      <c r="F70" s="282">
        <f>JI!H37</f>
        <v>3600</v>
      </c>
      <c r="G70" s="283">
        <f t="shared" si="15"/>
        <v>6</v>
      </c>
      <c r="H70" s="254">
        <f t="shared" si="17"/>
        <v>6560</v>
      </c>
      <c r="I70" s="280">
        <f t="shared" si="18"/>
        <v>6550</v>
      </c>
      <c r="J70" s="256">
        <f t="shared" si="16"/>
        <v>-10</v>
      </c>
    </row>
    <row r="71" spans="1:10" s="9" customFormat="1" ht="11.25">
      <c r="A71" s="225" t="s">
        <v>254</v>
      </c>
      <c r="B71" s="281">
        <f>'HB'!E39</f>
        <v>2225</v>
      </c>
      <c r="C71" s="282">
        <f>'HB'!H39</f>
        <v>2200</v>
      </c>
      <c r="D71" s="283">
        <f t="shared" si="14"/>
        <v>-25</v>
      </c>
      <c r="E71" s="284">
        <f>JI!E39</f>
        <v>2323</v>
      </c>
      <c r="F71" s="282">
        <f>JI!H39</f>
        <v>2300</v>
      </c>
      <c r="G71" s="283">
        <f t="shared" si="15"/>
        <v>-23</v>
      </c>
      <c r="H71" s="254">
        <f t="shared" si="17"/>
        <v>4548</v>
      </c>
      <c r="I71" s="280">
        <f t="shared" si="18"/>
        <v>4500</v>
      </c>
      <c r="J71" s="283">
        <f t="shared" si="16"/>
        <v>-48</v>
      </c>
    </row>
    <row r="72" spans="1:10" s="9" customFormat="1" ht="11.25">
      <c r="A72" s="224" t="s">
        <v>255</v>
      </c>
      <c r="B72" s="254">
        <f>'HB'!E51</f>
        <v>1621.92</v>
      </c>
      <c r="C72" s="280">
        <f>'HB'!H51</f>
        <v>1600</v>
      </c>
      <c r="D72" s="256">
        <f t="shared" si="14"/>
        <v>-21.920000000000073</v>
      </c>
      <c r="E72" s="279">
        <f>JI!E51</f>
        <v>1590</v>
      </c>
      <c r="F72" s="280">
        <f>JI!H51</f>
        <v>1504</v>
      </c>
      <c r="G72" s="256">
        <f t="shared" si="15"/>
        <v>-86</v>
      </c>
      <c r="H72" s="254">
        <f t="shared" si="17"/>
        <v>3211.92</v>
      </c>
      <c r="I72" s="280">
        <f t="shared" si="18"/>
        <v>3104</v>
      </c>
      <c r="J72" s="256">
        <f t="shared" si="16"/>
        <v>-107.92000000000007</v>
      </c>
    </row>
    <row r="73" spans="1:10" s="9" customFormat="1" ht="11.25">
      <c r="A73" s="224" t="s">
        <v>256</v>
      </c>
      <c r="B73" s="254">
        <f>'HB'!E42</f>
        <v>13215.58</v>
      </c>
      <c r="C73" s="280">
        <f>'HB'!H42</f>
        <v>13200</v>
      </c>
      <c r="D73" s="256">
        <f t="shared" si="14"/>
        <v>-15.579999999999927</v>
      </c>
      <c r="E73" s="279">
        <f>JI!E42</f>
        <v>30087</v>
      </c>
      <c r="F73" s="280">
        <f>JI!H42</f>
        <v>29245</v>
      </c>
      <c r="G73" s="256">
        <f t="shared" si="15"/>
        <v>-842</v>
      </c>
      <c r="H73" s="254">
        <f t="shared" si="17"/>
        <v>43302.58</v>
      </c>
      <c r="I73" s="280">
        <f t="shared" si="18"/>
        <v>42445</v>
      </c>
      <c r="J73" s="256">
        <f t="shared" si="16"/>
        <v>-857.5800000000017</v>
      </c>
    </row>
    <row r="74" spans="1:10" s="9" customFormat="1" ht="11.25">
      <c r="A74" s="225" t="s">
        <v>257</v>
      </c>
      <c r="B74" s="281">
        <f>'HB'!E45</f>
        <v>1735</v>
      </c>
      <c r="C74" s="282">
        <f>'HB'!H45</f>
        <v>1740</v>
      </c>
      <c r="D74" s="283">
        <f t="shared" si="14"/>
        <v>5</v>
      </c>
      <c r="E74" s="284">
        <f>JI!E45</f>
        <v>1697</v>
      </c>
      <c r="F74" s="282">
        <f>JI!H45</f>
        <v>1700</v>
      </c>
      <c r="G74" s="283">
        <f t="shared" si="15"/>
        <v>3</v>
      </c>
      <c r="H74" s="254">
        <f t="shared" si="17"/>
        <v>3432</v>
      </c>
      <c r="I74" s="280">
        <f t="shared" si="18"/>
        <v>3440</v>
      </c>
      <c r="J74" s="283">
        <f t="shared" si="16"/>
        <v>8</v>
      </c>
    </row>
    <row r="75" spans="1:10" s="9" customFormat="1" ht="11.25">
      <c r="A75" s="224" t="s">
        <v>43</v>
      </c>
      <c r="B75" s="254">
        <f>'HB'!E47</f>
        <v>3791.75</v>
      </c>
      <c r="C75" s="280">
        <f>'HB'!H47</f>
        <v>3800</v>
      </c>
      <c r="D75" s="256">
        <f t="shared" si="14"/>
        <v>8.25</v>
      </c>
      <c r="E75" s="279">
        <f>JI!E47</f>
        <v>3521</v>
      </c>
      <c r="F75" s="280">
        <f>JI!H47</f>
        <v>3622</v>
      </c>
      <c r="G75" s="256">
        <f t="shared" si="15"/>
        <v>101</v>
      </c>
      <c r="H75" s="254">
        <f t="shared" si="17"/>
        <v>7312.75</v>
      </c>
      <c r="I75" s="280">
        <f t="shared" si="18"/>
        <v>7422</v>
      </c>
      <c r="J75" s="256">
        <f t="shared" si="16"/>
        <v>109.25</v>
      </c>
    </row>
    <row r="76" spans="1:10" s="9" customFormat="1" ht="11.25">
      <c r="A76" s="224" t="s">
        <v>44</v>
      </c>
      <c r="B76" s="254">
        <f>'HB'!E41</f>
        <v>720.6</v>
      </c>
      <c r="C76" s="280">
        <f>'HB'!H41</f>
        <v>720</v>
      </c>
      <c r="D76" s="256">
        <f t="shared" si="14"/>
        <v>-0.6000000000000227</v>
      </c>
      <c r="E76" s="279">
        <f>JI!E41</f>
        <v>338.006</v>
      </c>
      <c r="F76" s="280">
        <f>JI!H41</f>
        <v>384</v>
      </c>
      <c r="G76" s="256">
        <f t="shared" si="15"/>
        <v>45.99400000000003</v>
      </c>
      <c r="H76" s="254">
        <f t="shared" si="17"/>
        <v>1058.606</v>
      </c>
      <c r="I76" s="280">
        <f t="shared" si="18"/>
        <v>1104</v>
      </c>
      <c r="J76" s="256">
        <f t="shared" si="16"/>
        <v>45.394000000000005</v>
      </c>
    </row>
    <row r="77" spans="1:10" s="9" customFormat="1" ht="12" thickBot="1">
      <c r="A77" s="226" t="s">
        <v>258</v>
      </c>
      <c r="B77" s="285">
        <f>'HB'!E54</f>
        <v>195.44</v>
      </c>
      <c r="C77" s="286">
        <f>'HB'!H54</f>
        <v>180</v>
      </c>
      <c r="D77" s="287">
        <f t="shared" si="14"/>
        <v>-15.439999999999998</v>
      </c>
      <c r="E77" s="288">
        <f>JI!E54</f>
        <v>88</v>
      </c>
      <c r="F77" s="286">
        <f>JI!H54</f>
        <v>80</v>
      </c>
      <c r="G77" s="287">
        <f t="shared" si="15"/>
        <v>-8</v>
      </c>
      <c r="H77" s="285">
        <f t="shared" si="17"/>
        <v>283.44</v>
      </c>
      <c r="I77" s="286">
        <f t="shared" si="18"/>
        <v>260</v>
      </c>
      <c r="J77" s="287">
        <f t="shared" si="16"/>
        <v>-23.439999999999998</v>
      </c>
    </row>
    <row r="78" spans="1:11" s="9" customFormat="1" ht="5.25" customHeight="1">
      <c r="A78" s="54"/>
      <c r="B78" s="235"/>
      <c r="C78" s="235"/>
      <c r="D78" s="235"/>
      <c r="E78" s="235"/>
      <c r="F78" s="235"/>
      <c r="G78" s="235"/>
      <c r="H78" s="235"/>
      <c r="K78" s="235"/>
    </row>
    <row r="79" spans="2:11" s="9" customFormat="1" ht="12" thickBot="1">
      <c r="B79" s="235"/>
      <c r="C79" s="235"/>
      <c r="D79" s="235"/>
      <c r="E79" s="235"/>
      <c r="F79" s="235"/>
      <c r="G79" s="235"/>
      <c r="H79" s="235"/>
      <c r="I79" s="235"/>
      <c r="J79" s="235"/>
      <c r="K79" s="235"/>
    </row>
    <row r="80" spans="1:11" s="9" customFormat="1" ht="12.75">
      <c r="A80" s="564" t="s">
        <v>35</v>
      </c>
      <c r="B80" s="553" t="s">
        <v>104</v>
      </c>
      <c r="C80" s="548"/>
      <c r="D80" s="543"/>
      <c r="E80" s="549"/>
      <c r="F80" s="235"/>
      <c r="G80" s="235"/>
      <c r="H80" s="235"/>
      <c r="I80" s="235"/>
      <c r="J80" s="235"/>
      <c r="K80" s="235"/>
    </row>
    <row r="81" spans="1:11" s="54" customFormat="1" ht="12.75" customHeight="1" thickBot="1">
      <c r="A81" s="565"/>
      <c r="B81" s="528">
        <v>2010</v>
      </c>
      <c r="C81" s="529" t="s">
        <v>325</v>
      </c>
      <c r="D81" s="530" t="s">
        <v>89</v>
      </c>
      <c r="E81" s="527" t="s">
        <v>27</v>
      </c>
      <c r="F81" s="266"/>
      <c r="G81" s="266"/>
      <c r="H81" s="266"/>
      <c r="I81" s="266"/>
      <c r="J81" s="266"/>
      <c r="K81" s="266"/>
    </row>
    <row r="82" spans="1:11" s="9" customFormat="1" ht="11.25">
      <c r="A82" s="442" t="s">
        <v>32</v>
      </c>
      <c r="B82" s="244">
        <f>'HB'!E73</f>
        <v>436909.31</v>
      </c>
      <c r="C82" s="241">
        <f>'HB'!H73</f>
        <v>445780</v>
      </c>
      <c r="D82" s="241">
        <f>+C82-B82</f>
        <v>8870.690000000002</v>
      </c>
      <c r="E82" s="541">
        <f>+C82/B82</f>
        <v>1.020303275295278</v>
      </c>
      <c r="F82" s="235"/>
      <c r="G82" s="235"/>
      <c r="H82" s="235"/>
      <c r="I82" s="235"/>
      <c r="J82" s="235"/>
      <c r="K82" s="235"/>
    </row>
    <row r="83" spans="1:11" s="9" customFormat="1" ht="11.25">
      <c r="A83" s="442" t="s">
        <v>242</v>
      </c>
      <c r="B83" s="244">
        <f>JI!E73</f>
        <v>515558</v>
      </c>
      <c r="C83" s="241">
        <f>JI!H73</f>
        <v>528315</v>
      </c>
      <c r="D83" s="241">
        <f>+C83-B83</f>
        <v>12757</v>
      </c>
      <c r="E83" s="541">
        <f>+C83/B83</f>
        <v>1.024744063713491</v>
      </c>
      <c r="F83" s="235"/>
      <c r="G83" s="235"/>
      <c r="H83" s="235"/>
      <c r="I83" s="235"/>
      <c r="J83" s="235"/>
      <c r="K83" s="235"/>
    </row>
    <row r="84" spans="1:11" s="9" customFormat="1" ht="12" thickBot="1">
      <c r="A84" s="434" t="s">
        <v>21</v>
      </c>
      <c r="B84" s="435">
        <f>SUM(B82:B83)</f>
        <v>952467.31</v>
      </c>
      <c r="C84" s="436">
        <f>SUM(C82:C83)</f>
        <v>974095</v>
      </c>
      <c r="D84" s="438">
        <f>SUM(D82:D83)</f>
        <v>21627.690000000002</v>
      </c>
      <c r="E84" s="542">
        <f>+C84/B84</f>
        <v>1.0227070155300133</v>
      </c>
      <c r="F84" s="235"/>
      <c r="G84" s="235"/>
      <c r="H84" s="235"/>
      <c r="I84" s="235"/>
      <c r="J84" s="235"/>
      <c r="K84" s="235"/>
    </row>
    <row r="85" spans="2:11" s="9" customFormat="1" ht="11.25">
      <c r="B85" s="235"/>
      <c r="C85" s="235"/>
      <c r="D85" s="235"/>
      <c r="E85" s="235"/>
      <c r="F85" s="235"/>
      <c r="G85" s="235"/>
      <c r="H85" s="235"/>
      <c r="I85" s="235"/>
      <c r="J85" s="235"/>
      <c r="K85" s="235"/>
    </row>
    <row r="86" spans="2:11" s="9" customFormat="1" ht="11.25">
      <c r="B86" s="235"/>
      <c r="C86" s="235"/>
      <c r="D86" s="235"/>
      <c r="E86" s="235"/>
      <c r="F86" s="235"/>
      <c r="G86" s="235"/>
      <c r="H86" s="235"/>
      <c r="I86" s="235"/>
      <c r="J86" s="235"/>
      <c r="K86" s="235"/>
    </row>
    <row r="87" spans="2:11" s="9" customFormat="1" ht="11.25">
      <c r="B87" s="235"/>
      <c r="C87" s="235"/>
      <c r="D87" s="235"/>
      <c r="E87" s="235"/>
      <c r="F87" s="235"/>
      <c r="G87" s="235"/>
      <c r="H87" s="235"/>
      <c r="I87" s="235"/>
      <c r="J87" s="235"/>
      <c r="K87" s="235"/>
    </row>
    <row r="88" spans="2:11" s="9" customFormat="1" ht="11.25">
      <c r="B88" s="235"/>
      <c r="C88" s="235"/>
      <c r="D88" s="235"/>
      <c r="E88" s="235"/>
      <c r="F88" s="235"/>
      <c r="G88" s="235"/>
      <c r="H88" s="235"/>
      <c r="I88" s="235"/>
      <c r="J88" s="235"/>
      <c r="K88" s="235"/>
    </row>
    <row r="89" spans="2:11" s="9" customFormat="1" ht="11.25">
      <c r="B89" s="235"/>
      <c r="C89" s="235"/>
      <c r="D89" s="235"/>
      <c r="E89" s="235"/>
      <c r="F89" s="235"/>
      <c r="G89" s="235"/>
      <c r="H89" s="235"/>
      <c r="I89" s="235"/>
      <c r="J89" s="235"/>
      <c r="K89" s="235"/>
    </row>
    <row r="90" spans="2:11" s="9" customFormat="1" ht="11.25">
      <c r="B90" s="235"/>
      <c r="C90" s="235"/>
      <c r="D90" s="235"/>
      <c r="E90" s="235"/>
      <c r="F90" s="235"/>
      <c r="G90" s="235"/>
      <c r="H90" s="235"/>
      <c r="I90" s="235"/>
      <c r="J90" s="235"/>
      <c r="K90" s="235"/>
    </row>
    <row r="91" spans="2:11" s="9" customFormat="1" ht="11.25">
      <c r="B91" s="235"/>
      <c r="C91" s="235"/>
      <c r="D91" s="235"/>
      <c r="E91" s="235"/>
      <c r="F91" s="235"/>
      <c r="G91" s="235"/>
      <c r="H91" s="235"/>
      <c r="I91" s="235"/>
      <c r="J91" s="235"/>
      <c r="K91" s="235"/>
    </row>
    <row r="92" spans="2:11" s="9" customFormat="1" ht="11.25">
      <c r="B92" s="235"/>
      <c r="C92" s="235"/>
      <c r="D92" s="235"/>
      <c r="E92" s="235"/>
      <c r="F92" s="235"/>
      <c r="G92" s="235"/>
      <c r="H92" s="235"/>
      <c r="I92" s="235"/>
      <c r="J92" s="235"/>
      <c r="K92" s="235"/>
    </row>
    <row r="93" spans="2:11" s="9" customFormat="1" ht="11.25">
      <c r="B93" s="235"/>
      <c r="C93" s="235"/>
      <c r="D93" s="235"/>
      <c r="E93" s="235"/>
      <c r="F93" s="235"/>
      <c r="G93" s="235"/>
      <c r="H93" s="235"/>
      <c r="I93" s="235"/>
      <c r="J93" s="235"/>
      <c r="K93" s="235"/>
    </row>
    <row r="94" spans="2:11" s="9" customFormat="1" ht="11.25">
      <c r="B94" s="235"/>
      <c r="C94" s="235"/>
      <c r="D94" s="235"/>
      <c r="E94" s="235"/>
      <c r="F94" s="235"/>
      <c r="G94" s="235"/>
      <c r="H94" s="235"/>
      <c r="I94" s="235"/>
      <c r="J94" s="235"/>
      <c r="K94" s="235"/>
    </row>
    <row r="95" spans="2:11" s="9" customFormat="1" ht="11.25">
      <c r="B95" s="235"/>
      <c r="C95" s="235"/>
      <c r="D95" s="235"/>
      <c r="E95" s="235"/>
      <c r="F95" s="235"/>
      <c r="G95" s="235"/>
      <c r="H95" s="235"/>
      <c r="I95" s="235"/>
      <c r="J95" s="235"/>
      <c r="K95" s="235"/>
    </row>
    <row r="96" spans="2:11" s="9" customFormat="1" ht="11.25">
      <c r="B96" s="235"/>
      <c r="C96" s="235"/>
      <c r="D96" s="235"/>
      <c r="E96" s="235"/>
      <c r="F96" s="235"/>
      <c r="G96" s="235"/>
      <c r="H96" s="235"/>
      <c r="I96" s="235"/>
      <c r="J96" s="235"/>
      <c r="K96" s="235"/>
    </row>
    <row r="97" spans="2:11" s="9" customFormat="1" ht="11.25">
      <c r="B97" s="235"/>
      <c r="C97" s="235"/>
      <c r="D97" s="235"/>
      <c r="E97" s="235"/>
      <c r="F97" s="235"/>
      <c r="G97" s="235"/>
      <c r="H97" s="235"/>
      <c r="I97" s="235"/>
      <c r="J97" s="235"/>
      <c r="K97" s="235"/>
    </row>
    <row r="98" spans="2:11" s="9" customFormat="1" ht="11.25">
      <c r="B98" s="235"/>
      <c r="C98" s="235"/>
      <c r="D98" s="235"/>
      <c r="E98" s="235"/>
      <c r="F98" s="235"/>
      <c r="G98" s="235"/>
      <c r="H98" s="235"/>
      <c r="I98" s="235"/>
      <c r="J98" s="235"/>
      <c r="K98" s="235"/>
    </row>
    <row r="99" spans="2:11" s="9" customFormat="1" ht="11.25">
      <c r="B99" s="235"/>
      <c r="C99" s="235"/>
      <c r="D99" s="235"/>
      <c r="E99" s="235"/>
      <c r="F99" s="235"/>
      <c r="G99" s="235"/>
      <c r="H99" s="235"/>
      <c r="I99" s="235"/>
      <c r="J99" s="235"/>
      <c r="K99" s="235"/>
    </row>
    <row r="100" spans="2:11" s="9" customFormat="1" ht="11.25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9" customFormat="1" ht="11.25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</row>
    <row r="102" spans="2:11" s="9" customFormat="1" ht="11.25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</row>
    <row r="103" spans="2:11" s="9" customFormat="1" ht="11.25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</row>
    <row r="104" spans="2:11" s="9" customFormat="1" ht="11.25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</row>
    <row r="105" spans="2:11" s="9" customFormat="1" ht="11.25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</row>
    <row r="106" spans="2:11" s="9" customFormat="1" ht="11.25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</row>
    <row r="107" spans="2:11" s="9" customFormat="1" ht="11.25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</row>
    <row r="108" spans="2:11" s="9" customFormat="1" ht="11.25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</row>
    <row r="109" spans="2:11" s="9" customFormat="1" ht="11.25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</row>
    <row r="110" spans="2:11" s="9" customFormat="1" ht="11.25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</row>
    <row r="111" spans="2:11" s="9" customFormat="1" ht="11.25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</row>
    <row r="112" spans="2:11" s="9" customFormat="1" ht="11.25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</row>
    <row r="113" spans="2:11" s="9" customFormat="1" ht="11.25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</row>
    <row r="114" spans="2:11" s="9" customFormat="1" ht="11.25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</row>
    <row r="115" spans="2:11" s="9" customFormat="1" ht="11.25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</row>
    <row r="116" spans="2:11" s="9" customFormat="1" ht="11.25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</row>
    <row r="117" spans="2:11" s="9" customFormat="1" ht="11.25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</row>
    <row r="118" spans="2:11" s="9" customFormat="1" ht="11.25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</row>
    <row r="119" spans="2:11" s="9" customFormat="1" ht="11.25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</row>
    <row r="120" spans="2:11" s="9" customFormat="1" ht="11.25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9" customFormat="1" ht="11.25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  <row r="122" spans="2:11" s="9" customFormat="1" ht="11.25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</row>
    <row r="123" spans="2:11" s="9" customFormat="1" ht="11.25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</row>
    <row r="124" spans="2:11" s="9" customFormat="1" ht="11.25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</row>
    <row r="125" spans="2:11" s="9" customFormat="1" ht="11.25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</row>
    <row r="126" spans="2:11" s="9" customFormat="1" ht="11.25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</row>
    <row r="127" spans="2:11" s="9" customFormat="1" ht="11.25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</row>
    <row r="128" spans="2:11" s="9" customFormat="1" ht="11.25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</row>
    <row r="129" spans="2:11" s="9" customFormat="1" ht="11.25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</row>
    <row r="130" spans="2:11" s="9" customFormat="1" ht="11.25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</row>
    <row r="131" spans="2:11" s="9" customFormat="1" ht="11.25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</row>
    <row r="132" spans="2:11" s="9" customFormat="1" ht="11.25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</row>
    <row r="133" spans="2:11" s="9" customFormat="1" ht="11.25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</row>
    <row r="134" spans="2:11" s="9" customFormat="1" ht="11.25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</row>
    <row r="135" spans="2:11" s="9" customFormat="1" ht="11.25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</row>
    <row r="136" spans="2:11" s="9" customFormat="1" ht="11.25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</row>
    <row r="137" spans="2:11" s="9" customFormat="1" ht="11.25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</row>
    <row r="138" spans="2:11" s="9" customFormat="1" ht="11.25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</row>
    <row r="139" spans="2:11" s="9" customFormat="1" ht="11.25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</row>
    <row r="140" spans="2:11" s="9" customFormat="1" ht="11.25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</row>
    <row r="141" spans="2:11" s="9" customFormat="1" ht="11.25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</row>
    <row r="142" spans="2:11" s="9" customFormat="1" ht="11.25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</row>
    <row r="143" spans="2:11" s="9" customFormat="1" ht="11.25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</row>
    <row r="144" spans="2:11" s="9" customFormat="1" ht="11.25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</row>
    <row r="145" spans="2:11" s="9" customFormat="1" ht="11.25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9" customFormat="1" ht="11.25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</row>
    <row r="147" spans="2:11" s="9" customFormat="1" ht="11.25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</row>
    <row r="148" spans="2:11" s="9" customFormat="1" ht="11.25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</row>
    <row r="149" spans="2:11" s="9" customFormat="1" ht="11.25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</row>
    <row r="150" spans="2:11" s="9" customFormat="1" ht="11.25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</row>
    <row r="151" spans="2:11" s="9" customFormat="1" ht="11.25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</row>
    <row r="152" spans="2:11" s="9" customFormat="1" ht="11.25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</row>
    <row r="153" spans="2:11" s="9" customFormat="1" ht="11.25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</row>
    <row r="154" spans="2:11" s="9" customFormat="1" ht="11.25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</row>
    <row r="155" spans="2:11" s="9" customFormat="1" ht="11.25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</row>
    <row r="156" spans="2:11" s="9" customFormat="1" ht="11.25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</row>
    <row r="157" spans="2:11" s="9" customFormat="1" ht="11.25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</row>
    <row r="158" spans="2:11" s="9" customFormat="1" ht="11.25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</row>
    <row r="159" spans="2:11" s="9" customFormat="1" ht="11.25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</row>
    <row r="160" spans="2:11" s="9" customFormat="1" ht="11.25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</row>
    <row r="161" spans="2:11" s="9" customFormat="1" ht="11.25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</row>
    <row r="162" spans="2:11" s="9" customFormat="1" ht="11.25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</row>
    <row r="163" spans="2:11" s="9" customFormat="1" ht="11.25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9" customFormat="1" ht="11.25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</row>
    <row r="165" spans="2:11" s="9" customFormat="1" ht="11.25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</row>
    <row r="166" spans="2:11" s="9" customFormat="1" ht="11.25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</row>
    <row r="167" spans="2:11" s="9" customFormat="1" ht="11.25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</row>
    <row r="168" spans="2:11" s="9" customFormat="1" ht="11.25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</row>
    <row r="169" spans="2:11" s="9" customFormat="1" ht="11.25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</row>
    <row r="170" spans="2:11" s="9" customFormat="1" ht="11.25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</row>
    <row r="171" spans="2:11" s="9" customFormat="1" ht="11.25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</row>
    <row r="172" spans="2:11" s="9" customFormat="1" ht="11.25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</row>
    <row r="173" spans="2:11" s="9" customFormat="1" ht="11.25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</row>
    <row r="174" spans="2:11" s="9" customFormat="1" ht="11.25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</row>
    <row r="175" spans="2:11" s="9" customFormat="1" ht="11.25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</row>
    <row r="176" spans="2:11" s="9" customFormat="1" ht="11.25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</row>
    <row r="177" spans="2:11" s="9" customFormat="1" ht="11.25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</row>
    <row r="178" spans="2:11" s="9" customFormat="1" ht="11.25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</row>
    <row r="179" spans="2:11" s="9" customFormat="1" ht="11.25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</row>
    <row r="180" spans="2:11" s="9" customFormat="1" ht="11.25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</row>
    <row r="181" spans="2:11" s="9" customFormat="1" ht="11.25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</row>
    <row r="182" spans="2:11" s="9" customFormat="1" ht="11.25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</row>
    <row r="183" spans="2:11" s="9" customFormat="1" ht="11.25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</row>
    <row r="184" spans="2:11" s="9" customFormat="1" ht="11.25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</row>
    <row r="185" spans="2:11" s="9" customFormat="1" ht="11.25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</row>
    <row r="186" spans="2:11" s="9" customFormat="1" ht="11.25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</row>
    <row r="187" spans="2:11" s="9" customFormat="1" ht="11.25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</row>
    <row r="188" spans="2:11" s="9" customFormat="1" ht="11.25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</row>
    <row r="189" spans="2:11" s="9" customFormat="1" ht="11.25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</row>
    <row r="190" spans="2:11" s="9" customFormat="1" ht="11.25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</row>
    <row r="191" spans="2:11" s="9" customFormat="1" ht="11.25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</row>
    <row r="192" spans="2:11" s="9" customFormat="1" ht="11.25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</row>
    <row r="193" spans="2:11" s="9" customFormat="1" ht="11.25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</row>
    <row r="194" spans="2:11" s="9" customFormat="1" ht="11.25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</row>
    <row r="195" spans="2:11" s="9" customFormat="1" ht="11.25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</row>
    <row r="196" spans="2:11" s="9" customFormat="1" ht="11.25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</row>
    <row r="197" spans="2:11" s="9" customFormat="1" ht="11.25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</row>
    <row r="198" spans="2:11" s="9" customFormat="1" ht="11.25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</row>
    <row r="199" spans="2:11" s="9" customFormat="1" ht="11.25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</row>
    <row r="200" spans="2:11" s="9" customFormat="1" ht="11.25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</row>
    <row r="201" spans="2:11" s="9" customFormat="1" ht="11.25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</row>
    <row r="202" spans="2:11" s="9" customFormat="1" ht="11.25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</row>
    <row r="203" spans="2:11" s="9" customFormat="1" ht="11.25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</row>
    <row r="204" spans="2:11" s="9" customFormat="1" ht="11.25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</row>
    <row r="205" spans="2:11" s="9" customFormat="1" ht="11.25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</row>
    <row r="206" spans="2:11" s="9" customFormat="1" ht="11.25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</row>
    <row r="207" spans="2:11" s="9" customFormat="1" ht="11.25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</row>
    <row r="208" spans="2:11" s="9" customFormat="1" ht="11.25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</row>
    <row r="209" spans="2:11" s="9" customFormat="1" ht="11.25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</row>
    <row r="210" spans="2:11" s="9" customFormat="1" ht="11.25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</row>
    <row r="211" spans="2:11" s="9" customFormat="1" ht="11.25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</row>
    <row r="212" spans="2:11" s="9" customFormat="1" ht="11.25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</row>
    <row r="213" spans="2:11" s="9" customFormat="1" ht="11.25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</row>
    <row r="214" spans="2:11" s="9" customFormat="1" ht="11.25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</row>
    <row r="215" spans="2:11" s="9" customFormat="1" ht="11.25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</row>
    <row r="216" spans="2:11" s="9" customFormat="1" ht="11.25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</row>
    <row r="217" spans="2:11" s="9" customFormat="1" ht="11.25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</row>
    <row r="218" spans="2:11" s="9" customFormat="1" ht="11.25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</row>
    <row r="219" spans="2:11" s="9" customFormat="1" ht="11.25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</row>
    <row r="220" spans="2:11" s="9" customFormat="1" ht="11.25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</row>
    <row r="221" spans="2:11" s="9" customFormat="1" ht="11.25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</row>
    <row r="222" spans="2:11" s="9" customFormat="1" ht="11.25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</row>
    <row r="223" spans="2:11" s="9" customFormat="1" ht="11.25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</row>
    <row r="224" spans="2:11" s="9" customFormat="1" ht="11.25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</row>
    <row r="225" spans="2:11" s="9" customFormat="1" ht="11.25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</row>
    <row r="226" spans="2:11" s="9" customFormat="1" ht="11.25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</row>
    <row r="227" spans="2:11" s="9" customFormat="1" ht="11.25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</row>
    <row r="228" spans="2:11" s="9" customFormat="1" ht="11.25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</row>
    <row r="229" spans="2:11" s="9" customFormat="1" ht="11.25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</row>
    <row r="230" spans="2:11" s="9" customFormat="1" ht="11.25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</row>
    <row r="231" spans="2:11" s="9" customFormat="1" ht="11.25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</row>
    <row r="232" spans="2:11" s="9" customFormat="1" ht="11.25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</row>
    <row r="233" spans="2:11" s="9" customFormat="1" ht="11.25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</row>
    <row r="234" spans="2:11" s="9" customFormat="1" ht="11.25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</row>
    <row r="235" spans="2:11" s="9" customFormat="1" ht="11.25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</row>
    <row r="236" spans="2:11" s="9" customFormat="1" ht="11.25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</row>
    <row r="237" spans="2:11" s="9" customFormat="1" ht="11.25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</row>
    <row r="238" spans="2:11" s="9" customFormat="1" ht="11.25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</row>
    <row r="239" spans="2:11" s="9" customFormat="1" ht="11.25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</row>
    <row r="240" spans="2:11" s="9" customFormat="1" ht="11.25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</row>
    <row r="241" spans="2:11" s="9" customFormat="1" ht="11.25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</row>
    <row r="242" spans="2:11" s="9" customFormat="1" ht="11.25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</row>
    <row r="243" spans="2:11" s="9" customFormat="1" ht="11.25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</row>
    <row r="244" spans="2:11" s="9" customFormat="1" ht="11.25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</row>
    <row r="245" spans="2:11" s="9" customFormat="1" ht="11.25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</row>
    <row r="246" spans="2:11" s="9" customFormat="1" ht="11.25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</row>
    <row r="247" spans="2:11" s="9" customFormat="1" ht="11.25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</row>
    <row r="248" spans="2:11" s="9" customFormat="1" ht="11.25">
      <c r="B248" s="235"/>
      <c r="C248" s="235"/>
      <c r="D248" s="235"/>
      <c r="E248" s="235"/>
      <c r="F248" s="235"/>
      <c r="G248" s="235"/>
      <c r="H248" s="235"/>
      <c r="I248" s="235"/>
      <c r="J248" s="235"/>
      <c r="K248" s="235"/>
    </row>
    <row r="249" spans="2:11" s="9" customFormat="1" ht="11.25"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</row>
    <row r="250" spans="2:11" s="9" customFormat="1" ht="11.25">
      <c r="B250" s="235"/>
      <c r="C250" s="235"/>
      <c r="D250" s="235"/>
      <c r="E250" s="235"/>
      <c r="F250" s="235"/>
      <c r="G250" s="235"/>
      <c r="H250" s="235"/>
      <c r="I250" s="235"/>
      <c r="J250" s="235"/>
      <c r="K250" s="235"/>
    </row>
    <row r="251" spans="2:11" s="9" customFormat="1" ht="11.25">
      <c r="B251" s="235"/>
      <c r="C251" s="235"/>
      <c r="D251" s="235"/>
      <c r="E251" s="235"/>
      <c r="F251" s="235"/>
      <c r="G251" s="235"/>
      <c r="H251" s="235"/>
      <c r="I251" s="235"/>
      <c r="J251" s="235"/>
      <c r="K251" s="235"/>
    </row>
    <row r="252" spans="2:11" s="9" customFormat="1" ht="11.25"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</row>
    <row r="253" spans="2:11" s="9" customFormat="1" ht="11.25"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</row>
    <row r="254" spans="2:11" s="9" customFormat="1" ht="11.25"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</row>
    <row r="255" spans="2:11" s="9" customFormat="1" ht="11.25">
      <c r="B255" s="235"/>
      <c r="C255" s="235"/>
      <c r="D255" s="235"/>
      <c r="E255" s="235"/>
      <c r="F255" s="235"/>
      <c r="G255" s="235"/>
      <c r="H255" s="235"/>
      <c r="I255" s="235"/>
      <c r="J255" s="235"/>
      <c r="K255" s="235"/>
    </row>
    <row r="256" spans="2:11" s="9" customFormat="1" ht="11.25"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</row>
    <row r="257" spans="2:11" s="9" customFormat="1" ht="11.25">
      <c r="B257" s="235"/>
      <c r="C257" s="235"/>
      <c r="D257" s="235"/>
      <c r="E257" s="235"/>
      <c r="F257" s="235"/>
      <c r="G257" s="235"/>
      <c r="H257" s="235"/>
      <c r="I257" s="235"/>
      <c r="J257" s="235"/>
      <c r="K257" s="235"/>
    </row>
    <row r="258" spans="2:11" s="9" customFormat="1" ht="11.25">
      <c r="B258" s="235"/>
      <c r="C258" s="235"/>
      <c r="D258" s="235"/>
      <c r="E258" s="235"/>
      <c r="F258" s="235"/>
      <c r="G258" s="235"/>
      <c r="H258" s="235"/>
      <c r="I258" s="235"/>
      <c r="J258" s="235"/>
      <c r="K258" s="235"/>
    </row>
    <row r="259" spans="2:11" s="9" customFormat="1" ht="11.25">
      <c r="B259" s="235"/>
      <c r="C259" s="235"/>
      <c r="D259" s="235"/>
      <c r="E259" s="235"/>
      <c r="F259" s="235"/>
      <c r="G259" s="235"/>
      <c r="H259" s="235"/>
      <c r="I259" s="235"/>
      <c r="J259" s="235"/>
      <c r="K259" s="235"/>
    </row>
    <row r="260" spans="2:11" s="9" customFormat="1" ht="11.25">
      <c r="B260" s="235"/>
      <c r="C260" s="235"/>
      <c r="D260" s="235"/>
      <c r="E260" s="235"/>
      <c r="F260" s="235"/>
      <c r="G260" s="235"/>
      <c r="H260" s="235"/>
      <c r="I260" s="235"/>
      <c r="J260" s="235"/>
      <c r="K260" s="235"/>
    </row>
    <row r="261" spans="2:11" s="9" customFormat="1" ht="11.25">
      <c r="B261" s="235"/>
      <c r="C261" s="235"/>
      <c r="D261" s="235"/>
      <c r="E261" s="235"/>
      <c r="F261" s="235"/>
      <c r="G261" s="235"/>
      <c r="H261" s="235"/>
      <c r="I261" s="235"/>
      <c r="J261" s="235"/>
      <c r="K261" s="235"/>
    </row>
    <row r="262" spans="2:11" s="9" customFormat="1" ht="11.25"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</row>
    <row r="263" spans="2:11" s="9" customFormat="1" ht="11.25">
      <c r="B263" s="235"/>
      <c r="C263" s="235"/>
      <c r="D263" s="235"/>
      <c r="E263" s="235"/>
      <c r="F263" s="235"/>
      <c r="G263" s="235"/>
      <c r="H263" s="235"/>
      <c r="I263" s="235"/>
      <c r="J263" s="235"/>
      <c r="K263" s="235"/>
    </row>
    <row r="264" spans="2:11" s="9" customFormat="1" ht="11.25">
      <c r="B264" s="235"/>
      <c r="C264" s="235"/>
      <c r="D264" s="235"/>
      <c r="E264" s="235"/>
      <c r="F264" s="235"/>
      <c r="G264" s="235"/>
      <c r="H264" s="235"/>
      <c r="I264" s="235"/>
      <c r="J264" s="235"/>
      <c r="K264" s="235"/>
    </row>
    <row r="265" spans="2:11" s="9" customFormat="1" ht="11.25">
      <c r="B265" s="235"/>
      <c r="C265" s="235"/>
      <c r="D265" s="235"/>
      <c r="E265" s="235"/>
      <c r="F265" s="235"/>
      <c r="G265" s="235"/>
      <c r="H265" s="235"/>
      <c r="I265" s="235"/>
      <c r="J265" s="235"/>
      <c r="K265" s="235"/>
    </row>
    <row r="266" spans="2:11" s="9" customFormat="1" ht="11.25">
      <c r="B266" s="235"/>
      <c r="C266" s="235"/>
      <c r="D266" s="235"/>
      <c r="E266" s="235"/>
      <c r="F266" s="235"/>
      <c r="G266" s="235"/>
      <c r="H266" s="235"/>
      <c r="I266" s="235"/>
      <c r="J266" s="235"/>
      <c r="K266" s="235"/>
    </row>
    <row r="267" spans="2:11" s="9" customFormat="1" ht="11.25">
      <c r="B267" s="235"/>
      <c r="C267" s="235"/>
      <c r="D267" s="235"/>
      <c r="E267" s="235"/>
      <c r="F267" s="235"/>
      <c r="G267" s="235"/>
      <c r="H267" s="235"/>
      <c r="I267" s="235"/>
      <c r="J267" s="235"/>
      <c r="K267" s="235"/>
    </row>
    <row r="268" spans="2:11" s="9" customFormat="1" ht="11.25">
      <c r="B268" s="235"/>
      <c r="C268" s="235"/>
      <c r="D268" s="235"/>
      <c r="E268" s="235"/>
      <c r="F268" s="235"/>
      <c r="G268" s="235"/>
      <c r="H268" s="235"/>
      <c r="I268" s="235"/>
      <c r="J268" s="235"/>
      <c r="K268" s="235"/>
    </row>
    <row r="269" spans="2:11" s="9" customFormat="1" ht="11.25">
      <c r="B269" s="235"/>
      <c r="C269" s="235"/>
      <c r="D269" s="235"/>
      <c r="E269" s="235"/>
      <c r="F269" s="235"/>
      <c r="G269" s="235"/>
      <c r="H269" s="235"/>
      <c r="I269" s="235"/>
      <c r="J269" s="235"/>
      <c r="K269" s="235"/>
    </row>
    <row r="270" spans="2:11" s="9" customFormat="1" ht="11.25">
      <c r="B270" s="235"/>
      <c r="C270" s="235"/>
      <c r="D270" s="235"/>
      <c r="E270" s="235"/>
      <c r="F270" s="235"/>
      <c r="G270" s="235"/>
      <c r="H270" s="235"/>
      <c r="I270" s="235"/>
      <c r="J270" s="235"/>
      <c r="K270" s="235"/>
    </row>
    <row r="271" spans="2:11" s="9" customFormat="1" ht="11.25">
      <c r="B271" s="235"/>
      <c r="C271" s="235"/>
      <c r="D271" s="235"/>
      <c r="E271" s="235"/>
      <c r="F271" s="235"/>
      <c r="G271" s="235"/>
      <c r="H271" s="235"/>
      <c r="I271" s="235"/>
      <c r="J271" s="235"/>
      <c r="K271" s="235"/>
    </row>
    <row r="272" spans="2:11" s="9" customFormat="1" ht="11.25">
      <c r="B272" s="235"/>
      <c r="C272" s="235"/>
      <c r="D272" s="235"/>
      <c r="E272" s="235"/>
      <c r="F272" s="235"/>
      <c r="G272" s="235"/>
      <c r="H272" s="235"/>
      <c r="I272" s="235"/>
      <c r="J272" s="235"/>
      <c r="K272" s="235"/>
    </row>
    <row r="273" spans="2:11" s="9" customFormat="1" ht="11.25">
      <c r="B273" s="235"/>
      <c r="C273" s="235"/>
      <c r="D273" s="235"/>
      <c r="E273" s="235"/>
      <c r="F273" s="235"/>
      <c r="G273" s="235"/>
      <c r="H273" s="235"/>
      <c r="I273" s="235"/>
      <c r="J273" s="235"/>
      <c r="K273" s="235"/>
    </row>
    <row r="274" spans="2:11" s="9" customFormat="1" ht="11.25"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</row>
    <row r="275" spans="2:11" s="9" customFormat="1" ht="11.25">
      <c r="B275" s="235"/>
      <c r="C275" s="235"/>
      <c r="D275" s="235"/>
      <c r="E275" s="235"/>
      <c r="F275" s="235"/>
      <c r="G275" s="235"/>
      <c r="H275" s="235"/>
      <c r="I275" s="235"/>
      <c r="J275" s="235"/>
      <c r="K275" s="235"/>
    </row>
    <row r="276" spans="2:11" s="9" customFormat="1" ht="11.25">
      <c r="B276" s="235"/>
      <c r="C276" s="235"/>
      <c r="D276" s="235"/>
      <c r="E276" s="235"/>
      <c r="F276" s="235"/>
      <c r="G276" s="235"/>
      <c r="H276" s="235"/>
      <c r="I276" s="235"/>
      <c r="J276" s="235"/>
      <c r="K276" s="235"/>
    </row>
    <row r="277" spans="2:11" s="9" customFormat="1" ht="11.25">
      <c r="B277" s="235"/>
      <c r="C277" s="235"/>
      <c r="D277" s="235"/>
      <c r="E277" s="235"/>
      <c r="F277" s="235"/>
      <c r="G277" s="235"/>
      <c r="H277" s="235"/>
      <c r="I277" s="235"/>
      <c r="J277" s="235"/>
      <c r="K277" s="235"/>
    </row>
    <row r="278" spans="2:11" s="9" customFormat="1" ht="11.25">
      <c r="B278" s="235"/>
      <c r="C278" s="235"/>
      <c r="D278" s="235"/>
      <c r="E278" s="235"/>
      <c r="F278" s="235"/>
      <c r="G278" s="235"/>
      <c r="H278" s="235"/>
      <c r="I278" s="235"/>
      <c r="J278" s="235"/>
      <c r="K278" s="235"/>
    </row>
    <row r="279" spans="2:11" s="9" customFormat="1" ht="11.25">
      <c r="B279" s="235"/>
      <c r="C279" s="235"/>
      <c r="D279" s="235"/>
      <c r="E279" s="235"/>
      <c r="F279" s="235"/>
      <c r="G279" s="235"/>
      <c r="H279" s="235"/>
      <c r="I279" s="235"/>
      <c r="J279" s="235"/>
      <c r="K279" s="235"/>
    </row>
    <row r="280" spans="2:11" s="9" customFormat="1" ht="11.25">
      <c r="B280" s="235"/>
      <c r="C280" s="235"/>
      <c r="D280" s="235"/>
      <c r="E280" s="235"/>
      <c r="F280" s="235"/>
      <c r="G280" s="235"/>
      <c r="H280" s="235"/>
      <c r="I280" s="235"/>
      <c r="J280" s="235"/>
      <c r="K280" s="235"/>
    </row>
    <row r="281" spans="2:11" s="9" customFormat="1" ht="11.25">
      <c r="B281" s="235"/>
      <c r="C281" s="235"/>
      <c r="D281" s="235"/>
      <c r="E281" s="235"/>
      <c r="F281" s="235"/>
      <c r="G281" s="235"/>
      <c r="H281" s="235"/>
      <c r="I281" s="235"/>
      <c r="J281" s="235"/>
      <c r="K281" s="235"/>
    </row>
    <row r="282" spans="2:11" s="9" customFormat="1" ht="11.25">
      <c r="B282" s="235"/>
      <c r="C282" s="235"/>
      <c r="D282" s="235"/>
      <c r="E282" s="235"/>
      <c r="F282" s="235"/>
      <c r="G282" s="235"/>
      <c r="H282" s="235"/>
      <c r="I282" s="235"/>
      <c r="J282" s="235"/>
      <c r="K282" s="235"/>
    </row>
    <row r="283" spans="2:11" s="9" customFormat="1" ht="11.25">
      <c r="B283" s="235"/>
      <c r="C283" s="235"/>
      <c r="D283" s="235"/>
      <c r="E283" s="235"/>
      <c r="F283" s="235"/>
      <c r="G283" s="235"/>
      <c r="H283" s="235"/>
      <c r="I283" s="235"/>
      <c r="J283" s="235"/>
      <c r="K283" s="235"/>
    </row>
    <row r="284" spans="2:11" s="9" customFormat="1" ht="11.25">
      <c r="B284" s="235"/>
      <c r="C284" s="235"/>
      <c r="D284" s="235"/>
      <c r="E284" s="235"/>
      <c r="F284" s="235"/>
      <c r="G284" s="235"/>
      <c r="H284" s="235"/>
      <c r="I284" s="235"/>
      <c r="J284" s="235"/>
      <c r="K284" s="235"/>
    </row>
    <row r="285" spans="2:11" s="9" customFormat="1" ht="11.25">
      <c r="B285" s="235"/>
      <c r="C285" s="235"/>
      <c r="D285" s="235"/>
      <c r="E285" s="235"/>
      <c r="F285" s="235"/>
      <c r="G285" s="235"/>
      <c r="H285" s="235"/>
      <c r="I285" s="235"/>
      <c r="J285" s="235"/>
      <c r="K285" s="235"/>
    </row>
    <row r="286" spans="2:11" s="9" customFormat="1" ht="11.25">
      <c r="B286" s="235"/>
      <c r="C286" s="235"/>
      <c r="D286" s="235"/>
      <c r="E286" s="235"/>
      <c r="F286" s="235"/>
      <c r="G286" s="235"/>
      <c r="H286" s="235"/>
      <c r="I286" s="235"/>
      <c r="J286" s="235"/>
      <c r="K286" s="235"/>
    </row>
    <row r="287" spans="2:11" s="9" customFormat="1" ht="11.25">
      <c r="B287" s="235"/>
      <c r="C287" s="235"/>
      <c r="D287" s="235"/>
      <c r="E287" s="235"/>
      <c r="F287" s="235"/>
      <c r="G287" s="235"/>
      <c r="H287" s="235"/>
      <c r="I287" s="235"/>
      <c r="J287" s="235"/>
      <c r="K287" s="235"/>
    </row>
    <row r="288" spans="2:11" s="9" customFormat="1" ht="11.25">
      <c r="B288" s="235"/>
      <c r="C288" s="235"/>
      <c r="D288" s="235"/>
      <c r="E288" s="235"/>
      <c r="F288" s="235"/>
      <c r="G288" s="235"/>
      <c r="H288" s="235"/>
      <c r="I288" s="235"/>
      <c r="J288" s="235"/>
      <c r="K288" s="235"/>
    </row>
    <row r="289" spans="2:11" s="9" customFormat="1" ht="11.25">
      <c r="B289" s="235"/>
      <c r="C289" s="235"/>
      <c r="D289" s="235"/>
      <c r="E289" s="235"/>
      <c r="F289" s="235"/>
      <c r="G289" s="235"/>
      <c r="H289" s="235"/>
      <c r="I289" s="235"/>
      <c r="J289" s="235"/>
      <c r="K289" s="235"/>
    </row>
    <row r="290" spans="2:11" s="9" customFormat="1" ht="11.25">
      <c r="B290" s="235"/>
      <c r="C290" s="235"/>
      <c r="D290" s="235"/>
      <c r="E290" s="235"/>
      <c r="F290" s="235"/>
      <c r="G290" s="235"/>
      <c r="H290" s="235"/>
      <c r="I290" s="235"/>
      <c r="J290" s="235"/>
      <c r="K290" s="235"/>
    </row>
    <row r="291" spans="2:11" s="9" customFormat="1" ht="11.25">
      <c r="B291" s="235"/>
      <c r="C291" s="235"/>
      <c r="D291" s="235"/>
      <c r="E291" s="235"/>
      <c r="F291" s="235"/>
      <c r="G291" s="235"/>
      <c r="H291" s="235"/>
      <c r="I291" s="235"/>
      <c r="J291" s="235"/>
      <c r="K291" s="235"/>
    </row>
    <row r="292" spans="2:11" s="9" customFormat="1" ht="11.25">
      <c r="B292" s="235"/>
      <c r="C292" s="235"/>
      <c r="D292" s="235"/>
      <c r="E292" s="235"/>
      <c r="F292" s="235"/>
      <c r="G292" s="235"/>
      <c r="H292" s="235"/>
      <c r="I292" s="235"/>
      <c r="J292" s="235"/>
      <c r="K292" s="235"/>
    </row>
    <row r="293" spans="2:11" s="9" customFormat="1" ht="11.25">
      <c r="B293" s="235"/>
      <c r="C293" s="235"/>
      <c r="D293" s="235"/>
      <c r="E293" s="235"/>
      <c r="F293" s="235"/>
      <c r="G293" s="235"/>
      <c r="H293" s="235"/>
      <c r="I293" s="235"/>
      <c r="J293" s="235"/>
      <c r="K293" s="235"/>
    </row>
    <row r="294" spans="2:11" s="9" customFormat="1" ht="11.25">
      <c r="B294" s="235"/>
      <c r="C294" s="235"/>
      <c r="D294" s="235"/>
      <c r="E294" s="235"/>
      <c r="F294" s="235"/>
      <c r="G294" s="235"/>
      <c r="H294" s="235"/>
      <c r="I294" s="235"/>
      <c r="J294" s="235"/>
      <c r="K294" s="235"/>
    </row>
    <row r="295" spans="2:11" s="9" customFormat="1" ht="11.25">
      <c r="B295" s="235"/>
      <c r="C295" s="235"/>
      <c r="D295" s="235"/>
      <c r="E295" s="235"/>
      <c r="F295" s="235"/>
      <c r="G295" s="235"/>
      <c r="H295" s="235"/>
      <c r="I295" s="235"/>
      <c r="J295" s="235"/>
      <c r="K295" s="235"/>
    </row>
    <row r="296" spans="2:11" s="9" customFormat="1" ht="11.25">
      <c r="B296" s="235"/>
      <c r="C296" s="235"/>
      <c r="D296" s="235"/>
      <c r="E296" s="235"/>
      <c r="F296" s="235"/>
      <c r="G296" s="235"/>
      <c r="H296" s="235"/>
      <c r="I296" s="235"/>
      <c r="J296" s="235"/>
      <c r="K296" s="235"/>
    </row>
    <row r="297" spans="2:11" s="9" customFormat="1" ht="11.25">
      <c r="B297" s="235"/>
      <c r="C297" s="235"/>
      <c r="D297" s="235"/>
      <c r="E297" s="235"/>
      <c r="F297" s="235"/>
      <c r="G297" s="235"/>
      <c r="H297" s="235"/>
      <c r="I297" s="235"/>
      <c r="J297" s="235"/>
      <c r="K297" s="235"/>
    </row>
    <row r="298" spans="2:11" s="9" customFormat="1" ht="11.25">
      <c r="B298" s="235"/>
      <c r="C298" s="235"/>
      <c r="D298" s="235"/>
      <c r="E298" s="235"/>
      <c r="F298" s="235"/>
      <c r="G298" s="235"/>
      <c r="H298" s="235"/>
      <c r="I298" s="235"/>
      <c r="J298" s="235"/>
      <c r="K298" s="235"/>
    </row>
    <row r="299" spans="2:11" s="9" customFormat="1" ht="11.25">
      <c r="B299" s="235"/>
      <c r="C299" s="235"/>
      <c r="D299" s="235"/>
      <c r="E299" s="235"/>
      <c r="F299" s="235"/>
      <c r="G299" s="235"/>
      <c r="H299" s="235"/>
      <c r="I299" s="235"/>
      <c r="J299" s="235"/>
      <c r="K299" s="235"/>
    </row>
    <row r="300" spans="2:11" s="9" customFormat="1" ht="11.25">
      <c r="B300" s="235"/>
      <c r="C300" s="235"/>
      <c r="D300" s="235"/>
      <c r="E300" s="235"/>
      <c r="F300" s="235"/>
      <c r="G300" s="235"/>
      <c r="H300" s="235"/>
      <c r="I300" s="235"/>
      <c r="J300" s="235"/>
      <c r="K300" s="235"/>
    </row>
  </sheetData>
  <mergeCells count="25">
    <mergeCell ref="H62:J62"/>
    <mergeCell ref="A80:A81"/>
    <mergeCell ref="B80:E80"/>
    <mergeCell ref="A62:A63"/>
    <mergeCell ref="B62:D62"/>
    <mergeCell ref="E62:G62"/>
    <mergeCell ref="H33:J33"/>
    <mergeCell ref="A56:A57"/>
    <mergeCell ref="B56:D56"/>
    <mergeCell ref="E56:G56"/>
    <mergeCell ref="H56:J56"/>
    <mergeCell ref="A33:A34"/>
    <mergeCell ref="B33:D33"/>
    <mergeCell ref="A2:A3"/>
    <mergeCell ref="E33:G33"/>
    <mergeCell ref="D2:D3"/>
    <mergeCell ref="C2:C3"/>
    <mergeCell ref="A17:A18"/>
    <mergeCell ref="B17:D17"/>
    <mergeCell ref="A9:A10"/>
    <mergeCell ref="B9:D9"/>
    <mergeCell ref="H9:J9"/>
    <mergeCell ref="H17:J17"/>
    <mergeCell ref="E17:G17"/>
    <mergeCell ref="E9:G9"/>
  </mergeCells>
  <printOptions horizontalCentered="1"/>
  <pageMargins left="0.1968503937007874" right="0.2362204724409449" top="0.3937007874015748" bottom="0.35" header="0.2755905511811024" footer="0.17"/>
  <pageSetup horizontalDpi="600" verticalDpi="600" orientation="portrait" paperSize="9" scale="68" r:id="rId1"/>
  <headerFooter alignWithMargins="0">
    <oddHeader>&amp;R&amp;11RK-20-2011-23, př. 1
Počet stran: 9</oddHeader>
    <oddFooter>&amp;C&amp;8Stránka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315"/>
  <sheetViews>
    <sheetView showGridLines="0" workbookViewId="0" topLeftCell="A85">
      <selection activeCell="A121" sqref="A121:B121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6" width="11.375" style="3" customWidth="1"/>
    <col min="7" max="7" width="12.375" style="3" customWidth="1"/>
    <col min="8" max="8" width="10.625" style="3" customWidth="1"/>
    <col min="9" max="9" width="11.375" style="3" customWidth="1"/>
    <col min="10" max="10" width="11.875" style="85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458</v>
      </c>
    </row>
    <row r="2" spans="8:13" ht="6.75" customHeight="1">
      <c r="H2" s="4"/>
      <c r="M2" s="4"/>
    </row>
    <row r="3" spans="1:13" ht="16.5" thickBot="1">
      <c r="A3" s="5" t="s">
        <v>264</v>
      </c>
      <c r="B3" s="8"/>
      <c r="C3" s="8"/>
      <c r="D3" s="8"/>
      <c r="H3" s="4"/>
      <c r="J3" s="91" t="s">
        <v>203</v>
      </c>
      <c r="M3" s="4"/>
    </row>
    <row r="4" spans="1:10" s="62" customFormat="1" ht="11.25">
      <c r="A4" s="736" t="s">
        <v>376</v>
      </c>
      <c r="B4" s="737"/>
      <c r="C4" s="742" t="s">
        <v>287</v>
      </c>
      <c r="D4" s="743"/>
      <c r="E4" s="744"/>
      <c r="F4" s="742" t="s">
        <v>12</v>
      </c>
      <c r="G4" s="743"/>
      <c r="H4" s="744"/>
      <c r="I4" s="730" t="s">
        <v>67</v>
      </c>
      <c r="J4" s="731"/>
    </row>
    <row r="5" spans="1:10" s="62" customFormat="1" ht="11.25">
      <c r="A5" s="738"/>
      <c r="B5" s="739"/>
      <c r="C5" s="214" t="s">
        <v>41</v>
      </c>
      <c r="D5" s="215" t="s">
        <v>42</v>
      </c>
      <c r="E5" s="749" t="s">
        <v>21</v>
      </c>
      <c r="F5" s="214" t="s">
        <v>41</v>
      </c>
      <c r="G5" s="215" t="s">
        <v>42</v>
      </c>
      <c r="H5" s="749" t="s">
        <v>21</v>
      </c>
      <c r="I5" s="753" t="s">
        <v>68</v>
      </c>
      <c r="J5" s="745" t="s">
        <v>23</v>
      </c>
    </row>
    <row r="6" spans="1:10" s="62" customFormat="1" ht="12" thickBot="1">
      <c r="A6" s="740"/>
      <c r="B6" s="741"/>
      <c r="C6" s="216" t="s">
        <v>22</v>
      </c>
      <c r="D6" s="217" t="s">
        <v>22</v>
      </c>
      <c r="E6" s="750"/>
      <c r="F6" s="216" t="s">
        <v>22</v>
      </c>
      <c r="G6" s="217" t="s">
        <v>22</v>
      </c>
      <c r="H6" s="750"/>
      <c r="I6" s="754"/>
      <c r="J6" s="746"/>
    </row>
    <row r="7" spans="1:10" s="69" customFormat="1" ht="11.25" customHeight="1">
      <c r="A7" s="751" t="s">
        <v>107</v>
      </c>
      <c r="B7" s="752"/>
      <c r="C7" s="348"/>
      <c r="D7" s="349">
        <v>2605.44</v>
      </c>
      <c r="E7" s="194">
        <f>SUM(C7:D7)</f>
        <v>2605.44</v>
      </c>
      <c r="F7" s="67"/>
      <c r="G7" s="68">
        <v>2610</v>
      </c>
      <c r="H7" s="202">
        <f>SUM(F7:G7)</f>
        <v>2610</v>
      </c>
      <c r="I7" s="320">
        <f>+H7-E7</f>
        <v>4.559999999999945</v>
      </c>
      <c r="J7" s="540">
        <f aca="true" t="shared" si="0" ref="J7:J71">+H7/E7</f>
        <v>1.001750184229919</v>
      </c>
    </row>
    <row r="8" spans="1:10" s="69" customFormat="1" ht="11.25" customHeight="1">
      <c r="A8" s="726" t="s">
        <v>108</v>
      </c>
      <c r="B8" s="727"/>
      <c r="C8" s="350">
        <v>641153.31</v>
      </c>
      <c r="D8" s="351">
        <v>13955.86</v>
      </c>
      <c r="E8" s="195">
        <f aca="true" t="shared" si="1" ref="E8:E25">SUM(C8:D8)</f>
        <v>655109.17</v>
      </c>
      <c r="F8" s="70">
        <v>652722.1</v>
      </c>
      <c r="G8" s="71">
        <v>14000</v>
      </c>
      <c r="H8" s="203">
        <f aca="true" t="shared" si="2" ref="H8:H25">SUM(F8:G8)</f>
        <v>666722.1</v>
      </c>
      <c r="I8" s="321">
        <f aca="true" t="shared" si="3" ref="I8:I23">+H8-E8</f>
        <v>11612.929999999935</v>
      </c>
      <c r="J8" s="531">
        <f t="shared" si="0"/>
        <v>1.0177267095803284</v>
      </c>
    </row>
    <row r="9" spans="1:10" s="173" customFormat="1" ht="11.25">
      <c r="A9" s="714" t="s">
        <v>109</v>
      </c>
      <c r="B9" s="352" t="s">
        <v>110</v>
      </c>
      <c r="C9" s="353">
        <v>621637.72</v>
      </c>
      <c r="D9" s="351">
        <v>0</v>
      </c>
      <c r="E9" s="196">
        <f t="shared" si="1"/>
        <v>621637.72</v>
      </c>
      <c r="F9" s="171">
        <v>633222.1</v>
      </c>
      <c r="G9" s="172"/>
      <c r="H9" s="204">
        <f t="shared" si="2"/>
        <v>633222.1</v>
      </c>
      <c r="I9" s="322">
        <f t="shared" si="3"/>
        <v>11584.380000000005</v>
      </c>
      <c r="J9" s="532">
        <f t="shared" si="0"/>
        <v>1.0186352591345327</v>
      </c>
    </row>
    <row r="10" spans="1:10" s="173" customFormat="1" ht="11.25" customHeight="1">
      <c r="A10" s="714"/>
      <c r="B10" s="352" t="s">
        <v>111</v>
      </c>
      <c r="C10" s="354">
        <v>4389.25</v>
      </c>
      <c r="D10" s="351"/>
      <c r="E10" s="196">
        <f t="shared" si="1"/>
        <v>4389.25</v>
      </c>
      <c r="F10" s="174">
        <v>4400</v>
      </c>
      <c r="G10" s="172"/>
      <c r="H10" s="204">
        <f t="shared" si="2"/>
        <v>4400</v>
      </c>
      <c r="I10" s="322">
        <f t="shared" si="3"/>
        <v>10.75</v>
      </c>
      <c r="J10" s="532">
        <f t="shared" si="0"/>
        <v>1.0024491655749843</v>
      </c>
    </row>
    <row r="11" spans="1:10" s="173" customFormat="1" ht="11.25">
      <c r="A11" s="714"/>
      <c r="B11" s="352" t="s">
        <v>112</v>
      </c>
      <c r="C11" s="354"/>
      <c r="D11" s="351"/>
      <c r="E11" s="196">
        <f t="shared" si="1"/>
        <v>0</v>
      </c>
      <c r="F11" s="174"/>
      <c r="G11" s="172"/>
      <c r="H11" s="204">
        <f t="shared" si="2"/>
        <v>0</v>
      </c>
      <c r="I11" s="322">
        <f t="shared" si="3"/>
        <v>0</v>
      </c>
      <c r="J11" s="532"/>
    </row>
    <row r="12" spans="1:10" s="173" customFormat="1" ht="11.25">
      <c r="A12" s="714"/>
      <c r="B12" s="352" t="s">
        <v>113</v>
      </c>
      <c r="C12" s="354">
        <v>15126.34</v>
      </c>
      <c r="D12" s="351">
        <v>13955.86</v>
      </c>
      <c r="E12" s="196">
        <f t="shared" si="1"/>
        <v>29082.2</v>
      </c>
      <c r="F12" s="174">
        <v>15100</v>
      </c>
      <c r="G12" s="172">
        <v>14000</v>
      </c>
      <c r="H12" s="204">
        <f t="shared" si="2"/>
        <v>29100</v>
      </c>
      <c r="I12" s="322">
        <f t="shared" si="3"/>
        <v>17.799999999999272</v>
      </c>
      <c r="J12" s="532">
        <f t="shared" si="0"/>
        <v>1.000612058234934</v>
      </c>
    </row>
    <row r="13" spans="1:10" s="69" customFormat="1" ht="11.25">
      <c r="A13" s="728" t="s">
        <v>114</v>
      </c>
      <c r="B13" s="729"/>
      <c r="C13" s="354"/>
      <c r="D13" s="351">
        <v>664.45</v>
      </c>
      <c r="E13" s="195">
        <f t="shared" si="1"/>
        <v>664.45</v>
      </c>
      <c r="F13" s="73"/>
      <c r="G13" s="71">
        <v>670</v>
      </c>
      <c r="H13" s="203">
        <f t="shared" si="2"/>
        <v>670</v>
      </c>
      <c r="I13" s="321">
        <f t="shared" si="3"/>
        <v>5.5499999999999545</v>
      </c>
      <c r="J13" s="531">
        <f t="shared" si="0"/>
        <v>1.0083527729701256</v>
      </c>
    </row>
    <row r="14" spans="1:10" s="69" customFormat="1" ht="11.25">
      <c r="A14" s="726" t="s">
        <v>115</v>
      </c>
      <c r="B14" s="727"/>
      <c r="C14" s="354"/>
      <c r="D14" s="351">
        <v>66732.72</v>
      </c>
      <c r="E14" s="195">
        <f t="shared" si="1"/>
        <v>66732.72</v>
      </c>
      <c r="F14" s="73"/>
      <c r="G14" s="71">
        <v>66750</v>
      </c>
      <c r="H14" s="203">
        <f t="shared" si="2"/>
        <v>66750</v>
      </c>
      <c r="I14" s="321">
        <f t="shared" si="3"/>
        <v>17.279999999998836</v>
      </c>
      <c r="J14" s="531">
        <f t="shared" si="0"/>
        <v>1.0002589434388407</v>
      </c>
    </row>
    <row r="15" spans="1:10" s="173" customFormat="1" ht="11.25">
      <c r="A15" s="714" t="s">
        <v>116</v>
      </c>
      <c r="B15" s="355" t="s">
        <v>117</v>
      </c>
      <c r="C15" s="354"/>
      <c r="D15" s="351">
        <v>60017.1</v>
      </c>
      <c r="E15" s="196">
        <f t="shared" si="1"/>
        <v>60017.1</v>
      </c>
      <c r="F15" s="174"/>
      <c r="G15" s="172">
        <v>60050</v>
      </c>
      <c r="H15" s="204">
        <f t="shared" si="2"/>
        <v>60050</v>
      </c>
      <c r="I15" s="322">
        <f t="shared" si="3"/>
        <v>32.900000000001455</v>
      </c>
      <c r="J15" s="532">
        <f t="shared" si="0"/>
        <v>1.000548177102859</v>
      </c>
    </row>
    <row r="16" spans="1:10" s="173" customFormat="1" ht="11.25">
      <c r="A16" s="714"/>
      <c r="B16" s="355" t="s">
        <v>118</v>
      </c>
      <c r="C16" s="354"/>
      <c r="D16" s="351">
        <v>4800.09</v>
      </c>
      <c r="E16" s="196">
        <f t="shared" si="1"/>
        <v>4800.09</v>
      </c>
      <c r="F16" s="174"/>
      <c r="G16" s="172">
        <v>4800</v>
      </c>
      <c r="H16" s="204">
        <f t="shared" si="2"/>
        <v>4800</v>
      </c>
      <c r="I16" s="322">
        <f t="shared" si="3"/>
        <v>-0.09000000000014552</v>
      </c>
      <c r="J16" s="532">
        <f t="shared" si="0"/>
        <v>0.9999812503515558</v>
      </c>
    </row>
    <row r="17" spans="1:10" s="69" customFormat="1" ht="11.25">
      <c r="A17" s="728" t="s">
        <v>119</v>
      </c>
      <c r="B17" s="729"/>
      <c r="C17" s="354"/>
      <c r="D17" s="351">
        <v>0.75</v>
      </c>
      <c r="E17" s="195">
        <f t="shared" si="1"/>
        <v>0.75</v>
      </c>
      <c r="F17" s="73"/>
      <c r="G17" s="71">
        <v>1</v>
      </c>
      <c r="H17" s="203">
        <f t="shared" si="2"/>
        <v>1</v>
      </c>
      <c r="I17" s="321">
        <f t="shared" si="3"/>
        <v>0.25</v>
      </c>
      <c r="J17" s="531">
        <f t="shared" si="0"/>
        <v>1.3333333333333333</v>
      </c>
    </row>
    <row r="18" spans="1:10" s="69" customFormat="1" ht="11.25">
      <c r="A18" s="728" t="s">
        <v>120</v>
      </c>
      <c r="B18" s="729"/>
      <c r="C18" s="354"/>
      <c r="D18" s="351"/>
      <c r="E18" s="195">
        <f t="shared" si="1"/>
        <v>0</v>
      </c>
      <c r="F18" s="73"/>
      <c r="G18" s="71"/>
      <c r="H18" s="203">
        <f t="shared" si="2"/>
        <v>0</v>
      </c>
      <c r="I18" s="321">
        <f t="shared" si="3"/>
        <v>0</v>
      </c>
      <c r="J18" s="531"/>
    </row>
    <row r="19" spans="1:10" s="69" customFormat="1" ht="11.25">
      <c r="A19" s="726" t="s">
        <v>121</v>
      </c>
      <c r="B19" s="727"/>
      <c r="C19" s="354">
        <v>9964.27</v>
      </c>
      <c r="D19" s="351">
        <v>29.75</v>
      </c>
      <c r="E19" s="195">
        <f t="shared" si="1"/>
        <v>9994.02</v>
      </c>
      <c r="F19" s="73">
        <v>10000</v>
      </c>
      <c r="G19" s="71"/>
      <c r="H19" s="203">
        <f t="shared" si="2"/>
        <v>10000</v>
      </c>
      <c r="I19" s="321">
        <f t="shared" si="3"/>
        <v>5.979999999999563</v>
      </c>
      <c r="J19" s="531">
        <f t="shared" si="0"/>
        <v>1.0005983578179751</v>
      </c>
    </row>
    <row r="20" spans="1:10" s="69" customFormat="1" ht="11.25">
      <c r="A20" s="726" t="s">
        <v>188</v>
      </c>
      <c r="B20" s="727"/>
      <c r="C20" s="354">
        <v>5667.43</v>
      </c>
      <c r="D20" s="351">
        <v>3571.34</v>
      </c>
      <c r="E20" s="195">
        <f t="shared" si="1"/>
        <v>9238.77</v>
      </c>
      <c r="F20" s="73">
        <v>5700</v>
      </c>
      <c r="G20" s="71">
        <v>3600</v>
      </c>
      <c r="H20" s="203">
        <f t="shared" si="2"/>
        <v>9300</v>
      </c>
      <c r="I20" s="321">
        <f t="shared" si="3"/>
        <v>61.22999999999956</v>
      </c>
      <c r="J20" s="531">
        <f t="shared" si="0"/>
        <v>1.0066275056095129</v>
      </c>
    </row>
    <row r="21" spans="1:10" s="173" customFormat="1" ht="11.25">
      <c r="A21" s="356" t="s">
        <v>116</v>
      </c>
      <c r="B21" s="352" t="s">
        <v>122</v>
      </c>
      <c r="C21" s="354">
        <v>2719.45</v>
      </c>
      <c r="D21" s="351"/>
      <c r="E21" s="196">
        <f t="shared" si="1"/>
        <v>2719.45</v>
      </c>
      <c r="F21" s="174">
        <v>2500</v>
      </c>
      <c r="G21" s="172"/>
      <c r="H21" s="204">
        <f t="shared" si="2"/>
        <v>2500</v>
      </c>
      <c r="I21" s="322">
        <f t="shared" si="3"/>
        <v>-219.44999999999982</v>
      </c>
      <c r="J21" s="532">
        <f t="shared" si="0"/>
        <v>0.9193035356413981</v>
      </c>
    </row>
    <row r="22" spans="1:10" s="69" customFormat="1" ht="11.25">
      <c r="A22" s="726" t="s">
        <v>123</v>
      </c>
      <c r="B22" s="727"/>
      <c r="C22" s="354">
        <v>551.71</v>
      </c>
      <c r="D22" s="351"/>
      <c r="E22" s="195">
        <f t="shared" si="1"/>
        <v>551.71</v>
      </c>
      <c r="F22" s="73">
        <v>550</v>
      </c>
      <c r="G22" s="71"/>
      <c r="H22" s="203">
        <f t="shared" si="2"/>
        <v>550</v>
      </c>
      <c r="I22" s="321">
        <f t="shared" si="3"/>
        <v>-1.7100000000000364</v>
      </c>
      <c r="J22" s="531">
        <f t="shared" si="0"/>
        <v>0.9969005455764803</v>
      </c>
    </row>
    <row r="23" spans="1:10" s="69" customFormat="1" ht="11.25">
      <c r="A23" s="726" t="s">
        <v>288</v>
      </c>
      <c r="B23" s="727"/>
      <c r="C23" s="353">
        <v>27154.417</v>
      </c>
      <c r="D23" s="351"/>
      <c r="E23" s="195">
        <f t="shared" si="1"/>
        <v>27154.417</v>
      </c>
      <c r="F23" s="72">
        <f>E115/1000</f>
        <v>10704.499</v>
      </c>
      <c r="G23" s="71"/>
      <c r="H23" s="203">
        <f t="shared" si="2"/>
        <v>10704.499</v>
      </c>
      <c r="I23" s="321">
        <f t="shared" si="3"/>
        <v>-16449.918</v>
      </c>
      <c r="J23" s="531">
        <f t="shared" si="0"/>
        <v>0.3942083897437385</v>
      </c>
    </row>
    <row r="24" spans="1:10" s="69" customFormat="1" ht="11.25">
      <c r="A24" s="715" t="s">
        <v>289</v>
      </c>
      <c r="B24" s="713"/>
      <c r="C24" s="354">
        <v>282.67</v>
      </c>
      <c r="D24" s="351"/>
      <c r="E24" s="195">
        <f t="shared" si="1"/>
        <v>282.67</v>
      </c>
      <c r="F24" s="73"/>
      <c r="G24" s="71"/>
      <c r="H24" s="203">
        <f t="shared" si="2"/>
        <v>0</v>
      </c>
      <c r="I24" s="321"/>
      <c r="J24" s="531"/>
    </row>
    <row r="25" spans="1:11" s="69" customFormat="1" ht="12" thickBot="1">
      <c r="A25" s="720" t="s">
        <v>290</v>
      </c>
      <c r="B25" s="721"/>
      <c r="C25" s="357">
        <v>26871.75</v>
      </c>
      <c r="D25" s="358"/>
      <c r="E25" s="197">
        <f t="shared" si="1"/>
        <v>26871.75</v>
      </c>
      <c r="F25" s="74"/>
      <c r="G25" s="75"/>
      <c r="H25" s="205">
        <f t="shared" si="2"/>
        <v>0</v>
      </c>
      <c r="I25" s="323"/>
      <c r="J25" s="533"/>
      <c r="K25" s="345"/>
    </row>
    <row r="26" spans="1:10" s="186" customFormat="1" ht="12" thickBot="1">
      <c r="A26" s="722" t="s">
        <v>24</v>
      </c>
      <c r="B26" s="723"/>
      <c r="C26" s="180">
        <f>SUM(C7,C8,C13,C14,C17,C18,C19,C20,C22,C23)</f>
        <v>684491.1370000001</v>
      </c>
      <c r="D26" s="181">
        <f>SUM(D7,D8,D13,D14,D17,D18,D19,D20,D22,D23)</f>
        <v>87560.31</v>
      </c>
      <c r="E26" s="182">
        <f>SUM(C26:D26)</f>
        <v>772051.4470000002</v>
      </c>
      <c r="F26" s="183">
        <f>SUM(F7,F8,F13,F14,F17,F18,F19,F20,F22,F23)</f>
        <v>679676.5989999999</v>
      </c>
      <c r="G26" s="184">
        <f>SUM(G7,G8,G13,G14,G17,G18,G19,G20,G22,G23)</f>
        <v>87631</v>
      </c>
      <c r="H26" s="185">
        <f>SUM(F26:G26)</f>
        <v>767307.5989999999</v>
      </c>
      <c r="I26" s="324">
        <f>+H26-E26</f>
        <v>-4743.848000000231</v>
      </c>
      <c r="J26" s="534">
        <f t="shared" si="0"/>
        <v>0.9938555286458777</v>
      </c>
    </row>
    <row r="27" spans="1:10" s="69" customFormat="1" ht="11.25" customHeight="1">
      <c r="A27" s="724" t="s">
        <v>125</v>
      </c>
      <c r="B27" s="725"/>
      <c r="C27" s="361">
        <v>183966.65</v>
      </c>
      <c r="D27" s="362">
        <v>2785.41</v>
      </c>
      <c r="E27" s="198">
        <f>SUM(C27:D27)</f>
        <v>186752.06</v>
      </c>
      <c r="F27" s="76">
        <v>183000</v>
      </c>
      <c r="G27" s="77">
        <v>2800</v>
      </c>
      <c r="H27" s="206">
        <f>SUM(F27:G27)</f>
        <v>185800</v>
      </c>
      <c r="I27" s="325">
        <f>+H27-E27</f>
        <v>-952.0599999999977</v>
      </c>
      <c r="J27" s="535">
        <f t="shared" si="0"/>
        <v>0.9949020107194534</v>
      </c>
    </row>
    <row r="28" spans="1:10" s="69" customFormat="1" ht="11.25">
      <c r="A28" s="716" t="s">
        <v>126</v>
      </c>
      <c r="B28" s="717"/>
      <c r="C28" s="354">
        <v>52054.44</v>
      </c>
      <c r="D28" s="351"/>
      <c r="E28" s="199">
        <f aca="true" t="shared" si="4" ref="E28:E88">SUM(C28:D28)</f>
        <v>52054.44</v>
      </c>
      <c r="F28" s="73">
        <v>51500</v>
      </c>
      <c r="G28" s="71"/>
      <c r="H28" s="207">
        <f aca="true" t="shared" si="5" ref="H28:H88">SUM(F28:G28)</f>
        <v>51500</v>
      </c>
      <c r="I28" s="326">
        <f aca="true" t="shared" si="6" ref="I28:I90">+H28-E28</f>
        <v>-554.4400000000023</v>
      </c>
      <c r="J28" s="536">
        <f t="shared" si="0"/>
        <v>0.9893488432494904</v>
      </c>
    </row>
    <row r="29" spans="1:10" s="173" customFormat="1" ht="11.25">
      <c r="A29" s="719" t="s">
        <v>116</v>
      </c>
      <c r="B29" s="352" t="s">
        <v>127</v>
      </c>
      <c r="C29" s="354">
        <v>4883</v>
      </c>
      <c r="D29" s="351"/>
      <c r="E29" s="200">
        <f t="shared" si="4"/>
        <v>4883</v>
      </c>
      <c r="F29" s="174">
        <v>4850</v>
      </c>
      <c r="G29" s="172"/>
      <c r="H29" s="208">
        <f t="shared" si="5"/>
        <v>4850</v>
      </c>
      <c r="I29" s="327">
        <f t="shared" si="6"/>
        <v>-33</v>
      </c>
      <c r="J29" s="537">
        <f t="shared" si="0"/>
        <v>0.9932418595125947</v>
      </c>
    </row>
    <row r="30" spans="1:10" s="173" customFormat="1" ht="11.25">
      <c r="A30" s="719"/>
      <c r="B30" s="352" t="s">
        <v>128</v>
      </c>
      <c r="C30" s="354">
        <v>2080</v>
      </c>
      <c r="D30" s="351"/>
      <c r="E30" s="200">
        <f t="shared" si="4"/>
        <v>2080</v>
      </c>
      <c r="F30" s="174">
        <v>2050</v>
      </c>
      <c r="G30" s="172"/>
      <c r="H30" s="208">
        <f t="shared" si="5"/>
        <v>2050</v>
      </c>
      <c r="I30" s="327">
        <f t="shared" si="6"/>
        <v>-30</v>
      </c>
      <c r="J30" s="537">
        <f t="shared" si="0"/>
        <v>0.9855769230769231</v>
      </c>
    </row>
    <row r="31" spans="1:10" s="173" customFormat="1" ht="11.25">
      <c r="A31" s="719"/>
      <c r="B31" s="352" t="s">
        <v>129</v>
      </c>
      <c r="C31" s="354">
        <v>3009</v>
      </c>
      <c r="D31" s="351"/>
      <c r="E31" s="200">
        <f t="shared" si="4"/>
        <v>3009</v>
      </c>
      <c r="F31" s="174">
        <v>2980</v>
      </c>
      <c r="G31" s="172"/>
      <c r="H31" s="208">
        <f t="shared" si="5"/>
        <v>2980</v>
      </c>
      <c r="I31" s="327">
        <f t="shared" si="6"/>
        <v>-29</v>
      </c>
      <c r="J31" s="537">
        <f t="shared" si="0"/>
        <v>0.9903622465935527</v>
      </c>
    </row>
    <row r="32" spans="1:10" s="173" customFormat="1" ht="11.25">
      <c r="A32" s="719"/>
      <c r="B32" s="352" t="s">
        <v>130</v>
      </c>
      <c r="C32" s="354">
        <v>1186</v>
      </c>
      <c r="D32" s="351"/>
      <c r="E32" s="200">
        <f t="shared" si="4"/>
        <v>1186</v>
      </c>
      <c r="F32" s="174">
        <v>1170</v>
      </c>
      <c r="G32" s="172"/>
      <c r="H32" s="208">
        <f t="shared" si="5"/>
        <v>1170</v>
      </c>
      <c r="I32" s="327">
        <f t="shared" si="6"/>
        <v>-16</v>
      </c>
      <c r="J32" s="537">
        <f t="shared" si="0"/>
        <v>0.9865092748735245</v>
      </c>
    </row>
    <row r="33" spans="1:10" s="69" customFormat="1" ht="11.25">
      <c r="A33" s="716" t="s">
        <v>131</v>
      </c>
      <c r="B33" s="717"/>
      <c r="C33" s="354">
        <v>95267.98</v>
      </c>
      <c r="D33" s="351"/>
      <c r="E33" s="199">
        <f t="shared" si="4"/>
        <v>95267.98</v>
      </c>
      <c r="F33" s="73">
        <v>94700</v>
      </c>
      <c r="G33" s="71"/>
      <c r="H33" s="207">
        <f t="shared" si="5"/>
        <v>94700</v>
      </c>
      <c r="I33" s="326">
        <f t="shared" si="6"/>
        <v>-567.9799999999959</v>
      </c>
      <c r="J33" s="536">
        <f t="shared" si="0"/>
        <v>0.9940380807906287</v>
      </c>
    </row>
    <row r="34" spans="1:10" s="173" customFormat="1" ht="11.25">
      <c r="A34" s="719" t="s">
        <v>116</v>
      </c>
      <c r="B34" s="352" t="s">
        <v>132</v>
      </c>
      <c r="C34" s="354">
        <v>66</v>
      </c>
      <c r="D34" s="351"/>
      <c r="E34" s="200">
        <f t="shared" si="4"/>
        <v>66</v>
      </c>
      <c r="F34" s="174">
        <v>65</v>
      </c>
      <c r="G34" s="172"/>
      <c r="H34" s="208">
        <f t="shared" si="5"/>
        <v>65</v>
      </c>
      <c r="I34" s="327">
        <f t="shared" si="6"/>
        <v>-1</v>
      </c>
      <c r="J34" s="537">
        <f t="shared" si="0"/>
        <v>0.9848484848484849</v>
      </c>
    </row>
    <row r="35" spans="1:10" s="173" customFormat="1" ht="11.25">
      <c r="A35" s="719"/>
      <c r="B35" s="352" t="s">
        <v>133</v>
      </c>
      <c r="C35" s="354">
        <v>741</v>
      </c>
      <c r="D35" s="351"/>
      <c r="E35" s="200">
        <f t="shared" si="4"/>
        <v>741</v>
      </c>
      <c r="F35" s="174">
        <v>730</v>
      </c>
      <c r="G35" s="172"/>
      <c r="H35" s="208">
        <f t="shared" si="5"/>
        <v>730</v>
      </c>
      <c r="I35" s="327">
        <f t="shared" si="6"/>
        <v>-11</v>
      </c>
      <c r="J35" s="537">
        <f t="shared" si="0"/>
        <v>0.9851551956815114</v>
      </c>
    </row>
    <row r="36" spans="1:10" s="173" customFormat="1" ht="11.25">
      <c r="A36" s="719"/>
      <c r="B36" s="352" t="s">
        <v>134</v>
      </c>
      <c r="C36" s="354">
        <v>15619</v>
      </c>
      <c r="D36" s="351"/>
      <c r="E36" s="200">
        <f t="shared" si="4"/>
        <v>15619</v>
      </c>
      <c r="F36" s="174">
        <v>15520</v>
      </c>
      <c r="G36" s="172"/>
      <c r="H36" s="208">
        <f t="shared" si="5"/>
        <v>15520</v>
      </c>
      <c r="I36" s="327">
        <f t="shared" si="6"/>
        <v>-99</v>
      </c>
      <c r="J36" s="537">
        <f t="shared" si="0"/>
        <v>0.9936615660413599</v>
      </c>
    </row>
    <row r="37" spans="1:10" s="173" customFormat="1" ht="11.25">
      <c r="A37" s="719"/>
      <c r="B37" s="352" t="s">
        <v>135</v>
      </c>
      <c r="C37" s="354">
        <v>2966</v>
      </c>
      <c r="D37" s="351"/>
      <c r="E37" s="200">
        <f t="shared" si="4"/>
        <v>2966</v>
      </c>
      <c r="F37" s="174">
        <v>2950</v>
      </c>
      <c r="G37" s="172"/>
      <c r="H37" s="208">
        <f t="shared" si="5"/>
        <v>2950</v>
      </c>
      <c r="I37" s="327">
        <f t="shared" si="6"/>
        <v>-16</v>
      </c>
      <c r="J37" s="537">
        <f t="shared" si="0"/>
        <v>0.9946055293324343</v>
      </c>
    </row>
    <row r="38" spans="1:10" s="173" customFormat="1" ht="11.25">
      <c r="A38" s="719"/>
      <c r="B38" s="352" t="s">
        <v>136</v>
      </c>
      <c r="C38" s="354">
        <v>927</v>
      </c>
      <c r="D38" s="351"/>
      <c r="E38" s="200">
        <f t="shared" si="4"/>
        <v>927</v>
      </c>
      <c r="F38" s="174">
        <v>920</v>
      </c>
      <c r="G38" s="172"/>
      <c r="H38" s="208">
        <f t="shared" si="5"/>
        <v>920</v>
      </c>
      <c r="I38" s="327">
        <f t="shared" si="6"/>
        <v>-7</v>
      </c>
      <c r="J38" s="537">
        <f t="shared" si="0"/>
        <v>0.9924487594390508</v>
      </c>
    </row>
    <row r="39" spans="1:10" s="173" customFormat="1" ht="11.25">
      <c r="A39" s="719"/>
      <c r="B39" s="352" t="s">
        <v>137</v>
      </c>
      <c r="C39" s="354">
        <v>2225</v>
      </c>
      <c r="D39" s="351"/>
      <c r="E39" s="200">
        <f t="shared" si="4"/>
        <v>2225</v>
      </c>
      <c r="F39" s="174">
        <v>2200</v>
      </c>
      <c r="G39" s="172"/>
      <c r="H39" s="208">
        <f t="shared" si="5"/>
        <v>2200</v>
      </c>
      <c r="I39" s="327">
        <f t="shared" si="6"/>
        <v>-25</v>
      </c>
      <c r="J39" s="537">
        <f t="shared" si="0"/>
        <v>0.9887640449438202</v>
      </c>
    </row>
    <row r="40" spans="1:10" s="173" customFormat="1" ht="11.25">
      <c r="A40" s="719"/>
      <c r="B40" s="352" t="s">
        <v>138</v>
      </c>
      <c r="C40" s="354">
        <v>3328</v>
      </c>
      <c r="D40" s="351"/>
      <c r="E40" s="200">
        <f t="shared" si="4"/>
        <v>3328</v>
      </c>
      <c r="F40" s="174">
        <v>3300</v>
      </c>
      <c r="G40" s="172"/>
      <c r="H40" s="208">
        <f t="shared" si="5"/>
        <v>3300</v>
      </c>
      <c r="I40" s="327">
        <f t="shared" si="6"/>
        <v>-28</v>
      </c>
      <c r="J40" s="537">
        <f t="shared" si="0"/>
        <v>0.9915865384615384</v>
      </c>
    </row>
    <row r="41" spans="1:10" s="69" customFormat="1" ht="11.25">
      <c r="A41" s="716" t="s">
        <v>139</v>
      </c>
      <c r="B41" s="717"/>
      <c r="C41" s="354">
        <v>720.6</v>
      </c>
      <c r="D41" s="351"/>
      <c r="E41" s="199">
        <f t="shared" si="4"/>
        <v>720.6</v>
      </c>
      <c r="F41" s="73">
        <v>720</v>
      </c>
      <c r="G41" s="71"/>
      <c r="H41" s="207">
        <f t="shared" si="5"/>
        <v>720</v>
      </c>
      <c r="I41" s="326">
        <f t="shared" si="6"/>
        <v>-0.6000000000000227</v>
      </c>
      <c r="J41" s="536">
        <f t="shared" si="0"/>
        <v>0.9991673605328892</v>
      </c>
    </row>
    <row r="42" spans="1:10" s="69" customFormat="1" ht="11.25" customHeight="1">
      <c r="A42" s="716" t="s">
        <v>140</v>
      </c>
      <c r="B42" s="718"/>
      <c r="C42" s="354">
        <v>12298.21</v>
      </c>
      <c r="D42" s="351">
        <v>917.37</v>
      </c>
      <c r="E42" s="199">
        <f t="shared" si="4"/>
        <v>13215.58</v>
      </c>
      <c r="F42" s="73">
        <v>12300</v>
      </c>
      <c r="G42" s="71">
        <v>900</v>
      </c>
      <c r="H42" s="207">
        <f t="shared" si="5"/>
        <v>13200</v>
      </c>
      <c r="I42" s="326">
        <f t="shared" si="6"/>
        <v>-15.579999999999927</v>
      </c>
      <c r="J42" s="536">
        <f t="shared" si="0"/>
        <v>0.9988210884425807</v>
      </c>
    </row>
    <row r="43" spans="1:10" s="173" customFormat="1" ht="11.25">
      <c r="A43" s="719" t="s">
        <v>116</v>
      </c>
      <c r="B43" s="363" t="s">
        <v>141</v>
      </c>
      <c r="C43" s="354">
        <v>1195</v>
      </c>
      <c r="D43" s="351">
        <v>9</v>
      </c>
      <c r="E43" s="200">
        <f t="shared" si="4"/>
        <v>1204</v>
      </c>
      <c r="F43" s="174">
        <v>1200</v>
      </c>
      <c r="G43" s="172"/>
      <c r="H43" s="208">
        <f t="shared" si="5"/>
        <v>1200</v>
      </c>
      <c r="I43" s="327">
        <f t="shared" si="6"/>
        <v>-4</v>
      </c>
      <c r="J43" s="537">
        <f t="shared" si="0"/>
        <v>0.9966777408637874</v>
      </c>
    </row>
    <row r="44" spans="1:10" s="173" customFormat="1" ht="11.25">
      <c r="A44" s="719"/>
      <c r="B44" s="352" t="s">
        <v>142</v>
      </c>
      <c r="C44" s="354">
        <v>78</v>
      </c>
      <c r="D44" s="351">
        <v>0</v>
      </c>
      <c r="E44" s="200">
        <f t="shared" si="4"/>
        <v>78</v>
      </c>
      <c r="F44" s="174">
        <v>75</v>
      </c>
      <c r="G44" s="172"/>
      <c r="H44" s="208">
        <f t="shared" si="5"/>
        <v>75</v>
      </c>
      <c r="I44" s="327">
        <f t="shared" si="6"/>
        <v>-3</v>
      </c>
      <c r="J44" s="537">
        <f t="shared" si="0"/>
        <v>0.9615384615384616</v>
      </c>
    </row>
    <row r="45" spans="1:10" s="173" customFormat="1" ht="11.25">
      <c r="A45" s="719"/>
      <c r="B45" s="352" t="s">
        <v>143</v>
      </c>
      <c r="C45" s="354">
        <v>1693</v>
      </c>
      <c r="D45" s="351">
        <v>42</v>
      </c>
      <c r="E45" s="200">
        <f t="shared" si="4"/>
        <v>1735</v>
      </c>
      <c r="F45" s="174">
        <v>1700</v>
      </c>
      <c r="G45" s="172">
        <v>40</v>
      </c>
      <c r="H45" s="208">
        <f t="shared" si="5"/>
        <v>1740</v>
      </c>
      <c r="I45" s="327">
        <f t="shared" si="6"/>
        <v>5</v>
      </c>
      <c r="J45" s="537">
        <f t="shared" si="0"/>
        <v>1.0028818443804035</v>
      </c>
    </row>
    <row r="46" spans="1:10" s="173" customFormat="1" ht="11.25">
      <c r="A46" s="719"/>
      <c r="B46" s="352" t="s">
        <v>144</v>
      </c>
      <c r="C46" s="354">
        <v>883</v>
      </c>
      <c r="D46" s="351">
        <v>31</v>
      </c>
      <c r="E46" s="200">
        <f t="shared" si="4"/>
        <v>914</v>
      </c>
      <c r="F46" s="174">
        <v>880</v>
      </c>
      <c r="G46" s="172">
        <v>20</v>
      </c>
      <c r="H46" s="208">
        <f t="shared" si="5"/>
        <v>900</v>
      </c>
      <c r="I46" s="327">
        <f t="shared" si="6"/>
        <v>-14</v>
      </c>
      <c r="J46" s="537">
        <f t="shared" si="0"/>
        <v>0.9846827133479212</v>
      </c>
    </row>
    <row r="47" spans="1:10" s="69" customFormat="1" ht="11.25">
      <c r="A47" s="716" t="s">
        <v>145</v>
      </c>
      <c r="B47" s="717"/>
      <c r="C47" s="354">
        <v>3438.34</v>
      </c>
      <c r="D47" s="351">
        <v>353.41</v>
      </c>
      <c r="E47" s="199">
        <f t="shared" si="4"/>
        <v>3791.75</v>
      </c>
      <c r="F47" s="73">
        <v>3500</v>
      </c>
      <c r="G47" s="71">
        <v>300</v>
      </c>
      <c r="H47" s="207">
        <f t="shared" si="5"/>
        <v>3800</v>
      </c>
      <c r="I47" s="326">
        <f t="shared" si="6"/>
        <v>8.25</v>
      </c>
      <c r="J47" s="536">
        <f t="shared" si="0"/>
        <v>1.0021757763565635</v>
      </c>
    </row>
    <row r="48" spans="1:10" s="173" customFormat="1" ht="11.25">
      <c r="A48" s="714" t="s">
        <v>116</v>
      </c>
      <c r="B48" s="352" t="s">
        <v>146</v>
      </c>
      <c r="C48" s="354">
        <v>855</v>
      </c>
      <c r="D48" s="351">
        <v>0</v>
      </c>
      <c r="E48" s="200">
        <f t="shared" si="4"/>
        <v>855</v>
      </c>
      <c r="F48" s="174">
        <v>850</v>
      </c>
      <c r="G48" s="172"/>
      <c r="H48" s="208">
        <f t="shared" si="5"/>
        <v>850</v>
      </c>
      <c r="I48" s="327">
        <f t="shared" si="6"/>
        <v>-5</v>
      </c>
      <c r="J48" s="537">
        <f t="shared" si="0"/>
        <v>0.9941520467836257</v>
      </c>
    </row>
    <row r="49" spans="1:10" s="173" customFormat="1" ht="11.25">
      <c r="A49" s="714"/>
      <c r="B49" s="352" t="s">
        <v>147</v>
      </c>
      <c r="C49" s="354">
        <v>856</v>
      </c>
      <c r="D49" s="351">
        <v>112</v>
      </c>
      <c r="E49" s="200">
        <f t="shared" si="4"/>
        <v>968</v>
      </c>
      <c r="F49" s="174">
        <v>850</v>
      </c>
      <c r="G49" s="172">
        <v>100</v>
      </c>
      <c r="H49" s="208">
        <f t="shared" si="5"/>
        <v>950</v>
      </c>
      <c r="I49" s="327">
        <f t="shared" si="6"/>
        <v>-18</v>
      </c>
      <c r="J49" s="537">
        <f t="shared" si="0"/>
        <v>0.981404958677686</v>
      </c>
    </row>
    <row r="50" spans="1:10" s="173" customFormat="1" ht="11.25">
      <c r="A50" s="714"/>
      <c r="B50" s="352" t="s">
        <v>148</v>
      </c>
      <c r="C50" s="354">
        <v>679</v>
      </c>
      <c r="D50" s="351">
        <v>131</v>
      </c>
      <c r="E50" s="200">
        <f t="shared" si="4"/>
        <v>810</v>
      </c>
      <c r="F50" s="174">
        <v>700</v>
      </c>
      <c r="G50" s="172">
        <v>100</v>
      </c>
      <c r="H50" s="208">
        <f t="shared" si="5"/>
        <v>800</v>
      </c>
      <c r="I50" s="327">
        <f t="shared" si="6"/>
        <v>-10</v>
      </c>
      <c r="J50" s="537">
        <f t="shared" si="0"/>
        <v>0.9876543209876543</v>
      </c>
    </row>
    <row r="51" spans="1:10" s="69" customFormat="1" ht="11.25">
      <c r="A51" s="715" t="s">
        <v>149</v>
      </c>
      <c r="B51" s="713"/>
      <c r="C51" s="354">
        <v>1621.92</v>
      </c>
      <c r="D51" s="351"/>
      <c r="E51" s="199">
        <f t="shared" si="4"/>
        <v>1621.92</v>
      </c>
      <c r="F51" s="73">
        <v>1600</v>
      </c>
      <c r="G51" s="71"/>
      <c r="H51" s="207">
        <f t="shared" si="5"/>
        <v>1600</v>
      </c>
      <c r="I51" s="326">
        <f t="shared" si="6"/>
        <v>-21.920000000000073</v>
      </c>
      <c r="J51" s="536">
        <f t="shared" si="0"/>
        <v>0.9864851533984413</v>
      </c>
    </row>
    <row r="52" spans="1:10" s="173" customFormat="1" ht="11.25">
      <c r="A52" s="714" t="s">
        <v>116</v>
      </c>
      <c r="B52" s="352" t="s">
        <v>150</v>
      </c>
      <c r="C52" s="354">
        <v>568</v>
      </c>
      <c r="D52" s="351"/>
      <c r="E52" s="200">
        <f t="shared" si="4"/>
        <v>568</v>
      </c>
      <c r="F52" s="174">
        <v>550</v>
      </c>
      <c r="G52" s="172"/>
      <c r="H52" s="208">
        <f t="shared" si="5"/>
        <v>550</v>
      </c>
      <c r="I52" s="327">
        <f t="shared" si="6"/>
        <v>-18</v>
      </c>
      <c r="J52" s="537">
        <f t="shared" si="0"/>
        <v>0.9683098591549296</v>
      </c>
    </row>
    <row r="53" spans="1:10" s="173" customFormat="1" ht="11.25">
      <c r="A53" s="714"/>
      <c r="B53" s="352" t="s">
        <v>151</v>
      </c>
      <c r="C53" s="354">
        <v>1106</v>
      </c>
      <c r="D53" s="351">
        <v>53</v>
      </c>
      <c r="E53" s="200">
        <f t="shared" si="4"/>
        <v>1159</v>
      </c>
      <c r="F53" s="174">
        <v>1100</v>
      </c>
      <c r="G53" s="172"/>
      <c r="H53" s="208">
        <f t="shared" si="5"/>
        <v>1100</v>
      </c>
      <c r="I53" s="327">
        <f t="shared" si="6"/>
        <v>-59</v>
      </c>
      <c r="J53" s="537">
        <f t="shared" si="0"/>
        <v>0.9490940465918896</v>
      </c>
    </row>
    <row r="54" spans="1:10" s="69" customFormat="1" ht="11.25">
      <c r="A54" s="715" t="s">
        <v>152</v>
      </c>
      <c r="B54" s="713"/>
      <c r="C54" s="354">
        <v>195.44</v>
      </c>
      <c r="D54" s="351"/>
      <c r="E54" s="199">
        <f t="shared" si="4"/>
        <v>195.44</v>
      </c>
      <c r="F54" s="73">
        <v>180</v>
      </c>
      <c r="G54" s="71"/>
      <c r="H54" s="207">
        <f t="shared" si="5"/>
        <v>180</v>
      </c>
      <c r="I54" s="326">
        <f t="shared" si="6"/>
        <v>-15.439999999999998</v>
      </c>
      <c r="J54" s="536">
        <f t="shared" si="0"/>
        <v>0.9209987720016374</v>
      </c>
    </row>
    <row r="55" spans="1:10" s="69" customFormat="1" ht="11.25" customHeight="1">
      <c r="A55" s="711" t="s">
        <v>153</v>
      </c>
      <c r="B55" s="712"/>
      <c r="C55" s="364">
        <v>21526.92</v>
      </c>
      <c r="D55" s="365">
        <v>3871.54</v>
      </c>
      <c r="E55" s="199">
        <f>SUM(C55:D55)</f>
        <v>25398.46</v>
      </c>
      <c r="F55" s="78">
        <v>21300</v>
      </c>
      <c r="G55" s="79">
        <v>3970</v>
      </c>
      <c r="H55" s="207">
        <f t="shared" si="5"/>
        <v>25270</v>
      </c>
      <c r="I55" s="326">
        <f t="shared" si="6"/>
        <v>-128.45999999999913</v>
      </c>
      <c r="J55" s="536">
        <f t="shared" si="0"/>
        <v>0.9949422130318137</v>
      </c>
    </row>
    <row r="56" spans="1:10" s="69" customFormat="1" ht="11.25" customHeight="1">
      <c r="A56" s="705" t="s">
        <v>154</v>
      </c>
      <c r="B56" s="706"/>
      <c r="C56" s="354">
        <v>10098.37</v>
      </c>
      <c r="D56" s="351">
        <v>746.21</v>
      </c>
      <c r="E56" s="199">
        <f t="shared" si="4"/>
        <v>10844.580000000002</v>
      </c>
      <c r="F56" s="73">
        <v>9900</v>
      </c>
      <c r="G56" s="71">
        <v>770</v>
      </c>
      <c r="H56" s="207">
        <f t="shared" si="5"/>
        <v>10670</v>
      </c>
      <c r="I56" s="326">
        <f t="shared" si="6"/>
        <v>-174.58000000000175</v>
      </c>
      <c r="J56" s="536">
        <f t="shared" si="0"/>
        <v>0.9839016356557837</v>
      </c>
    </row>
    <row r="57" spans="1:10" s="69" customFormat="1" ht="11.25" customHeight="1">
      <c r="A57" s="705" t="s">
        <v>155</v>
      </c>
      <c r="B57" s="706"/>
      <c r="C57" s="354">
        <v>4612.79</v>
      </c>
      <c r="D57" s="351">
        <v>377.25</v>
      </c>
      <c r="E57" s="199">
        <f t="shared" si="4"/>
        <v>4990.04</v>
      </c>
      <c r="F57" s="73">
        <v>4600</v>
      </c>
      <c r="G57" s="71">
        <v>400</v>
      </c>
      <c r="H57" s="207">
        <f t="shared" si="5"/>
        <v>5000</v>
      </c>
      <c r="I57" s="326">
        <f t="shared" si="6"/>
        <v>9.960000000000036</v>
      </c>
      <c r="J57" s="536">
        <f t="shared" si="0"/>
        <v>1.0019959759841603</v>
      </c>
    </row>
    <row r="58" spans="1:10" s="69" customFormat="1" ht="11.25" customHeight="1">
      <c r="A58" s="705" t="s">
        <v>156</v>
      </c>
      <c r="B58" s="713"/>
      <c r="C58" s="354">
        <v>0</v>
      </c>
      <c r="D58" s="351">
        <v>0</v>
      </c>
      <c r="E58" s="199">
        <f t="shared" si="4"/>
        <v>0</v>
      </c>
      <c r="F58" s="73"/>
      <c r="G58" s="71"/>
      <c r="H58" s="207">
        <f t="shared" si="5"/>
        <v>0</v>
      </c>
      <c r="I58" s="326">
        <f t="shared" si="6"/>
        <v>0</v>
      </c>
      <c r="J58" s="536"/>
    </row>
    <row r="59" spans="1:10" s="69" customFormat="1" ht="11.25" customHeight="1">
      <c r="A59" s="705" t="s">
        <v>157</v>
      </c>
      <c r="B59" s="706"/>
      <c r="C59" s="354">
        <v>6815.76</v>
      </c>
      <c r="D59" s="351">
        <v>2748.08</v>
      </c>
      <c r="E59" s="199">
        <f t="shared" si="4"/>
        <v>9563.84</v>
      </c>
      <c r="F59" s="73">
        <v>6800</v>
      </c>
      <c r="G59" s="71">
        <v>2800</v>
      </c>
      <c r="H59" s="207">
        <f t="shared" si="5"/>
        <v>9600</v>
      </c>
      <c r="I59" s="326">
        <f t="shared" si="6"/>
        <v>36.159999999999854</v>
      </c>
      <c r="J59" s="536">
        <f t="shared" si="0"/>
        <v>1.0037809080871283</v>
      </c>
    </row>
    <row r="60" spans="1:10" s="82" customFormat="1" ht="11.25" customHeight="1">
      <c r="A60" s="707" t="s">
        <v>158</v>
      </c>
      <c r="B60" s="708"/>
      <c r="C60" s="354"/>
      <c r="D60" s="351"/>
      <c r="E60" s="199">
        <f t="shared" si="4"/>
        <v>0</v>
      </c>
      <c r="F60" s="80"/>
      <c r="G60" s="81"/>
      <c r="H60" s="207">
        <f t="shared" si="5"/>
        <v>0</v>
      </c>
      <c r="I60" s="326">
        <f t="shared" si="6"/>
        <v>0</v>
      </c>
      <c r="J60" s="536"/>
    </row>
    <row r="61" spans="1:10" s="69" customFormat="1" ht="11.25" customHeight="1">
      <c r="A61" s="709" t="s">
        <v>159</v>
      </c>
      <c r="B61" s="710"/>
      <c r="C61" s="354"/>
      <c r="D61" s="351">
        <v>57422.21</v>
      </c>
      <c r="E61" s="199">
        <f t="shared" si="4"/>
        <v>57422.21</v>
      </c>
      <c r="F61" s="73"/>
      <c r="G61" s="71">
        <v>57450</v>
      </c>
      <c r="H61" s="207">
        <f t="shared" si="5"/>
        <v>57450</v>
      </c>
      <c r="I61" s="326">
        <f t="shared" si="6"/>
        <v>27.790000000000873</v>
      </c>
      <c r="J61" s="536">
        <f t="shared" si="0"/>
        <v>1.0004839590813381</v>
      </c>
    </row>
    <row r="62" spans="1:10" s="69" customFormat="1" ht="11.25">
      <c r="A62" s="687" t="s">
        <v>160</v>
      </c>
      <c r="B62" s="688"/>
      <c r="C62" s="354">
        <v>36419.59</v>
      </c>
      <c r="D62" s="351">
        <v>787.89</v>
      </c>
      <c r="E62" s="199">
        <f t="shared" si="4"/>
        <v>37207.479999999996</v>
      </c>
      <c r="F62" s="73">
        <v>36500</v>
      </c>
      <c r="G62" s="71">
        <v>750</v>
      </c>
      <c r="H62" s="207">
        <f t="shared" si="5"/>
        <v>37250</v>
      </c>
      <c r="I62" s="326">
        <f t="shared" si="6"/>
        <v>42.520000000004075</v>
      </c>
      <c r="J62" s="536">
        <f t="shared" si="0"/>
        <v>1.001142780967698</v>
      </c>
    </row>
    <row r="63" spans="1:10" s="69" customFormat="1" ht="11.25" customHeight="1">
      <c r="A63" s="689" t="s">
        <v>161</v>
      </c>
      <c r="B63" s="690"/>
      <c r="C63" s="364">
        <v>14170.57332</v>
      </c>
      <c r="D63" s="365">
        <v>401.19437000000005</v>
      </c>
      <c r="E63" s="199">
        <f t="shared" si="4"/>
        <v>14571.767689999999</v>
      </c>
      <c r="F63" s="78">
        <v>14000</v>
      </c>
      <c r="G63" s="79">
        <v>400</v>
      </c>
      <c r="H63" s="207">
        <f t="shared" si="5"/>
        <v>14400</v>
      </c>
      <c r="I63" s="326">
        <f t="shared" si="6"/>
        <v>-171.76768999999877</v>
      </c>
      <c r="J63" s="536">
        <f t="shared" si="0"/>
        <v>0.9882122956079051</v>
      </c>
    </row>
    <row r="64" spans="1:10" s="173" customFormat="1" ht="11.25">
      <c r="A64" s="700" t="s">
        <v>116</v>
      </c>
      <c r="B64" s="352" t="s">
        <v>162</v>
      </c>
      <c r="C64" s="353">
        <v>3131.0026999999995</v>
      </c>
      <c r="D64" s="365">
        <v>142.33970000000002</v>
      </c>
      <c r="E64" s="200">
        <f t="shared" si="4"/>
        <v>3273.3423999999995</v>
      </c>
      <c r="F64" s="171">
        <v>3750</v>
      </c>
      <c r="G64" s="172">
        <v>190</v>
      </c>
      <c r="H64" s="208">
        <f t="shared" si="5"/>
        <v>3940</v>
      </c>
      <c r="I64" s="327">
        <f t="shared" si="6"/>
        <v>666.6576000000005</v>
      </c>
      <c r="J64" s="537">
        <f t="shared" si="0"/>
        <v>1.2036626538060915</v>
      </c>
    </row>
    <row r="65" spans="1:10" s="173" customFormat="1" ht="11.25" customHeight="1">
      <c r="A65" s="701"/>
      <c r="B65" s="352" t="s">
        <v>163</v>
      </c>
      <c r="C65" s="353">
        <v>8033.27695</v>
      </c>
      <c r="D65" s="351"/>
      <c r="E65" s="200">
        <f t="shared" si="4"/>
        <v>8033.27695</v>
      </c>
      <c r="F65" s="171">
        <v>7870</v>
      </c>
      <c r="G65" s="172"/>
      <c r="H65" s="208">
        <f t="shared" si="5"/>
        <v>7870</v>
      </c>
      <c r="I65" s="327">
        <f t="shared" si="6"/>
        <v>-163.2769500000004</v>
      </c>
      <c r="J65" s="537">
        <f t="shared" si="0"/>
        <v>0.9796749258096971</v>
      </c>
    </row>
    <row r="66" spans="1:10" s="173" customFormat="1" ht="11.25" customHeight="1">
      <c r="A66" s="701"/>
      <c r="B66" s="352" t="s">
        <v>164</v>
      </c>
      <c r="C66" s="353">
        <v>3006.29367</v>
      </c>
      <c r="D66" s="365">
        <v>258.85467</v>
      </c>
      <c r="E66" s="200">
        <f t="shared" si="4"/>
        <v>3265.14834</v>
      </c>
      <c r="F66" s="171">
        <v>2380</v>
      </c>
      <c r="G66" s="177">
        <v>210</v>
      </c>
      <c r="H66" s="208">
        <f t="shared" si="5"/>
        <v>2590</v>
      </c>
      <c r="I66" s="327">
        <f t="shared" si="6"/>
        <v>-675.1483400000002</v>
      </c>
      <c r="J66" s="537">
        <f t="shared" si="0"/>
        <v>0.7932258293661475</v>
      </c>
    </row>
    <row r="67" spans="1:10" s="69" customFormat="1" ht="11.25" customHeight="1">
      <c r="A67" s="689" t="s">
        <v>165</v>
      </c>
      <c r="B67" s="690"/>
      <c r="C67" s="354">
        <v>21653.08</v>
      </c>
      <c r="D67" s="351">
        <v>386.35</v>
      </c>
      <c r="E67" s="199">
        <f t="shared" si="4"/>
        <v>22039.43</v>
      </c>
      <c r="F67" s="73">
        <v>21600</v>
      </c>
      <c r="G67" s="71">
        <v>400</v>
      </c>
      <c r="H67" s="207">
        <f t="shared" si="5"/>
        <v>22000</v>
      </c>
      <c r="I67" s="326">
        <f t="shared" si="6"/>
        <v>-39.43000000000029</v>
      </c>
      <c r="J67" s="536">
        <f t="shared" si="0"/>
        <v>0.9982109337673434</v>
      </c>
    </row>
    <row r="68" spans="1:10" s="173" customFormat="1" ht="11.25">
      <c r="A68" s="702" t="s">
        <v>116</v>
      </c>
      <c r="B68" s="366" t="s">
        <v>166</v>
      </c>
      <c r="C68" s="354">
        <v>0</v>
      </c>
      <c r="D68" s="351">
        <v>0</v>
      </c>
      <c r="E68" s="200">
        <f t="shared" si="4"/>
        <v>0</v>
      </c>
      <c r="F68" s="174"/>
      <c r="G68" s="172"/>
      <c r="H68" s="208">
        <f t="shared" si="5"/>
        <v>0</v>
      </c>
      <c r="I68" s="327">
        <f t="shared" si="6"/>
        <v>0</v>
      </c>
      <c r="J68" s="536"/>
    </row>
    <row r="69" spans="1:10" s="173" customFormat="1" ht="11.25">
      <c r="A69" s="703"/>
      <c r="B69" s="366" t="s">
        <v>167</v>
      </c>
      <c r="C69" s="354">
        <v>116.67</v>
      </c>
      <c r="D69" s="351">
        <v>0</v>
      </c>
      <c r="E69" s="200">
        <f t="shared" si="4"/>
        <v>116.67</v>
      </c>
      <c r="F69" s="174">
        <v>120</v>
      </c>
      <c r="G69" s="172"/>
      <c r="H69" s="208">
        <f t="shared" si="5"/>
        <v>120</v>
      </c>
      <c r="I69" s="327">
        <f t="shared" si="6"/>
        <v>3.3299999999999983</v>
      </c>
      <c r="J69" s="537">
        <f t="shared" si="0"/>
        <v>1.0285420416559528</v>
      </c>
    </row>
    <row r="70" spans="1:10" s="173" customFormat="1" ht="11.25">
      <c r="A70" s="703"/>
      <c r="B70" s="366" t="s">
        <v>168</v>
      </c>
      <c r="C70" s="354">
        <v>0</v>
      </c>
      <c r="D70" s="351">
        <v>0</v>
      </c>
      <c r="E70" s="200">
        <f t="shared" si="4"/>
        <v>0</v>
      </c>
      <c r="F70" s="174"/>
      <c r="G70" s="172"/>
      <c r="H70" s="208">
        <f t="shared" si="5"/>
        <v>0</v>
      </c>
      <c r="I70" s="327">
        <f t="shared" si="6"/>
        <v>0</v>
      </c>
      <c r="J70" s="537"/>
    </row>
    <row r="71" spans="1:10" s="173" customFormat="1" ht="11.25">
      <c r="A71" s="703"/>
      <c r="B71" s="366" t="s">
        <v>169</v>
      </c>
      <c r="C71" s="354">
        <v>1892</v>
      </c>
      <c r="D71" s="351">
        <v>8</v>
      </c>
      <c r="E71" s="200">
        <f t="shared" si="4"/>
        <v>1900</v>
      </c>
      <c r="F71" s="174">
        <v>1900</v>
      </c>
      <c r="G71" s="172"/>
      <c r="H71" s="208">
        <f t="shared" si="5"/>
        <v>1900</v>
      </c>
      <c r="I71" s="327">
        <f t="shared" si="6"/>
        <v>0</v>
      </c>
      <c r="J71" s="537">
        <f t="shared" si="0"/>
        <v>1</v>
      </c>
    </row>
    <row r="72" spans="1:10" s="173" customFormat="1" ht="11.25">
      <c r="A72" s="704"/>
      <c r="B72" s="366" t="s">
        <v>170</v>
      </c>
      <c r="C72" s="354">
        <v>1029</v>
      </c>
      <c r="D72" s="351">
        <v>1</v>
      </c>
      <c r="E72" s="200">
        <f t="shared" si="4"/>
        <v>1030</v>
      </c>
      <c r="F72" s="174">
        <v>1030</v>
      </c>
      <c r="G72" s="172"/>
      <c r="H72" s="208">
        <f t="shared" si="5"/>
        <v>1030</v>
      </c>
      <c r="I72" s="327">
        <f t="shared" si="6"/>
        <v>0</v>
      </c>
      <c r="J72" s="537">
        <f aca="true" t="shared" si="7" ref="J72:J90">+H72/E72</f>
        <v>1</v>
      </c>
    </row>
    <row r="73" spans="1:10" s="69" customFormat="1" ht="11.25" customHeight="1">
      <c r="A73" s="687" t="s">
        <v>171</v>
      </c>
      <c r="B73" s="688"/>
      <c r="C73" s="364">
        <v>428166.73</v>
      </c>
      <c r="D73" s="365">
        <v>8742.58</v>
      </c>
      <c r="E73" s="199">
        <f t="shared" si="4"/>
        <v>436909.31</v>
      </c>
      <c r="F73" s="78">
        <v>437100</v>
      </c>
      <c r="G73" s="79">
        <v>8680</v>
      </c>
      <c r="H73" s="207">
        <f t="shared" si="5"/>
        <v>445780</v>
      </c>
      <c r="I73" s="326">
        <f t="shared" si="6"/>
        <v>8870.690000000002</v>
      </c>
      <c r="J73" s="536">
        <f t="shared" si="7"/>
        <v>1.020303275295278</v>
      </c>
    </row>
    <row r="74" spans="1:10" s="69" customFormat="1" ht="11.25" customHeight="1">
      <c r="A74" s="694" t="s">
        <v>172</v>
      </c>
      <c r="B74" s="695"/>
      <c r="C74" s="354">
        <v>315165.97</v>
      </c>
      <c r="D74" s="351">
        <v>6438.8</v>
      </c>
      <c r="E74" s="199">
        <f t="shared" si="4"/>
        <v>321604.76999999996</v>
      </c>
      <c r="F74" s="73">
        <v>321700</v>
      </c>
      <c r="G74" s="71">
        <v>6440</v>
      </c>
      <c r="H74" s="207">
        <f t="shared" si="5"/>
        <v>328140</v>
      </c>
      <c r="I74" s="326">
        <f t="shared" si="6"/>
        <v>6535.23000000004</v>
      </c>
      <c r="J74" s="536">
        <f t="shared" si="7"/>
        <v>1.0203206874077149</v>
      </c>
    </row>
    <row r="75" spans="1:10" s="173" customFormat="1" ht="11.25">
      <c r="A75" s="696" t="s">
        <v>116</v>
      </c>
      <c r="B75" s="367" t="s">
        <v>173</v>
      </c>
      <c r="C75" s="354">
        <v>300597.77</v>
      </c>
      <c r="D75" s="351">
        <v>6328.84</v>
      </c>
      <c r="E75" s="200">
        <f t="shared" si="4"/>
        <v>306926.61000000004</v>
      </c>
      <c r="F75" s="174">
        <v>307000</v>
      </c>
      <c r="G75" s="172">
        <v>6340</v>
      </c>
      <c r="H75" s="208">
        <f t="shared" si="5"/>
        <v>313340</v>
      </c>
      <c r="I75" s="327">
        <f t="shared" si="6"/>
        <v>6413.389999999956</v>
      </c>
      <c r="J75" s="537">
        <f t="shared" si="7"/>
        <v>1.0208955163581286</v>
      </c>
    </row>
    <row r="76" spans="1:10" s="173" customFormat="1" ht="11.25">
      <c r="A76" s="697"/>
      <c r="B76" s="366" t="s">
        <v>174</v>
      </c>
      <c r="C76" s="354">
        <v>14568.2</v>
      </c>
      <c r="D76" s="351">
        <v>109.96</v>
      </c>
      <c r="E76" s="200">
        <f t="shared" si="4"/>
        <v>14678.16</v>
      </c>
      <c r="F76" s="174">
        <v>14870</v>
      </c>
      <c r="G76" s="172">
        <v>100</v>
      </c>
      <c r="H76" s="208">
        <f t="shared" si="5"/>
        <v>14970</v>
      </c>
      <c r="I76" s="327">
        <f t="shared" si="6"/>
        <v>291.84000000000015</v>
      </c>
      <c r="J76" s="537">
        <f t="shared" si="7"/>
        <v>1.0198826010889648</v>
      </c>
    </row>
    <row r="77" spans="1:10" s="69" customFormat="1" ht="11.25">
      <c r="A77" s="698" t="s">
        <v>175</v>
      </c>
      <c r="B77" s="699"/>
      <c r="C77" s="354"/>
      <c r="D77" s="351"/>
      <c r="E77" s="199">
        <f t="shared" si="4"/>
        <v>0</v>
      </c>
      <c r="F77" s="73"/>
      <c r="G77" s="71"/>
      <c r="H77" s="207">
        <f t="shared" si="5"/>
        <v>0</v>
      </c>
      <c r="I77" s="326">
        <f t="shared" si="6"/>
        <v>0</v>
      </c>
      <c r="J77" s="536"/>
    </row>
    <row r="78" spans="1:10" s="69" customFormat="1" ht="11.25" customHeight="1">
      <c r="A78" s="689" t="s">
        <v>176</v>
      </c>
      <c r="B78" s="690"/>
      <c r="C78" s="354">
        <v>113000.76</v>
      </c>
      <c r="D78" s="351">
        <v>2303.78</v>
      </c>
      <c r="E78" s="199">
        <f t="shared" si="4"/>
        <v>115304.54</v>
      </c>
      <c r="F78" s="73">
        <v>115400</v>
      </c>
      <c r="G78" s="71">
        <v>2240</v>
      </c>
      <c r="H78" s="207">
        <f t="shared" si="5"/>
        <v>117640</v>
      </c>
      <c r="I78" s="326">
        <f t="shared" si="6"/>
        <v>2335.4600000000064</v>
      </c>
      <c r="J78" s="536">
        <f t="shared" si="7"/>
        <v>1.020254709831894</v>
      </c>
    </row>
    <row r="79" spans="1:10" s="69" customFormat="1" ht="11.25" customHeight="1">
      <c r="A79" s="687" t="s">
        <v>177</v>
      </c>
      <c r="B79" s="688"/>
      <c r="C79" s="354">
        <v>58.56</v>
      </c>
      <c r="D79" s="351"/>
      <c r="E79" s="199">
        <f t="shared" si="4"/>
        <v>58.56</v>
      </c>
      <c r="F79" s="73"/>
      <c r="G79" s="71"/>
      <c r="H79" s="207">
        <f t="shared" si="5"/>
        <v>0</v>
      </c>
      <c r="I79" s="326">
        <f t="shared" si="6"/>
        <v>-58.56</v>
      </c>
      <c r="J79" s="536">
        <f t="shared" si="7"/>
        <v>0</v>
      </c>
    </row>
    <row r="80" spans="1:10" s="69" customFormat="1" ht="11.25" customHeight="1">
      <c r="A80" s="692" t="s">
        <v>178</v>
      </c>
      <c r="B80" s="693"/>
      <c r="C80" s="354">
        <v>9786.74</v>
      </c>
      <c r="D80" s="351">
        <v>82.08</v>
      </c>
      <c r="E80" s="199">
        <f t="shared" si="4"/>
        <v>9868.82</v>
      </c>
      <c r="F80" s="73">
        <v>9800</v>
      </c>
      <c r="G80" s="71"/>
      <c r="H80" s="207">
        <f t="shared" si="5"/>
        <v>9800</v>
      </c>
      <c r="I80" s="326">
        <f t="shared" si="6"/>
        <v>-68.81999999999971</v>
      </c>
      <c r="J80" s="536">
        <f t="shared" si="7"/>
        <v>0.993026521914474</v>
      </c>
    </row>
    <row r="81" spans="1:10" s="69" customFormat="1" ht="11.25">
      <c r="A81" s="685" t="s">
        <v>179</v>
      </c>
      <c r="B81" s="686"/>
      <c r="C81" s="354">
        <v>323.2</v>
      </c>
      <c r="D81" s="351">
        <v>22.7</v>
      </c>
      <c r="E81" s="199">
        <f t="shared" si="4"/>
        <v>345.9</v>
      </c>
      <c r="F81" s="73"/>
      <c r="G81" s="71"/>
      <c r="H81" s="207">
        <f t="shared" si="5"/>
        <v>0</v>
      </c>
      <c r="I81" s="326">
        <f t="shared" si="6"/>
        <v>-345.9</v>
      </c>
      <c r="J81" s="536">
        <f t="shared" si="7"/>
        <v>0</v>
      </c>
    </row>
    <row r="82" spans="1:10" s="69" customFormat="1" ht="11.25">
      <c r="A82" s="685" t="s">
        <v>180</v>
      </c>
      <c r="B82" s="686"/>
      <c r="C82" s="354"/>
      <c r="D82" s="351"/>
      <c r="E82" s="199">
        <f t="shared" si="4"/>
        <v>0</v>
      </c>
      <c r="F82" s="73"/>
      <c r="G82" s="71"/>
      <c r="H82" s="207">
        <f t="shared" si="5"/>
        <v>0</v>
      </c>
      <c r="I82" s="326">
        <f t="shared" si="6"/>
        <v>0</v>
      </c>
      <c r="J82" s="536"/>
    </row>
    <row r="83" spans="1:10" s="82" customFormat="1" ht="11.25" customHeight="1">
      <c r="A83" s="687" t="s">
        <v>181</v>
      </c>
      <c r="B83" s="688"/>
      <c r="C83" s="354">
        <v>11363.34</v>
      </c>
      <c r="D83" s="351">
        <v>2946.31</v>
      </c>
      <c r="E83" s="199">
        <f t="shared" si="4"/>
        <v>14309.65</v>
      </c>
      <c r="F83" s="73">
        <v>21100</v>
      </c>
      <c r="G83" s="71">
        <v>1000</v>
      </c>
      <c r="H83" s="207">
        <f t="shared" si="5"/>
        <v>22100</v>
      </c>
      <c r="I83" s="326">
        <f t="shared" si="6"/>
        <v>7790.35</v>
      </c>
      <c r="J83" s="536">
        <f t="shared" si="7"/>
        <v>1.54441233712914</v>
      </c>
    </row>
    <row r="84" spans="1:10" s="69" customFormat="1" ht="11.25" customHeight="1">
      <c r="A84" s="689" t="s">
        <v>182</v>
      </c>
      <c r="B84" s="690"/>
      <c r="C84" s="354">
        <v>11363.34</v>
      </c>
      <c r="D84" s="351">
        <v>448.49</v>
      </c>
      <c r="E84" s="199">
        <f t="shared" si="4"/>
        <v>11811.83</v>
      </c>
      <c r="F84" s="72">
        <v>21100</v>
      </c>
      <c r="G84" s="71">
        <v>0</v>
      </c>
      <c r="H84" s="207">
        <f t="shared" si="5"/>
        <v>21100</v>
      </c>
      <c r="I84" s="326">
        <f t="shared" si="6"/>
        <v>9288.17</v>
      </c>
      <c r="J84" s="536">
        <f t="shared" si="7"/>
        <v>1.7863447069590401</v>
      </c>
    </row>
    <row r="85" spans="1:10" s="173" customFormat="1" ht="11.25">
      <c r="A85" s="691" t="s">
        <v>116</v>
      </c>
      <c r="B85" s="366" t="s">
        <v>183</v>
      </c>
      <c r="C85" s="354">
        <v>1179.35</v>
      </c>
      <c r="D85" s="351"/>
      <c r="E85" s="200">
        <f t="shared" si="4"/>
        <v>1179.35</v>
      </c>
      <c r="F85" s="174">
        <v>2100</v>
      </c>
      <c r="G85" s="172"/>
      <c r="H85" s="208">
        <f t="shared" si="5"/>
        <v>2100</v>
      </c>
      <c r="I85" s="327">
        <f t="shared" si="6"/>
        <v>920.6500000000001</v>
      </c>
      <c r="J85" s="537">
        <f t="shared" si="7"/>
        <v>1.780641879001145</v>
      </c>
    </row>
    <row r="86" spans="1:10" s="173" customFormat="1" ht="11.25">
      <c r="A86" s="691"/>
      <c r="B86" s="366" t="s">
        <v>184</v>
      </c>
      <c r="C86" s="354">
        <v>10183.99</v>
      </c>
      <c r="D86" s="351">
        <v>448.49</v>
      </c>
      <c r="E86" s="200">
        <f t="shared" si="4"/>
        <v>10632.48</v>
      </c>
      <c r="F86" s="174">
        <v>19000</v>
      </c>
      <c r="G86" s="172">
        <v>0</v>
      </c>
      <c r="H86" s="208">
        <f t="shared" si="5"/>
        <v>19000</v>
      </c>
      <c r="I86" s="327">
        <f t="shared" si="6"/>
        <v>8367.52</v>
      </c>
      <c r="J86" s="537">
        <f t="shared" si="7"/>
        <v>1.786977262125111</v>
      </c>
    </row>
    <row r="87" spans="1:10" s="82" customFormat="1" ht="11.25" customHeight="1">
      <c r="A87" s="677" t="s">
        <v>185</v>
      </c>
      <c r="B87" s="678"/>
      <c r="C87" s="354"/>
      <c r="D87" s="351"/>
      <c r="E87" s="199">
        <f t="shared" si="4"/>
        <v>0</v>
      </c>
      <c r="F87" s="80"/>
      <c r="G87" s="81"/>
      <c r="H87" s="207">
        <f t="shared" si="5"/>
        <v>0</v>
      </c>
      <c r="I87" s="326">
        <f t="shared" si="6"/>
        <v>0</v>
      </c>
      <c r="J87" s="536"/>
    </row>
    <row r="88" spans="1:10" s="82" customFormat="1" ht="12" customHeight="1" thickBot="1">
      <c r="A88" s="679" t="s">
        <v>186</v>
      </c>
      <c r="B88" s="680"/>
      <c r="C88" s="357"/>
      <c r="D88" s="358"/>
      <c r="E88" s="201">
        <f t="shared" si="4"/>
        <v>0</v>
      </c>
      <c r="F88" s="83"/>
      <c r="G88" s="84"/>
      <c r="H88" s="209">
        <f t="shared" si="5"/>
        <v>0</v>
      </c>
      <c r="I88" s="328">
        <f t="shared" si="6"/>
        <v>0</v>
      </c>
      <c r="J88" s="538"/>
    </row>
    <row r="89" spans="1:10" s="186" customFormat="1" ht="12" thickBot="1">
      <c r="A89" s="681" t="s">
        <v>26</v>
      </c>
      <c r="B89" s="682"/>
      <c r="C89" s="180">
        <f>SUM(C27,C55,C60,C61,C62,C73,C79,C80,C83,C87,C88)</f>
        <v>691288.53</v>
      </c>
      <c r="D89" s="181">
        <f>SUM(D27,D55,D60,D61,D62,D73,D79,D80,D83,D87,D88)</f>
        <v>76638.01999999999</v>
      </c>
      <c r="E89" s="182">
        <f>SUM(C89:D89)</f>
        <v>767926.55</v>
      </c>
      <c r="F89" s="183">
        <f>SUM(F27,F55,F60,F61,F62,F73,F79,F80,F83,F87,F88)</f>
        <v>708800</v>
      </c>
      <c r="G89" s="184">
        <f>SUM(G27,G55,G60,G61,G62,G73,G79,G80,G83,G87,G88)</f>
        <v>74650</v>
      </c>
      <c r="H89" s="185">
        <f>SUM(F89:G89)</f>
        <v>783450</v>
      </c>
      <c r="I89" s="187">
        <f t="shared" si="6"/>
        <v>15523.449999999953</v>
      </c>
      <c r="J89" s="534">
        <f t="shared" si="7"/>
        <v>1.0202147588203585</v>
      </c>
    </row>
    <row r="90" spans="1:10" s="186" customFormat="1" ht="12" thickBot="1">
      <c r="A90" s="683" t="s">
        <v>187</v>
      </c>
      <c r="B90" s="684"/>
      <c r="C90" s="188">
        <f>+C26-C89</f>
        <v>-6797.392999999924</v>
      </c>
      <c r="D90" s="189">
        <f>+D26-D89</f>
        <v>10922.290000000008</v>
      </c>
      <c r="E90" s="190">
        <f>+E26-E89</f>
        <v>4124.897000000114</v>
      </c>
      <c r="F90" s="191">
        <f>+F26-F89</f>
        <v>-29123.40100000007</v>
      </c>
      <c r="G90" s="192">
        <f>+G26-G89</f>
        <v>12981</v>
      </c>
      <c r="H90" s="193">
        <f>SUM(F90:G90)</f>
        <v>-16142.40100000007</v>
      </c>
      <c r="I90" s="191">
        <f t="shared" si="6"/>
        <v>-20267.298000000184</v>
      </c>
      <c r="J90" s="539">
        <f t="shared" si="7"/>
        <v>-3.9134070499213984</v>
      </c>
    </row>
    <row r="91" spans="1:14" ht="15.75" customHeight="1" thickBot="1">
      <c r="A91"/>
      <c r="B91"/>
      <c r="C91"/>
      <c r="D91"/>
      <c r="E91"/>
      <c r="F91"/>
      <c r="G91"/>
      <c r="H91" s="17"/>
      <c r="I91" s="346"/>
      <c r="J91" s="87"/>
      <c r="K91"/>
      <c r="L91"/>
      <c r="M91"/>
      <c r="N91"/>
    </row>
    <row r="92" spans="1:10" s="107" customFormat="1" ht="12.75" customHeight="1">
      <c r="A92" s="732" t="s">
        <v>377</v>
      </c>
      <c r="B92" s="733"/>
      <c r="C92" s="747" t="s">
        <v>191</v>
      </c>
      <c r="D92" s="160" t="s">
        <v>45</v>
      </c>
      <c r="E92" s="106" t="s">
        <v>46</v>
      </c>
      <c r="G92" s="570" t="s">
        <v>14</v>
      </c>
      <c r="H92" s="570" t="s">
        <v>191</v>
      </c>
      <c r="I92" s="578" t="s">
        <v>0</v>
      </c>
      <c r="J92" s="580" t="s">
        <v>1</v>
      </c>
    </row>
    <row r="93" spans="1:10" s="107" customFormat="1" ht="12" thickBot="1">
      <c r="A93" s="734"/>
      <c r="B93" s="735"/>
      <c r="C93" s="748"/>
      <c r="D93" s="161" t="s">
        <v>192</v>
      </c>
      <c r="E93" s="108" t="s">
        <v>297</v>
      </c>
      <c r="G93" s="571"/>
      <c r="H93" s="571"/>
      <c r="I93" s="579"/>
      <c r="J93" s="581"/>
    </row>
    <row r="94" spans="1:10" s="93" customFormat="1" ht="11.25" customHeight="1">
      <c r="A94" s="673" t="s">
        <v>47</v>
      </c>
      <c r="B94" s="674"/>
      <c r="C94" s="307" t="s">
        <v>48</v>
      </c>
      <c r="D94" s="368">
        <v>1569000</v>
      </c>
      <c r="E94" s="92">
        <v>1491000</v>
      </c>
      <c r="G94" s="331" t="s">
        <v>266</v>
      </c>
      <c r="H94" s="372"/>
      <c r="I94" s="375">
        <v>13846886.190000001</v>
      </c>
      <c r="J94" s="333"/>
    </row>
    <row r="95" spans="1:10" s="93" customFormat="1" ht="11.25" customHeight="1">
      <c r="A95" s="671" t="s">
        <v>49</v>
      </c>
      <c r="B95" s="672"/>
      <c r="C95" s="308">
        <v>51</v>
      </c>
      <c r="D95" s="368"/>
      <c r="E95" s="92">
        <v>5000000</v>
      </c>
      <c r="G95" s="315" t="s">
        <v>260</v>
      </c>
      <c r="H95" s="373" t="s">
        <v>48</v>
      </c>
      <c r="I95" s="376">
        <v>386074</v>
      </c>
      <c r="J95" s="94"/>
    </row>
    <row r="96" spans="1:10" s="93" customFormat="1" ht="11.25" customHeight="1">
      <c r="A96" s="671" t="s">
        <v>50</v>
      </c>
      <c r="B96" s="672"/>
      <c r="C96" s="308">
        <v>52</v>
      </c>
      <c r="D96" s="368">
        <v>60972</v>
      </c>
      <c r="E96" s="229"/>
      <c r="G96" s="315" t="s">
        <v>49</v>
      </c>
      <c r="H96" s="374">
        <v>51</v>
      </c>
      <c r="I96" s="456">
        <v>8475000</v>
      </c>
      <c r="J96" s="94">
        <v>4300000</v>
      </c>
    </row>
    <row r="97" spans="1:10" s="93" customFormat="1" ht="11.25" customHeight="1">
      <c r="A97" s="671" t="s">
        <v>291</v>
      </c>
      <c r="B97" s="672"/>
      <c r="C97" s="308">
        <v>55</v>
      </c>
      <c r="D97" s="368">
        <v>9500</v>
      </c>
      <c r="E97" s="92"/>
      <c r="G97" s="315" t="s">
        <v>267</v>
      </c>
      <c r="H97" s="374">
        <v>52</v>
      </c>
      <c r="I97" s="376"/>
      <c r="J97" s="94"/>
    </row>
    <row r="98" spans="1:10" s="93" customFormat="1" ht="11.25" customHeight="1">
      <c r="A98" s="671" t="s">
        <v>51</v>
      </c>
      <c r="B98" s="672"/>
      <c r="C98" s="308">
        <v>57</v>
      </c>
      <c r="D98" s="368"/>
      <c r="E98" s="92"/>
      <c r="G98" s="315" t="s">
        <v>262</v>
      </c>
      <c r="H98" s="374">
        <v>54</v>
      </c>
      <c r="I98" s="376"/>
      <c r="J98" s="94"/>
    </row>
    <row r="99" spans="1:10" s="93" customFormat="1" ht="11.25" customHeight="1">
      <c r="A99" s="671" t="s">
        <v>39</v>
      </c>
      <c r="B99" s="672"/>
      <c r="C99" s="308">
        <v>58</v>
      </c>
      <c r="D99" s="369">
        <v>4000000</v>
      </c>
      <c r="E99" s="94">
        <v>4000000</v>
      </c>
      <c r="G99" s="315" t="s">
        <v>261</v>
      </c>
      <c r="H99" s="374">
        <v>55</v>
      </c>
      <c r="I99" s="377"/>
      <c r="J99" s="94"/>
    </row>
    <row r="100" spans="1:10" s="93" customFormat="1" ht="11.25" customHeight="1">
      <c r="A100" s="675" t="s">
        <v>193</v>
      </c>
      <c r="B100" s="676"/>
      <c r="C100" s="309">
        <v>501</v>
      </c>
      <c r="D100" s="369">
        <v>16900</v>
      </c>
      <c r="E100" s="94"/>
      <c r="G100" s="315" t="s">
        <v>198</v>
      </c>
      <c r="H100" s="374">
        <v>166</v>
      </c>
      <c r="I100" s="377">
        <v>598482</v>
      </c>
      <c r="J100" s="94"/>
    </row>
    <row r="101" spans="1:10" s="93" customFormat="1" ht="11.25" customHeight="1">
      <c r="A101" s="675" t="s">
        <v>194</v>
      </c>
      <c r="B101" s="676"/>
      <c r="C101" s="309">
        <v>35015</v>
      </c>
      <c r="D101" s="369">
        <v>182665</v>
      </c>
      <c r="E101" s="94">
        <v>113499</v>
      </c>
      <c r="G101" s="316" t="s">
        <v>3</v>
      </c>
      <c r="H101" s="374"/>
      <c r="I101" s="377">
        <v>736060</v>
      </c>
      <c r="J101" s="94"/>
    </row>
    <row r="102" spans="1:10" s="93" customFormat="1" ht="11.25" customHeight="1">
      <c r="A102" s="675" t="s">
        <v>195</v>
      </c>
      <c r="B102" s="676"/>
      <c r="C102" s="309">
        <v>35442</v>
      </c>
      <c r="D102" s="369"/>
      <c r="E102" s="94"/>
      <c r="G102" s="316" t="s">
        <v>4</v>
      </c>
      <c r="H102" s="374"/>
      <c r="I102" s="378">
        <v>84565502</v>
      </c>
      <c r="J102" s="94"/>
    </row>
    <row r="103" spans="1:10" s="93" customFormat="1" ht="11.25" customHeight="1">
      <c r="A103" s="671" t="s">
        <v>69</v>
      </c>
      <c r="B103" s="672"/>
      <c r="C103" s="310" t="s">
        <v>196</v>
      </c>
      <c r="D103" s="369"/>
      <c r="E103" s="94"/>
      <c r="G103" s="316" t="s">
        <v>5</v>
      </c>
      <c r="H103" s="374"/>
      <c r="I103" s="378"/>
      <c r="J103" s="94"/>
    </row>
    <row r="104" spans="1:10" s="93" customFormat="1" ht="11.25" customHeight="1">
      <c r="A104" s="671" t="s">
        <v>197</v>
      </c>
      <c r="B104" s="672"/>
      <c r="C104" s="310" t="s">
        <v>48</v>
      </c>
      <c r="D104" s="369">
        <v>55100</v>
      </c>
      <c r="E104" s="94"/>
      <c r="G104" s="316" t="s">
        <v>5</v>
      </c>
      <c r="H104" s="374"/>
      <c r="I104" s="378"/>
      <c r="J104" s="94"/>
    </row>
    <row r="105" spans="1:10" s="93" customFormat="1" ht="11.25" customHeight="1">
      <c r="A105" s="671" t="s">
        <v>198</v>
      </c>
      <c r="B105" s="672"/>
      <c r="C105" s="310" t="s">
        <v>199</v>
      </c>
      <c r="D105" s="369"/>
      <c r="E105" s="94"/>
      <c r="G105" s="316" t="s">
        <v>298</v>
      </c>
      <c r="H105" s="310"/>
      <c r="I105" s="312"/>
      <c r="J105" s="94">
        <v>700000</v>
      </c>
    </row>
    <row r="106" spans="1:10" s="93" customFormat="1" ht="11.25" customHeight="1">
      <c r="A106" s="671" t="s">
        <v>200</v>
      </c>
      <c r="B106" s="672"/>
      <c r="C106" s="310" t="s">
        <v>48</v>
      </c>
      <c r="D106" s="369">
        <v>60000</v>
      </c>
      <c r="E106" s="94"/>
      <c r="G106" s="316"/>
      <c r="H106" s="310"/>
      <c r="I106" s="312"/>
      <c r="J106" s="94"/>
    </row>
    <row r="107" spans="1:10" s="93" customFormat="1" ht="11.25" customHeight="1">
      <c r="A107" s="671" t="s">
        <v>100</v>
      </c>
      <c r="B107" s="672"/>
      <c r="C107" s="310" t="s">
        <v>48</v>
      </c>
      <c r="D107" s="369"/>
      <c r="E107" s="94"/>
      <c r="F107" s="228"/>
      <c r="G107" s="316"/>
      <c r="H107" s="310"/>
      <c r="I107" s="312"/>
      <c r="J107" s="94"/>
    </row>
    <row r="108" spans="1:10" s="93" customFormat="1" ht="11.25" customHeight="1">
      <c r="A108" s="671" t="s">
        <v>201</v>
      </c>
      <c r="B108" s="672"/>
      <c r="C108" s="310" t="s">
        <v>202</v>
      </c>
      <c r="D108" s="369">
        <v>100000</v>
      </c>
      <c r="E108" s="94"/>
      <c r="F108" s="228"/>
      <c r="G108" s="316"/>
      <c r="H108" s="310"/>
      <c r="I108" s="312"/>
      <c r="J108" s="94"/>
    </row>
    <row r="109" spans="1:10" s="93" customFormat="1" ht="11.25" customHeight="1">
      <c r="A109" s="671" t="s">
        <v>296</v>
      </c>
      <c r="B109" s="672"/>
      <c r="C109" s="310" t="s">
        <v>48</v>
      </c>
      <c r="D109" s="369">
        <v>160000</v>
      </c>
      <c r="E109" s="94">
        <v>100000</v>
      </c>
      <c r="G109" s="316"/>
      <c r="H109" s="310"/>
      <c r="I109" s="312"/>
      <c r="J109" s="94"/>
    </row>
    <row r="110" spans="1:10" s="93" customFormat="1" ht="11.25" customHeight="1">
      <c r="A110" s="671" t="s">
        <v>2</v>
      </c>
      <c r="B110" s="672"/>
      <c r="C110" s="310"/>
      <c r="D110" s="369">
        <v>1280</v>
      </c>
      <c r="E110" s="94"/>
      <c r="G110" s="316"/>
      <c r="H110" s="316"/>
      <c r="I110" s="312"/>
      <c r="J110" s="94"/>
    </row>
    <row r="111" spans="1:10" s="93" customFormat="1" ht="11.25" customHeight="1">
      <c r="A111" s="671" t="s">
        <v>467</v>
      </c>
      <c r="B111" s="672"/>
      <c r="C111" s="310"/>
      <c r="D111" s="370"/>
      <c r="E111" s="95"/>
      <c r="G111" s="316"/>
      <c r="H111" s="316"/>
      <c r="I111" s="312"/>
      <c r="J111" s="94"/>
    </row>
    <row r="112" spans="1:10" s="93" customFormat="1" ht="11.25" customHeight="1">
      <c r="A112" s="671" t="s">
        <v>467</v>
      </c>
      <c r="B112" s="672"/>
      <c r="C112" s="310"/>
      <c r="D112" s="370"/>
      <c r="E112" s="95"/>
      <c r="G112" s="316"/>
      <c r="H112" s="316"/>
      <c r="I112" s="312"/>
      <c r="J112" s="94"/>
    </row>
    <row r="113" spans="1:10" s="93" customFormat="1" ht="11.25" customHeight="1">
      <c r="A113" s="671" t="s">
        <v>324</v>
      </c>
      <c r="B113" s="672"/>
      <c r="C113" s="310"/>
      <c r="D113" s="371">
        <v>20939000</v>
      </c>
      <c r="E113" s="95"/>
      <c r="G113" s="316"/>
      <c r="H113" s="316"/>
      <c r="I113" s="312"/>
      <c r="J113" s="94"/>
    </row>
    <row r="114" spans="1:10" s="93" customFormat="1" ht="11.25" customHeight="1" thickBot="1">
      <c r="A114" s="757"/>
      <c r="B114" s="758"/>
      <c r="C114" s="310"/>
      <c r="D114" s="306"/>
      <c r="E114" s="95"/>
      <c r="G114" s="317"/>
      <c r="H114" s="317"/>
      <c r="I114" s="313"/>
      <c r="J114" s="303"/>
    </row>
    <row r="115" spans="1:10" s="213" customFormat="1" ht="11.25" customHeight="1" thickBot="1">
      <c r="A115" s="572" t="s">
        <v>21</v>
      </c>
      <c r="B115" s="573"/>
      <c r="C115" s="335"/>
      <c r="D115" s="334">
        <f>SUM(D94:D114)</f>
        <v>27154417</v>
      </c>
      <c r="E115" s="212">
        <f>SUM(E94:E114)</f>
        <v>10704499</v>
      </c>
      <c r="G115" s="318" t="s">
        <v>21</v>
      </c>
      <c r="H115" s="318"/>
      <c r="I115" s="314">
        <f>SUM(I94:I114)</f>
        <v>108608004.19</v>
      </c>
      <c r="J115" s="304">
        <f>SUM(J94:J114)</f>
        <v>5000000</v>
      </c>
    </row>
    <row r="116" ht="4.5" customHeight="1"/>
    <row r="117" spans="1:14" ht="13.5" customHeight="1" thickBot="1">
      <c r="A117" s="2" t="s">
        <v>31</v>
      </c>
      <c r="B117" s="1"/>
      <c r="C117" s="1"/>
      <c r="D117"/>
      <c r="E117"/>
      <c r="F117"/>
      <c r="G117"/>
      <c r="H117"/>
      <c r="I117"/>
      <c r="L117"/>
      <c r="M117"/>
      <c r="N117"/>
    </row>
    <row r="118" spans="1:10" s="6" customFormat="1" ht="11.25" customHeight="1" thickBot="1">
      <c r="A118" s="544" t="s">
        <v>13</v>
      </c>
      <c r="B118" s="755"/>
      <c r="C118" s="756"/>
      <c r="J118" s="88"/>
    </row>
    <row r="119" spans="1:10" s="54" customFormat="1" ht="11.25" customHeight="1">
      <c r="A119" s="665" t="s">
        <v>29</v>
      </c>
      <c r="B119" s="666"/>
      <c r="C119" s="109">
        <f>E115/1000-E101/1000+37.9995</f>
        <v>10628.9995</v>
      </c>
      <c r="J119" s="96"/>
    </row>
    <row r="120" spans="1:10" s="54" customFormat="1" ht="11.25" customHeight="1">
      <c r="A120" s="663" t="s">
        <v>473</v>
      </c>
      <c r="B120" s="664"/>
      <c r="C120" s="110">
        <f>I201/1000</f>
        <v>5000</v>
      </c>
      <c r="J120" s="96"/>
    </row>
    <row r="121" spans="1:10" s="54" customFormat="1" ht="11.25" customHeight="1" thickBot="1">
      <c r="A121" s="576" t="s">
        <v>30</v>
      </c>
      <c r="B121" s="577"/>
      <c r="C121" s="111">
        <f>F75</f>
        <v>307000</v>
      </c>
      <c r="J121" s="96"/>
    </row>
    <row r="122" spans="1:14" ht="5.25" customHeight="1">
      <c r="A122" s="14"/>
      <c r="B122" s="21"/>
      <c r="C122" s="10"/>
      <c r="D122"/>
      <c r="E122"/>
      <c r="F122"/>
      <c r="G122"/>
      <c r="H122"/>
      <c r="I122"/>
      <c r="J122" s="87"/>
      <c r="K122"/>
      <c r="L122"/>
      <c r="M122"/>
      <c r="N122"/>
    </row>
    <row r="123" spans="1:14" ht="13.5" customHeight="1" thickBot="1">
      <c r="A123" s="2" t="s">
        <v>378</v>
      </c>
      <c r="B123"/>
      <c r="C123"/>
      <c r="D123"/>
      <c r="E123"/>
      <c r="F123"/>
      <c r="G123"/>
      <c r="H123"/>
      <c r="I123"/>
      <c r="J123" s="87"/>
      <c r="K123"/>
      <c r="L123"/>
      <c r="M123"/>
      <c r="N123"/>
    </row>
    <row r="124" spans="1:11" s="115" customFormat="1" ht="22.5" customHeight="1">
      <c r="A124" s="667" t="s">
        <v>38</v>
      </c>
      <c r="B124" s="668"/>
      <c r="C124" s="656" t="s">
        <v>53</v>
      </c>
      <c r="D124" s="656" t="s">
        <v>204</v>
      </c>
      <c r="E124" s="656" t="s">
        <v>205</v>
      </c>
      <c r="F124" s="112" t="s">
        <v>54</v>
      </c>
      <c r="G124" s="113" t="s">
        <v>55</v>
      </c>
      <c r="H124" s="660" t="s">
        <v>206</v>
      </c>
      <c r="I124" s="662" t="s">
        <v>56</v>
      </c>
      <c r="J124" s="656" t="s">
        <v>28</v>
      </c>
      <c r="K124" s="114"/>
    </row>
    <row r="125" spans="1:11" s="115" customFormat="1" ht="11.25" customHeight="1" thickBot="1">
      <c r="A125" s="669"/>
      <c r="B125" s="670"/>
      <c r="C125" s="657"/>
      <c r="D125" s="658"/>
      <c r="E125" s="659"/>
      <c r="F125" s="116" t="s">
        <v>207</v>
      </c>
      <c r="G125" s="117" t="s">
        <v>208</v>
      </c>
      <c r="H125" s="661"/>
      <c r="I125" s="581"/>
      <c r="J125" s="657"/>
      <c r="K125" s="114"/>
    </row>
    <row r="126" spans="1:11" s="90" customFormat="1" ht="11.25" customHeight="1">
      <c r="A126" s="568" t="s">
        <v>268</v>
      </c>
      <c r="B126" s="569"/>
      <c r="C126" s="28">
        <v>900000</v>
      </c>
      <c r="D126" s="19"/>
      <c r="E126" s="19"/>
      <c r="F126" s="15">
        <v>0</v>
      </c>
      <c r="G126" s="16"/>
      <c r="H126" s="97"/>
      <c r="I126" s="20">
        <f>SUM(F126:H126)</f>
        <v>0</v>
      </c>
      <c r="J126" s="98">
        <f>SUM(C126:E126,I126)</f>
        <v>900000</v>
      </c>
      <c r="K126" s="99"/>
    </row>
    <row r="127" spans="1:11" s="90" customFormat="1" ht="11.25" customHeight="1">
      <c r="A127" s="574" t="s">
        <v>299</v>
      </c>
      <c r="B127" s="575"/>
      <c r="C127" s="18">
        <v>1250000</v>
      </c>
      <c r="D127" s="19"/>
      <c r="E127" s="19"/>
      <c r="F127" s="15">
        <v>0</v>
      </c>
      <c r="G127" s="16"/>
      <c r="H127" s="97"/>
      <c r="I127" s="20">
        <f aca="true" t="shared" si="8" ref="I127:I135">SUM(F127:H127)</f>
        <v>0</v>
      </c>
      <c r="J127" s="98">
        <f aca="true" t="shared" si="9" ref="J127:J135">SUM(C127:E127,I127)</f>
        <v>1250000</v>
      </c>
      <c r="K127" s="99"/>
    </row>
    <row r="128" spans="1:11" s="90" customFormat="1" ht="11.25" customHeight="1">
      <c r="A128" s="574" t="s">
        <v>300</v>
      </c>
      <c r="B128" s="575"/>
      <c r="C128" s="18">
        <v>143640</v>
      </c>
      <c r="D128" s="19"/>
      <c r="E128" s="19"/>
      <c r="F128" s="15"/>
      <c r="G128" s="16"/>
      <c r="H128" s="97"/>
      <c r="I128" s="20">
        <f t="shared" si="8"/>
        <v>0</v>
      </c>
      <c r="J128" s="98">
        <f t="shared" si="9"/>
        <v>143640</v>
      </c>
      <c r="K128" s="99"/>
    </row>
    <row r="129" spans="1:11" s="90" customFormat="1" ht="11.25" customHeight="1">
      <c r="A129" s="574" t="s">
        <v>301</v>
      </c>
      <c r="B129" s="575"/>
      <c r="C129" s="18">
        <v>11400</v>
      </c>
      <c r="D129" s="19"/>
      <c r="E129" s="19"/>
      <c r="F129" s="15"/>
      <c r="G129" s="16"/>
      <c r="H129" s="97"/>
      <c r="I129" s="20">
        <f t="shared" si="8"/>
        <v>0</v>
      </c>
      <c r="J129" s="98">
        <f t="shared" si="9"/>
        <v>11400</v>
      </c>
      <c r="K129" s="99"/>
    </row>
    <row r="130" spans="1:11" s="90" customFormat="1" ht="11.25" customHeight="1">
      <c r="A130" s="574" t="s">
        <v>302</v>
      </c>
      <c r="B130" s="575"/>
      <c r="C130" s="18"/>
      <c r="D130" s="19"/>
      <c r="E130" s="19"/>
      <c r="F130" s="15">
        <v>370000</v>
      </c>
      <c r="G130" s="16"/>
      <c r="H130" s="97"/>
      <c r="I130" s="20">
        <f t="shared" si="8"/>
        <v>370000</v>
      </c>
      <c r="J130" s="98">
        <f t="shared" si="9"/>
        <v>370000</v>
      </c>
      <c r="K130" s="99"/>
    </row>
    <row r="131" spans="1:11" s="90" customFormat="1" ht="11.25" customHeight="1">
      <c r="A131" s="574" t="s">
        <v>303</v>
      </c>
      <c r="B131" s="575"/>
      <c r="C131" s="18"/>
      <c r="D131" s="19"/>
      <c r="E131" s="19"/>
      <c r="F131" s="15">
        <v>170000</v>
      </c>
      <c r="G131" s="16"/>
      <c r="H131" s="97"/>
      <c r="I131" s="20">
        <f t="shared" si="8"/>
        <v>170000</v>
      </c>
      <c r="J131" s="98">
        <f t="shared" si="9"/>
        <v>170000</v>
      </c>
      <c r="K131" s="99"/>
    </row>
    <row r="132" spans="1:11" s="101" customFormat="1" ht="11.25" customHeight="1">
      <c r="A132" s="574" t="s">
        <v>304</v>
      </c>
      <c r="B132" s="575"/>
      <c r="C132" s="18"/>
      <c r="D132" s="19"/>
      <c r="E132" s="19"/>
      <c r="F132" s="15">
        <v>400000</v>
      </c>
      <c r="G132" s="16"/>
      <c r="H132" s="97"/>
      <c r="I132" s="20">
        <f t="shared" si="8"/>
        <v>400000</v>
      </c>
      <c r="J132" s="98">
        <f t="shared" si="9"/>
        <v>400000</v>
      </c>
      <c r="K132" s="100"/>
    </row>
    <row r="133" spans="1:11" s="90" customFormat="1" ht="11.25" customHeight="1">
      <c r="A133" s="574" t="s">
        <v>348</v>
      </c>
      <c r="B133" s="575"/>
      <c r="C133" s="19">
        <v>2100000</v>
      </c>
      <c r="D133" s="19"/>
      <c r="E133" s="19"/>
      <c r="F133" s="15"/>
      <c r="G133" s="16"/>
      <c r="H133" s="97"/>
      <c r="I133" s="20">
        <f t="shared" si="8"/>
        <v>0</v>
      </c>
      <c r="J133" s="98">
        <f t="shared" si="9"/>
        <v>2100000</v>
      </c>
      <c r="K133" s="99"/>
    </row>
    <row r="134" spans="1:11" s="90" customFormat="1" ht="11.25" customHeight="1">
      <c r="A134" s="574" t="s">
        <v>349</v>
      </c>
      <c r="B134" s="575"/>
      <c r="C134" s="19">
        <v>3500000</v>
      </c>
      <c r="D134" s="19"/>
      <c r="E134" s="19"/>
      <c r="F134" s="15"/>
      <c r="G134" s="16"/>
      <c r="H134" s="97"/>
      <c r="I134" s="20">
        <f t="shared" si="8"/>
        <v>0</v>
      </c>
      <c r="J134" s="98">
        <f t="shared" si="9"/>
        <v>3500000</v>
      </c>
      <c r="K134" s="99"/>
    </row>
    <row r="135" spans="1:11" s="90" customFormat="1" ht="11.25" customHeight="1">
      <c r="A135" s="359"/>
      <c r="B135" s="428"/>
      <c r="C135" s="18"/>
      <c r="D135" s="19"/>
      <c r="E135" s="19"/>
      <c r="F135" s="15"/>
      <c r="G135" s="16"/>
      <c r="H135" s="97"/>
      <c r="I135" s="20">
        <f t="shared" si="8"/>
        <v>0</v>
      </c>
      <c r="J135" s="98">
        <f t="shared" si="9"/>
        <v>0</v>
      </c>
      <c r="K135" s="99"/>
    </row>
    <row r="136" spans="1:11" s="103" customFormat="1" ht="11.25" customHeight="1" thickBot="1">
      <c r="A136" s="759" t="s">
        <v>105</v>
      </c>
      <c r="B136" s="760"/>
      <c r="C136" s="56">
        <f aca="true" t="shared" si="10" ref="C136:J136">SUM(C126:C135)</f>
        <v>7905040</v>
      </c>
      <c r="D136" s="56">
        <f t="shared" si="10"/>
        <v>0</v>
      </c>
      <c r="E136" s="56">
        <f t="shared" si="10"/>
        <v>0</v>
      </c>
      <c r="F136" s="57">
        <f t="shared" si="10"/>
        <v>940000</v>
      </c>
      <c r="G136" s="58">
        <f t="shared" si="10"/>
        <v>0</v>
      </c>
      <c r="H136" s="58">
        <f t="shared" si="10"/>
        <v>0</v>
      </c>
      <c r="I136" s="59">
        <f t="shared" si="10"/>
        <v>940000</v>
      </c>
      <c r="J136" s="56">
        <f t="shared" si="10"/>
        <v>8845040</v>
      </c>
      <c r="K136" s="102"/>
    </row>
    <row r="137" spans="1:11" s="90" customFormat="1" ht="6" customHeight="1" thickBo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99"/>
    </row>
    <row r="138" spans="1:11" s="343" customFormat="1" ht="22.5" customHeight="1">
      <c r="A138" s="667" t="s">
        <v>209</v>
      </c>
      <c r="B138" s="668"/>
      <c r="C138" s="656" t="s">
        <v>53</v>
      </c>
      <c r="D138" s="656" t="s">
        <v>204</v>
      </c>
      <c r="E138" s="656" t="s">
        <v>205</v>
      </c>
      <c r="F138" s="112" t="s">
        <v>54</v>
      </c>
      <c r="G138" s="113" t="s">
        <v>55</v>
      </c>
      <c r="H138" s="660" t="s">
        <v>206</v>
      </c>
      <c r="I138" s="662" t="s">
        <v>56</v>
      </c>
      <c r="J138" s="656" t="s">
        <v>28</v>
      </c>
      <c r="K138" s="342"/>
    </row>
    <row r="139" spans="1:11" s="119" customFormat="1" ht="11.25" customHeight="1" thickBot="1">
      <c r="A139" s="669"/>
      <c r="B139" s="670"/>
      <c r="C139" s="657"/>
      <c r="D139" s="658"/>
      <c r="E139" s="659"/>
      <c r="F139" s="116" t="s">
        <v>207</v>
      </c>
      <c r="G139" s="117" t="s">
        <v>208</v>
      </c>
      <c r="H139" s="661"/>
      <c r="I139" s="581"/>
      <c r="J139" s="657"/>
      <c r="K139" s="118"/>
    </row>
    <row r="140" spans="1:11" s="119" customFormat="1" ht="11.25" customHeight="1">
      <c r="A140" s="568" t="s">
        <v>269</v>
      </c>
      <c r="B140" s="569"/>
      <c r="C140" s="28">
        <v>8000000</v>
      </c>
      <c r="D140" s="19"/>
      <c r="E140" s="19"/>
      <c r="F140" s="15"/>
      <c r="G140" s="55"/>
      <c r="H140" s="97"/>
      <c r="I140" s="20">
        <f>SUM(F140:H140)</f>
        <v>0</v>
      </c>
      <c r="J140" s="98">
        <f>SUM(C140:E140,I140)</f>
        <v>8000000</v>
      </c>
      <c r="K140" s="118"/>
    </row>
    <row r="141" spans="1:11" s="119" customFormat="1" ht="11.25" customHeight="1">
      <c r="A141" s="574" t="s">
        <v>270</v>
      </c>
      <c r="B141" s="575"/>
      <c r="C141" s="18">
        <v>750000</v>
      </c>
      <c r="D141" s="19"/>
      <c r="E141" s="19"/>
      <c r="F141" s="15">
        <v>750000</v>
      </c>
      <c r="G141" s="55"/>
      <c r="H141" s="97"/>
      <c r="I141" s="20">
        <f aca="true" t="shared" si="11" ref="I141:I149">SUM(F141:H141)</f>
        <v>750000</v>
      </c>
      <c r="J141" s="98">
        <f aca="true" t="shared" si="12" ref="J141:J181">SUM(C141:E141,I141)</f>
        <v>1500000</v>
      </c>
      <c r="K141" s="118"/>
    </row>
    <row r="142" spans="1:11" s="119" customFormat="1" ht="11.25" customHeight="1">
      <c r="A142" s="574" t="s">
        <v>305</v>
      </c>
      <c r="B142" s="575"/>
      <c r="C142" s="18">
        <v>1204720.19</v>
      </c>
      <c r="D142" s="19"/>
      <c r="E142" s="19"/>
      <c r="F142" s="15"/>
      <c r="G142" s="16"/>
      <c r="H142" s="97"/>
      <c r="I142" s="20">
        <f t="shared" si="11"/>
        <v>0</v>
      </c>
      <c r="J142" s="98">
        <f t="shared" si="12"/>
        <v>1204720.19</v>
      </c>
      <c r="K142" s="118"/>
    </row>
    <row r="143" spans="1:11" s="119" customFormat="1" ht="11.25" customHeight="1">
      <c r="A143" s="574" t="s">
        <v>306</v>
      </c>
      <c r="B143" s="575"/>
      <c r="C143" s="18">
        <v>189750</v>
      </c>
      <c r="D143" s="19"/>
      <c r="E143" s="19"/>
      <c r="F143" s="15"/>
      <c r="G143" s="16"/>
      <c r="H143" s="97"/>
      <c r="I143" s="20">
        <f t="shared" si="11"/>
        <v>0</v>
      </c>
      <c r="J143" s="98">
        <f t="shared" si="12"/>
        <v>189750</v>
      </c>
      <c r="K143" s="118"/>
    </row>
    <row r="144" spans="1:11" s="119" customFormat="1" ht="11.25" customHeight="1">
      <c r="A144" s="574" t="s">
        <v>307</v>
      </c>
      <c r="B144" s="575"/>
      <c r="C144" s="18">
        <v>72576</v>
      </c>
      <c r="D144" s="19"/>
      <c r="E144" s="19"/>
      <c r="F144" s="15"/>
      <c r="G144" s="16"/>
      <c r="H144" s="97"/>
      <c r="I144" s="20">
        <f t="shared" si="11"/>
        <v>0</v>
      </c>
      <c r="J144" s="98">
        <f t="shared" si="12"/>
        <v>72576</v>
      </c>
      <c r="K144" s="118"/>
    </row>
    <row r="145" spans="1:11" s="119" customFormat="1" ht="11.25" customHeight="1">
      <c r="A145" s="574" t="s">
        <v>308</v>
      </c>
      <c r="B145" s="575"/>
      <c r="C145" s="18">
        <v>118800</v>
      </c>
      <c r="D145" s="19"/>
      <c r="E145" s="19"/>
      <c r="F145" s="15"/>
      <c r="G145" s="16"/>
      <c r="H145" s="97"/>
      <c r="I145" s="20">
        <f t="shared" si="11"/>
        <v>0</v>
      </c>
      <c r="J145" s="98">
        <f t="shared" si="12"/>
        <v>118800</v>
      </c>
      <c r="K145" s="118"/>
    </row>
    <row r="146" spans="1:11" s="119" customFormat="1" ht="11.25" customHeight="1">
      <c r="A146" s="574" t="s">
        <v>309</v>
      </c>
      <c r="B146" s="575"/>
      <c r="C146" s="18">
        <v>150800</v>
      </c>
      <c r="D146" s="19"/>
      <c r="E146" s="19"/>
      <c r="F146" s="15"/>
      <c r="G146" s="16"/>
      <c r="H146" s="97"/>
      <c r="I146" s="20">
        <f t="shared" si="11"/>
        <v>0</v>
      </c>
      <c r="J146" s="98">
        <f t="shared" si="12"/>
        <v>150800</v>
      </c>
      <c r="K146" s="118"/>
    </row>
    <row r="147" spans="1:11" s="119" customFormat="1" ht="11.25" customHeight="1">
      <c r="A147" s="574" t="s">
        <v>310</v>
      </c>
      <c r="B147" s="575"/>
      <c r="C147" s="18"/>
      <c r="D147" s="19"/>
      <c r="E147" s="19"/>
      <c r="F147" s="15">
        <v>400000</v>
      </c>
      <c r="G147" s="16"/>
      <c r="H147" s="97"/>
      <c r="I147" s="20">
        <f t="shared" si="11"/>
        <v>400000</v>
      </c>
      <c r="J147" s="98">
        <f t="shared" si="12"/>
        <v>400000</v>
      </c>
      <c r="K147" s="118"/>
    </row>
    <row r="148" spans="1:11" s="119" customFormat="1" ht="11.25" customHeight="1">
      <c r="A148" s="574" t="s">
        <v>311</v>
      </c>
      <c r="B148" s="575"/>
      <c r="C148" s="18"/>
      <c r="D148" s="19"/>
      <c r="E148" s="19"/>
      <c r="F148" s="15">
        <v>200000</v>
      </c>
      <c r="G148" s="16"/>
      <c r="H148" s="97"/>
      <c r="I148" s="20">
        <f t="shared" si="11"/>
        <v>200000</v>
      </c>
      <c r="J148" s="98">
        <f t="shared" si="12"/>
        <v>200000</v>
      </c>
      <c r="K148" s="118"/>
    </row>
    <row r="149" spans="1:11" s="119" customFormat="1" ht="11.25" customHeight="1">
      <c r="A149" s="574" t="s">
        <v>312</v>
      </c>
      <c r="B149" s="575"/>
      <c r="C149" s="18"/>
      <c r="D149" s="19"/>
      <c r="E149" s="19"/>
      <c r="F149" s="15">
        <v>350000</v>
      </c>
      <c r="G149" s="16"/>
      <c r="H149" s="97"/>
      <c r="I149" s="20">
        <f t="shared" si="11"/>
        <v>350000</v>
      </c>
      <c r="J149" s="98">
        <f t="shared" si="12"/>
        <v>350000</v>
      </c>
      <c r="K149" s="118"/>
    </row>
    <row r="150" spans="1:11" s="119" customFormat="1" ht="11.25" customHeight="1">
      <c r="A150" s="574" t="s">
        <v>313</v>
      </c>
      <c r="B150" s="575"/>
      <c r="C150" s="18"/>
      <c r="D150" s="19"/>
      <c r="E150" s="19"/>
      <c r="F150" s="15">
        <v>150000</v>
      </c>
      <c r="G150" s="16"/>
      <c r="H150" s="97"/>
      <c r="I150" s="20">
        <f>SUM(F150:H150)</f>
        <v>150000</v>
      </c>
      <c r="J150" s="98">
        <f>SUM(C150:E150,I150)</f>
        <v>150000</v>
      </c>
      <c r="K150" s="118"/>
    </row>
    <row r="151" spans="1:11" s="119" customFormat="1" ht="11.25" customHeight="1">
      <c r="A151" s="574" t="s">
        <v>314</v>
      </c>
      <c r="B151" s="575"/>
      <c r="C151" s="18"/>
      <c r="D151" s="19"/>
      <c r="E151" s="19"/>
      <c r="F151" s="15">
        <v>300000</v>
      </c>
      <c r="G151" s="16"/>
      <c r="H151" s="97"/>
      <c r="I151" s="20">
        <f aca="true" t="shared" si="13" ref="I151:I181">SUM(F151:H151)</f>
        <v>300000</v>
      </c>
      <c r="J151" s="98">
        <f t="shared" si="12"/>
        <v>300000</v>
      </c>
      <c r="K151" s="118"/>
    </row>
    <row r="152" spans="1:11" s="119" customFormat="1" ht="11.25" customHeight="1">
      <c r="A152" s="574" t="s">
        <v>315</v>
      </c>
      <c r="B152" s="575"/>
      <c r="C152" s="18"/>
      <c r="D152" s="19"/>
      <c r="E152" s="19"/>
      <c r="F152" s="15">
        <v>70000</v>
      </c>
      <c r="G152" s="16"/>
      <c r="H152" s="97"/>
      <c r="I152" s="20">
        <f t="shared" si="13"/>
        <v>70000</v>
      </c>
      <c r="J152" s="98">
        <f t="shared" si="12"/>
        <v>70000</v>
      </c>
      <c r="K152" s="118"/>
    </row>
    <row r="153" spans="1:11" s="119" customFormat="1" ht="11.25" customHeight="1">
      <c r="A153" s="761" t="s">
        <v>316</v>
      </c>
      <c r="B153" s="762"/>
      <c r="C153" s="18"/>
      <c r="D153" s="19"/>
      <c r="E153" s="19"/>
      <c r="F153" s="15">
        <v>120000</v>
      </c>
      <c r="G153" s="16"/>
      <c r="H153" s="97"/>
      <c r="I153" s="20">
        <f t="shared" si="13"/>
        <v>120000</v>
      </c>
      <c r="J153" s="98">
        <f t="shared" si="12"/>
        <v>120000</v>
      </c>
      <c r="K153" s="118"/>
    </row>
    <row r="154" spans="1:11" s="119" customFormat="1" ht="11.25" customHeight="1">
      <c r="A154" s="574" t="s">
        <v>317</v>
      </c>
      <c r="B154" s="575"/>
      <c r="C154" s="18"/>
      <c r="D154" s="19"/>
      <c r="E154" s="19"/>
      <c r="F154" s="15">
        <v>200000</v>
      </c>
      <c r="G154" s="16"/>
      <c r="H154" s="97"/>
      <c r="I154" s="20">
        <f t="shared" si="13"/>
        <v>200000</v>
      </c>
      <c r="J154" s="98">
        <f t="shared" si="12"/>
        <v>200000</v>
      </c>
      <c r="K154" s="118"/>
    </row>
    <row r="155" spans="1:11" s="119" customFormat="1" ht="11.25" customHeight="1">
      <c r="A155" s="574" t="s">
        <v>318</v>
      </c>
      <c r="B155" s="575"/>
      <c r="C155" s="18"/>
      <c r="D155" s="19"/>
      <c r="E155" s="19"/>
      <c r="F155" s="15">
        <v>300000</v>
      </c>
      <c r="G155" s="16"/>
      <c r="H155" s="97"/>
      <c r="I155" s="20">
        <f t="shared" si="13"/>
        <v>300000</v>
      </c>
      <c r="J155" s="98">
        <f t="shared" si="12"/>
        <v>300000</v>
      </c>
      <c r="K155" s="118"/>
    </row>
    <row r="156" spans="1:11" s="119" customFormat="1" ht="11.25" customHeight="1">
      <c r="A156" s="574" t="s">
        <v>319</v>
      </c>
      <c r="B156" s="575"/>
      <c r="C156" s="18"/>
      <c r="D156" s="19"/>
      <c r="E156" s="19"/>
      <c r="F156" s="15">
        <v>300000</v>
      </c>
      <c r="G156" s="16"/>
      <c r="H156" s="97"/>
      <c r="I156" s="20">
        <f t="shared" si="13"/>
        <v>300000</v>
      </c>
      <c r="J156" s="98">
        <f t="shared" si="12"/>
        <v>300000</v>
      </c>
      <c r="K156" s="118"/>
    </row>
    <row r="157" spans="1:11" s="119" customFormat="1" ht="11.25" customHeight="1">
      <c r="A157" s="414" t="s">
        <v>320</v>
      </c>
      <c r="B157" s="415"/>
      <c r="C157" s="18"/>
      <c r="D157" s="19"/>
      <c r="E157" s="19"/>
      <c r="F157" s="15">
        <v>220000</v>
      </c>
      <c r="G157" s="16"/>
      <c r="H157" s="97"/>
      <c r="I157" s="20">
        <f t="shared" si="13"/>
        <v>220000</v>
      </c>
      <c r="J157" s="98">
        <f t="shared" si="12"/>
        <v>220000</v>
      </c>
      <c r="K157" s="118"/>
    </row>
    <row r="158" spans="1:11" s="119" customFormat="1" ht="11.25" customHeight="1">
      <c r="A158" s="574" t="s">
        <v>350</v>
      </c>
      <c r="B158" s="575"/>
      <c r="C158" s="19">
        <v>120000</v>
      </c>
      <c r="D158" s="451"/>
      <c r="E158" s="19"/>
      <c r="F158" s="15"/>
      <c r="G158" s="16"/>
      <c r="H158" s="97"/>
      <c r="I158" s="20">
        <f t="shared" si="13"/>
        <v>0</v>
      </c>
      <c r="J158" s="98">
        <f t="shared" si="12"/>
        <v>120000</v>
      </c>
      <c r="K158" s="118"/>
    </row>
    <row r="159" spans="1:11" s="119" customFormat="1" ht="11.25" customHeight="1">
      <c r="A159" s="574" t="s">
        <v>351</v>
      </c>
      <c r="B159" s="575"/>
      <c r="C159" s="19">
        <v>750000</v>
      </c>
      <c r="D159" s="451"/>
      <c r="E159" s="19"/>
      <c r="F159" s="15"/>
      <c r="G159" s="16"/>
      <c r="H159" s="97"/>
      <c r="I159" s="20">
        <f t="shared" si="13"/>
        <v>0</v>
      </c>
      <c r="J159" s="98">
        <f t="shared" si="12"/>
        <v>750000</v>
      </c>
      <c r="K159" s="118"/>
    </row>
    <row r="160" spans="1:11" s="119" customFormat="1" ht="11.25" customHeight="1">
      <c r="A160" s="574" t="s">
        <v>352</v>
      </c>
      <c r="B160" s="575"/>
      <c r="C160" s="19">
        <v>1650000</v>
      </c>
      <c r="D160" s="451"/>
      <c r="E160" s="19"/>
      <c r="F160" s="15"/>
      <c r="G160" s="16"/>
      <c r="H160" s="97"/>
      <c r="I160" s="20">
        <f t="shared" si="13"/>
        <v>0</v>
      </c>
      <c r="J160" s="98">
        <f t="shared" si="12"/>
        <v>1650000</v>
      </c>
      <c r="K160" s="118"/>
    </row>
    <row r="161" spans="1:11" s="119" customFormat="1" ht="11.25" customHeight="1">
      <c r="A161" s="574" t="s">
        <v>353</v>
      </c>
      <c r="B161" s="575"/>
      <c r="C161" s="19">
        <v>600000</v>
      </c>
      <c r="D161" s="451"/>
      <c r="E161" s="19"/>
      <c r="F161" s="15"/>
      <c r="G161" s="16"/>
      <c r="H161" s="97"/>
      <c r="I161" s="20">
        <f t="shared" si="13"/>
        <v>0</v>
      </c>
      <c r="J161" s="98">
        <f t="shared" si="12"/>
        <v>600000</v>
      </c>
      <c r="K161" s="118"/>
    </row>
    <row r="162" spans="1:11" s="119" customFormat="1" ht="11.25" customHeight="1">
      <c r="A162" s="574" t="s">
        <v>354</v>
      </c>
      <c r="B162" s="575"/>
      <c r="C162" s="19">
        <v>80000</v>
      </c>
      <c r="D162" s="451"/>
      <c r="E162" s="19"/>
      <c r="F162" s="15"/>
      <c r="G162" s="16"/>
      <c r="H162" s="97"/>
      <c r="I162" s="20">
        <f t="shared" si="13"/>
        <v>0</v>
      </c>
      <c r="J162" s="98">
        <f t="shared" si="12"/>
        <v>80000</v>
      </c>
      <c r="K162" s="118"/>
    </row>
    <row r="163" spans="1:11" s="119" customFormat="1" ht="11.25" customHeight="1">
      <c r="A163" s="574" t="s">
        <v>355</v>
      </c>
      <c r="B163" s="575"/>
      <c r="C163" s="19">
        <v>200000</v>
      </c>
      <c r="D163" s="451"/>
      <c r="E163" s="19"/>
      <c r="F163" s="15"/>
      <c r="G163" s="16"/>
      <c r="H163" s="97"/>
      <c r="I163" s="20">
        <f t="shared" si="13"/>
        <v>0</v>
      </c>
      <c r="J163" s="98">
        <f t="shared" si="12"/>
        <v>200000</v>
      </c>
      <c r="K163" s="118"/>
    </row>
    <row r="164" spans="1:11" s="119" customFormat="1" ht="11.25" customHeight="1">
      <c r="A164" s="574" t="s">
        <v>356</v>
      </c>
      <c r="B164" s="575"/>
      <c r="C164" s="19">
        <v>150000</v>
      </c>
      <c r="D164" s="451"/>
      <c r="E164" s="19"/>
      <c r="F164" s="15"/>
      <c r="G164" s="16"/>
      <c r="H164" s="97"/>
      <c r="I164" s="20">
        <f t="shared" si="13"/>
        <v>0</v>
      </c>
      <c r="J164" s="98">
        <f t="shared" si="12"/>
        <v>150000</v>
      </c>
      <c r="K164" s="118"/>
    </row>
    <row r="165" spans="1:11" s="119" customFormat="1" ht="11.25" customHeight="1">
      <c r="A165" s="574" t="s">
        <v>357</v>
      </c>
      <c r="B165" s="575"/>
      <c r="C165" s="19">
        <v>2000000</v>
      </c>
      <c r="D165" s="451"/>
      <c r="E165" s="19"/>
      <c r="F165" s="15"/>
      <c r="G165" s="16"/>
      <c r="H165" s="97"/>
      <c r="I165" s="20">
        <f t="shared" si="13"/>
        <v>0</v>
      </c>
      <c r="J165" s="98">
        <f t="shared" si="12"/>
        <v>2000000</v>
      </c>
      <c r="K165" s="118"/>
    </row>
    <row r="166" spans="1:11" s="119" customFormat="1" ht="11.25" customHeight="1">
      <c r="A166" s="574" t="s">
        <v>358</v>
      </c>
      <c r="B166" s="575"/>
      <c r="C166" s="19">
        <v>750000</v>
      </c>
      <c r="D166" s="451"/>
      <c r="E166" s="19"/>
      <c r="F166" s="15"/>
      <c r="G166" s="16"/>
      <c r="H166" s="97"/>
      <c r="I166" s="20">
        <f t="shared" si="13"/>
        <v>0</v>
      </c>
      <c r="J166" s="98">
        <f t="shared" si="12"/>
        <v>750000</v>
      </c>
      <c r="K166" s="118"/>
    </row>
    <row r="167" spans="1:11" s="119" customFormat="1" ht="11.25" customHeight="1">
      <c r="A167" s="574" t="s">
        <v>359</v>
      </c>
      <c r="B167" s="575"/>
      <c r="C167" s="19">
        <v>3000000</v>
      </c>
      <c r="D167" s="451"/>
      <c r="E167" s="19"/>
      <c r="F167" s="15"/>
      <c r="G167" s="16"/>
      <c r="H167" s="97"/>
      <c r="I167" s="20">
        <f t="shared" si="13"/>
        <v>0</v>
      </c>
      <c r="J167" s="98">
        <f t="shared" si="12"/>
        <v>3000000</v>
      </c>
      <c r="K167" s="118"/>
    </row>
    <row r="168" spans="1:11" s="119" customFormat="1" ht="11.25" customHeight="1">
      <c r="A168" s="455" t="s">
        <v>459</v>
      </c>
      <c r="B168" s="412"/>
      <c r="C168" s="19">
        <v>4000000</v>
      </c>
      <c r="D168" s="451"/>
      <c r="E168" s="19"/>
      <c r="F168" s="15"/>
      <c r="G168" s="16"/>
      <c r="H168" s="97"/>
      <c r="I168" s="20">
        <f t="shared" si="13"/>
        <v>0</v>
      </c>
      <c r="J168" s="98">
        <f t="shared" si="12"/>
        <v>4000000</v>
      </c>
      <c r="K168" s="118"/>
    </row>
    <row r="169" spans="1:11" s="119" customFormat="1" ht="11.25" customHeight="1">
      <c r="A169" s="455" t="s">
        <v>360</v>
      </c>
      <c r="B169" s="412"/>
      <c r="C169" s="19">
        <v>120000</v>
      </c>
      <c r="D169" s="451"/>
      <c r="E169" s="19"/>
      <c r="F169" s="15"/>
      <c r="G169" s="16"/>
      <c r="H169" s="97"/>
      <c r="I169" s="20">
        <f t="shared" si="13"/>
        <v>0</v>
      </c>
      <c r="J169" s="98">
        <f t="shared" si="12"/>
        <v>120000</v>
      </c>
      <c r="K169" s="118"/>
    </row>
    <row r="170" spans="1:11" s="119" customFormat="1" ht="11.25" customHeight="1">
      <c r="A170" s="455" t="s">
        <v>361</v>
      </c>
      <c r="B170" s="412"/>
      <c r="C170" s="19">
        <v>90000</v>
      </c>
      <c r="D170" s="451"/>
      <c r="E170" s="19"/>
      <c r="F170" s="15"/>
      <c r="G170" s="16"/>
      <c r="H170" s="97"/>
      <c r="I170" s="20">
        <f t="shared" si="13"/>
        <v>0</v>
      </c>
      <c r="J170" s="98">
        <f t="shared" si="12"/>
        <v>90000</v>
      </c>
      <c r="K170" s="118"/>
    </row>
    <row r="171" spans="1:11" s="119" customFormat="1" ht="11.25" customHeight="1">
      <c r="A171" s="455" t="s">
        <v>362</v>
      </c>
      <c r="B171" s="412"/>
      <c r="C171" s="19">
        <v>150000</v>
      </c>
      <c r="D171" s="451"/>
      <c r="E171" s="19"/>
      <c r="F171" s="15"/>
      <c r="G171" s="16"/>
      <c r="H171" s="97"/>
      <c r="I171" s="20">
        <f t="shared" si="13"/>
        <v>0</v>
      </c>
      <c r="J171" s="98">
        <f t="shared" si="12"/>
        <v>150000</v>
      </c>
      <c r="K171" s="118"/>
    </row>
    <row r="172" spans="1:11" s="119" customFormat="1" ht="11.25" customHeight="1">
      <c r="A172" s="574" t="s">
        <v>363</v>
      </c>
      <c r="B172" s="575"/>
      <c r="C172" s="19">
        <v>300000</v>
      </c>
      <c r="D172" s="451"/>
      <c r="E172" s="19"/>
      <c r="F172" s="15"/>
      <c r="G172" s="16"/>
      <c r="H172" s="97"/>
      <c r="I172" s="20">
        <f t="shared" si="13"/>
        <v>0</v>
      </c>
      <c r="J172" s="98">
        <f t="shared" si="12"/>
        <v>300000</v>
      </c>
      <c r="K172" s="118"/>
    </row>
    <row r="173" spans="1:11" s="119" customFormat="1" ht="11.25" customHeight="1">
      <c r="A173" s="574" t="s">
        <v>364</v>
      </c>
      <c r="B173" s="575"/>
      <c r="C173" s="19">
        <v>200000</v>
      </c>
      <c r="D173" s="451"/>
      <c r="E173" s="19"/>
      <c r="F173" s="15"/>
      <c r="G173" s="16"/>
      <c r="H173" s="97"/>
      <c r="I173" s="20">
        <f t="shared" si="13"/>
        <v>0</v>
      </c>
      <c r="J173" s="98">
        <f t="shared" si="12"/>
        <v>200000</v>
      </c>
      <c r="K173" s="118"/>
    </row>
    <row r="174" spans="1:11" s="119" customFormat="1" ht="11.25" customHeight="1">
      <c r="A174" s="574" t="s">
        <v>365</v>
      </c>
      <c r="B174" s="575"/>
      <c r="C174" s="19">
        <v>40000</v>
      </c>
      <c r="D174" s="451"/>
      <c r="E174" s="19"/>
      <c r="F174" s="15"/>
      <c r="G174" s="16"/>
      <c r="H174" s="97"/>
      <c r="I174" s="20">
        <f t="shared" si="13"/>
        <v>0</v>
      </c>
      <c r="J174" s="98">
        <f t="shared" si="12"/>
        <v>40000</v>
      </c>
      <c r="K174" s="118"/>
    </row>
    <row r="175" spans="1:11" s="119" customFormat="1" ht="11.25" customHeight="1">
      <c r="A175" s="574" t="s">
        <v>366</v>
      </c>
      <c r="B175" s="575"/>
      <c r="C175" s="19">
        <v>40000</v>
      </c>
      <c r="D175" s="451"/>
      <c r="E175" s="19"/>
      <c r="F175" s="15"/>
      <c r="G175" s="16"/>
      <c r="H175" s="97"/>
      <c r="I175" s="20">
        <f t="shared" si="13"/>
        <v>0</v>
      </c>
      <c r="J175" s="98">
        <f t="shared" si="12"/>
        <v>40000</v>
      </c>
      <c r="K175" s="118"/>
    </row>
    <row r="176" spans="1:11" s="119" customFormat="1" ht="11.25" customHeight="1">
      <c r="A176" s="574" t="s">
        <v>367</v>
      </c>
      <c r="B176" s="575"/>
      <c r="C176" s="19">
        <v>250000</v>
      </c>
      <c r="D176" s="451"/>
      <c r="E176" s="19"/>
      <c r="F176" s="15"/>
      <c r="G176" s="16"/>
      <c r="H176" s="97"/>
      <c r="I176" s="20">
        <f t="shared" si="13"/>
        <v>0</v>
      </c>
      <c r="J176" s="98">
        <f t="shared" si="12"/>
        <v>250000</v>
      </c>
      <c r="K176" s="118"/>
    </row>
    <row r="177" spans="1:11" s="119" customFormat="1" ht="11.25" customHeight="1">
      <c r="A177" s="574" t="s">
        <v>368</v>
      </c>
      <c r="B177" s="575"/>
      <c r="C177" s="19">
        <v>100000</v>
      </c>
      <c r="D177" s="451"/>
      <c r="E177" s="19"/>
      <c r="F177" s="15"/>
      <c r="G177" s="16"/>
      <c r="H177" s="97"/>
      <c r="I177" s="20">
        <f t="shared" si="13"/>
        <v>0</v>
      </c>
      <c r="J177" s="98">
        <f t="shared" si="12"/>
        <v>100000</v>
      </c>
      <c r="K177" s="118"/>
    </row>
    <row r="178" spans="1:11" s="119" customFormat="1" ht="11.25" customHeight="1">
      <c r="A178" s="574" t="s">
        <v>369</v>
      </c>
      <c r="B178" s="575"/>
      <c r="C178" s="19">
        <v>300000</v>
      </c>
      <c r="D178" s="451"/>
      <c r="E178" s="19"/>
      <c r="F178" s="15"/>
      <c r="G178" s="16"/>
      <c r="H178" s="97"/>
      <c r="I178" s="20">
        <f t="shared" si="13"/>
        <v>0</v>
      </c>
      <c r="J178" s="98">
        <f t="shared" si="12"/>
        <v>300000</v>
      </c>
      <c r="K178" s="118"/>
    </row>
    <row r="179" spans="1:11" s="119" customFormat="1" ht="11.25" customHeight="1">
      <c r="A179" s="574" t="s">
        <v>370</v>
      </c>
      <c r="B179" s="575"/>
      <c r="C179" s="19">
        <v>400000</v>
      </c>
      <c r="D179" s="451"/>
      <c r="E179" s="19"/>
      <c r="F179" s="15"/>
      <c r="G179" s="16"/>
      <c r="H179" s="97"/>
      <c r="I179" s="20">
        <f t="shared" si="13"/>
        <v>0</v>
      </c>
      <c r="J179" s="98">
        <f t="shared" si="12"/>
        <v>400000</v>
      </c>
      <c r="K179" s="118"/>
    </row>
    <row r="180" spans="1:11" s="119" customFormat="1" ht="11.25" customHeight="1">
      <c r="A180" s="574" t="s">
        <v>371</v>
      </c>
      <c r="B180" s="575"/>
      <c r="C180" s="19">
        <v>50000</v>
      </c>
      <c r="D180" s="451"/>
      <c r="E180" s="19"/>
      <c r="F180" s="15"/>
      <c r="G180" s="16"/>
      <c r="H180" s="97"/>
      <c r="I180" s="20">
        <f t="shared" si="13"/>
        <v>0</v>
      </c>
      <c r="J180" s="98">
        <f t="shared" si="12"/>
        <v>50000</v>
      </c>
      <c r="K180" s="118"/>
    </row>
    <row r="181" spans="1:11" s="119" customFormat="1" ht="11.25" customHeight="1">
      <c r="A181" s="761" t="s">
        <v>372</v>
      </c>
      <c r="B181" s="762"/>
      <c r="C181" s="19">
        <v>250000</v>
      </c>
      <c r="D181" s="451"/>
      <c r="E181" s="19"/>
      <c r="F181" s="15"/>
      <c r="G181" s="16"/>
      <c r="H181" s="97"/>
      <c r="I181" s="20">
        <f t="shared" si="13"/>
        <v>0</v>
      </c>
      <c r="J181" s="98">
        <f t="shared" si="12"/>
        <v>250000</v>
      </c>
      <c r="K181" s="118"/>
    </row>
    <row r="182" spans="1:11" s="119" customFormat="1" ht="11.25" customHeight="1" thickBot="1">
      <c r="A182" s="759" t="s">
        <v>106</v>
      </c>
      <c r="B182" s="760"/>
      <c r="C182" s="56">
        <f aca="true" t="shared" si="14" ref="C182:J182">SUM(C140:C181)</f>
        <v>26076646.189999998</v>
      </c>
      <c r="D182" s="60">
        <f t="shared" si="14"/>
        <v>0</v>
      </c>
      <c r="E182" s="60">
        <f t="shared" si="14"/>
        <v>0</v>
      </c>
      <c r="F182" s="57">
        <f t="shared" si="14"/>
        <v>3360000</v>
      </c>
      <c r="G182" s="58">
        <f t="shared" si="14"/>
        <v>0</v>
      </c>
      <c r="H182" s="58">
        <f t="shared" si="14"/>
        <v>0</v>
      </c>
      <c r="I182" s="59">
        <f t="shared" si="14"/>
        <v>3360000</v>
      </c>
      <c r="J182" s="56">
        <f t="shared" si="14"/>
        <v>29436646.189999998</v>
      </c>
      <c r="K182" s="118"/>
    </row>
    <row r="183" spans="1:11" s="90" customFormat="1" ht="5.25" customHeight="1" thickBo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99"/>
    </row>
    <row r="184" spans="1:11" s="119" customFormat="1" ht="22.5" customHeight="1">
      <c r="A184" s="667" t="s">
        <v>210</v>
      </c>
      <c r="B184" s="668"/>
      <c r="C184" s="656" t="s">
        <v>53</v>
      </c>
      <c r="D184" s="656" t="s">
        <v>204</v>
      </c>
      <c r="E184" s="656" t="s">
        <v>205</v>
      </c>
      <c r="F184" s="112" t="s">
        <v>54</v>
      </c>
      <c r="G184" s="113" t="s">
        <v>55</v>
      </c>
      <c r="H184" s="660" t="s">
        <v>206</v>
      </c>
      <c r="I184" s="662" t="s">
        <v>56</v>
      </c>
      <c r="J184" s="656" t="s">
        <v>28</v>
      </c>
      <c r="K184" s="118"/>
    </row>
    <row r="185" spans="1:11" s="119" customFormat="1" ht="11.25" customHeight="1" thickBot="1">
      <c r="A185" s="669"/>
      <c r="B185" s="670"/>
      <c r="C185" s="657"/>
      <c r="D185" s="658"/>
      <c r="E185" s="659"/>
      <c r="F185" s="116" t="s">
        <v>207</v>
      </c>
      <c r="G185" s="117" t="s">
        <v>208</v>
      </c>
      <c r="H185" s="661"/>
      <c r="I185" s="581"/>
      <c r="J185" s="657"/>
      <c r="K185" s="118"/>
    </row>
    <row r="186" spans="1:11" s="119" customFormat="1" ht="11.25" customHeight="1">
      <c r="A186" s="568" t="s">
        <v>271</v>
      </c>
      <c r="B186" s="569"/>
      <c r="C186" s="28">
        <v>1000000</v>
      </c>
      <c r="D186" s="19"/>
      <c r="E186" s="19"/>
      <c r="F186" s="15"/>
      <c r="G186" s="55"/>
      <c r="H186" s="97"/>
      <c r="I186" s="20">
        <f>SUM(F186:H186)</f>
        <v>0</v>
      </c>
      <c r="J186" s="98">
        <f>SUM(C186:E186,I186)</f>
        <v>1000000</v>
      </c>
      <c r="K186" s="118"/>
    </row>
    <row r="187" spans="1:11" s="119" customFormat="1" ht="11.25" customHeight="1">
      <c r="A187" s="574" t="s">
        <v>321</v>
      </c>
      <c r="B187" s="575"/>
      <c r="C187" s="18">
        <v>55200</v>
      </c>
      <c r="D187" s="19"/>
      <c r="E187" s="19"/>
      <c r="F187" s="15"/>
      <c r="G187" s="55"/>
      <c r="H187" s="97"/>
      <c r="I187" s="20">
        <f aca="true" t="shared" si="15" ref="I187:I196">SUM(F187:H187)</f>
        <v>0</v>
      </c>
      <c r="J187" s="98">
        <f aca="true" t="shared" si="16" ref="J187:J196">SUM(C187:E187,I187)</f>
        <v>55200</v>
      </c>
      <c r="K187" s="118"/>
    </row>
    <row r="188" spans="1:11" s="119" customFormat="1" ht="11.25" customHeight="1">
      <c r="A188" s="574" t="s">
        <v>322</v>
      </c>
      <c r="B188" s="575"/>
      <c r="C188" s="18">
        <v>736060</v>
      </c>
      <c r="D188" s="19"/>
      <c r="E188" s="19"/>
      <c r="F188" s="15"/>
      <c r="G188" s="16"/>
      <c r="H188" s="97"/>
      <c r="I188" s="20">
        <f t="shared" si="15"/>
        <v>0</v>
      </c>
      <c r="J188" s="98">
        <f t="shared" si="16"/>
        <v>736060</v>
      </c>
      <c r="K188" s="118"/>
    </row>
    <row r="189" spans="1:11" s="119" customFormat="1" ht="11.25" customHeight="1">
      <c r="A189" s="414" t="s">
        <v>323</v>
      </c>
      <c r="B189" s="415"/>
      <c r="C189" s="18"/>
      <c r="D189" s="19"/>
      <c r="E189" s="19"/>
      <c r="F189" s="15"/>
      <c r="G189" s="16"/>
      <c r="H189" s="97">
        <v>700000</v>
      </c>
      <c r="I189" s="20">
        <f t="shared" si="15"/>
        <v>700000</v>
      </c>
      <c r="J189" s="98">
        <f t="shared" si="16"/>
        <v>700000</v>
      </c>
      <c r="K189" s="118"/>
    </row>
    <row r="190" spans="1:11" s="119" customFormat="1" ht="11.25" customHeight="1">
      <c r="A190" s="429"/>
      <c r="B190" s="430"/>
      <c r="C190" s="18"/>
      <c r="D190" s="19"/>
      <c r="E190" s="19"/>
      <c r="F190" s="15"/>
      <c r="G190" s="16"/>
      <c r="H190" s="97"/>
      <c r="I190" s="20">
        <f t="shared" si="15"/>
        <v>0</v>
      </c>
      <c r="J190" s="98">
        <f t="shared" si="16"/>
        <v>0</v>
      </c>
      <c r="K190" s="118"/>
    </row>
    <row r="191" spans="1:11" s="119" customFormat="1" ht="11.25" customHeight="1">
      <c r="A191" s="414"/>
      <c r="B191" s="415"/>
      <c r="C191" s="18"/>
      <c r="D191" s="19"/>
      <c r="E191" s="19"/>
      <c r="F191" s="15"/>
      <c r="G191" s="16"/>
      <c r="H191" s="97"/>
      <c r="I191" s="20">
        <f t="shared" si="15"/>
        <v>0</v>
      </c>
      <c r="J191" s="98">
        <f t="shared" si="16"/>
        <v>0</v>
      </c>
      <c r="K191" s="118"/>
    </row>
    <row r="192" spans="1:11" s="119" customFormat="1" ht="11.25" customHeight="1">
      <c r="A192" s="414"/>
      <c r="B192" s="415"/>
      <c r="C192" s="18"/>
      <c r="D192" s="19"/>
      <c r="E192" s="19"/>
      <c r="F192" s="15"/>
      <c r="G192" s="16"/>
      <c r="H192" s="97"/>
      <c r="I192" s="20">
        <f t="shared" si="15"/>
        <v>0</v>
      </c>
      <c r="J192" s="98">
        <f t="shared" si="16"/>
        <v>0</v>
      </c>
      <c r="K192" s="118"/>
    </row>
    <row r="193" spans="1:11" s="119" customFormat="1" ht="11.25" customHeight="1">
      <c r="A193" s="414"/>
      <c r="B193" s="415"/>
      <c r="C193" s="18"/>
      <c r="D193" s="19"/>
      <c r="E193" s="19"/>
      <c r="F193" s="15"/>
      <c r="G193" s="16"/>
      <c r="H193" s="97"/>
      <c r="I193" s="20">
        <f t="shared" si="15"/>
        <v>0</v>
      </c>
      <c r="J193" s="98">
        <f t="shared" si="16"/>
        <v>0</v>
      </c>
      <c r="K193" s="118"/>
    </row>
    <row r="194" spans="1:11" s="119" customFormat="1" ht="11.25" customHeight="1">
      <c r="A194" s="414"/>
      <c r="B194" s="415"/>
      <c r="C194" s="18"/>
      <c r="D194" s="19"/>
      <c r="E194" s="19"/>
      <c r="F194" s="15"/>
      <c r="G194" s="16"/>
      <c r="H194" s="97"/>
      <c r="I194" s="20">
        <f t="shared" si="15"/>
        <v>0</v>
      </c>
      <c r="J194" s="98">
        <f t="shared" si="16"/>
        <v>0</v>
      </c>
      <c r="K194" s="118"/>
    </row>
    <row r="195" spans="1:11" s="119" customFormat="1" ht="11.25" customHeight="1">
      <c r="A195" s="414"/>
      <c r="B195" s="415"/>
      <c r="C195" s="18"/>
      <c r="D195" s="19"/>
      <c r="E195" s="19"/>
      <c r="F195" s="15"/>
      <c r="G195" s="16"/>
      <c r="H195" s="97"/>
      <c r="I195" s="20">
        <f t="shared" si="15"/>
        <v>0</v>
      </c>
      <c r="J195" s="98">
        <f t="shared" si="16"/>
        <v>0</v>
      </c>
      <c r="K195" s="118"/>
    </row>
    <row r="196" spans="1:11" s="119" customFormat="1" ht="11.25" customHeight="1">
      <c r="A196" s="359"/>
      <c r="B196" s="360"/>
      <c r="C196" s="18"/>
      <c r="D196" s="19"/>
      <c r="E196" s="19"/>
      <c r="F196" s="15"/>
      <c r="G196" s="16"/>
      <c r="H196" s="97"/>
      <c r="I196" s="20">
        <f t="shared" si="15"/>
        <v>0</v>
      </c>
      <c r="J196" s="98">
        <f t="shared" si="16"/>
        <v>0</v>
      </c>
      <c r="K196" s="118"/>
    </row>
    <row r="197" spans="1:11" s="119" customFormat="1" ht="11.25" customHeight="1" thickBot="1">
      <c r="A197" s="759" t="s">
        <v>211</v>
      </c>
      <c r="B197" s="760"/>
      <c r="C197" s="56">
        <f>SUM(C186:C196)</f>
        <v>1791260</v>
      </c>
      <c r="D197" s="56">
        <f aca="true" t="shared" si="17" ref="D197:J197">SUM(D186:D196)</f>
        <v>0</v>
      </c>
      <c r="E197" s="56">
        <f t="shared" si="17"/>
        <v>0</v>
      </c>
      <c r="F197" s="60">
        <f t="shared" si="17"/>
        <v>0</v>
      </c>
      <c r="G197" s="105">
        <f t="shared" si="17"/>
        <v>0</v>
      </c>
      <c r="H197" s="58">
        <f t="shared" si="17"/>
        <v>700000</v>
      </c>
      <c r="I197" s="61">
        <f t="shared" si="17"/>
        <v>700000</v>
      </c>
      <c r="J197" s="56">
        <f t="shared" si="17"/>
        <v>2491260</v>
      </c>
      <c r="K197" s="118"/>
    </row>
    <row r="198" spans="1:11" s="90" customFormat="1" ht="6.75" customHeight="1" thickBo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99"/>
    </row>
    <row r="199" spans="1:11" s="119" customFormat="1" ht="22.5" customHeight="1">
      <c r="A199" s="667" t="s">
        <v>28</v>
      </c>
      <c r="B199" s="668"/>
      <c r="C199" s="656" t="s">
        <v>53</v>
      </c>
      <c r="D199" s="656" t="s">
        <v>204</v>
      </c>
      <c r="E199" s="656" t="s">
        <v>205</v>
      </c>
      <c r="F199" s="112" t="s">
        <v>54</v>
      </c>
      <c r="G199" s="113" t="s">
        <v>55</v>
      </c>
      <c r="H199" s="660" t="s">
        <v>206</v>
      </c>
      <c r="I199" s="662" t="s">
        <v>56</v>
      </c>
      <c r="J199" s="656" t="s">
        <v>28</v>
      </c>
      <c r="K199" s="118"/>
    </row>
    <row r="200" spans="1:11" s="119" customFormat="1" ht="11.25" customHeight="1" thickBot="1">
      <c r="A200" s="763"/>
      <c r="B200" s="764"/>
      <c r="C200" s="657"/>
      <c r="D200" s="658"/>
      <c r="E200" s="659"/>
      <c r="F200" s="116" t="s">
        <v>207</v>
      </c>
      <c r="G200" s="117" t="s">
        <v>208</v>
      </c>
      <c r="H200" s="661"/>
      <c r="I200" s="581"/>
      <c r="J200" s="657"/>
      <c r="K200" s="118"/>
    </row>
    <row r="201" spans="1:11" s="119" customFormat="1" ht="11.25" customHeight="1" thickBot="1">
      <c r="A201" s="669"/>
      <c r="B201" s="670"/>
      <c r="C201" s="56">
        <f aca="true" t="shared" si="18" ref="C201:J201">SUM(C197,C182,C136)</f>
        <v>35772946.19</v>
      </c>
      <c r="D201" s="56">
        <f t="shared" si="18"/>
        <v>0</v>
      </c>
      <c r="E201" s="56">
        <f t="shared" si="18"/>
        <v>0</v>
      </c>
      <c r="F201" s="60">
        <f t="shared" si="18"/>
        <v>4300000</v>
      </c>
      <c r="G201" s="120">
        <f t="shared" si="18"/>
        <v>0</v>
      </c>
      <c r="H201" s="121">
        <f t="shared" si="18"/>
        <v>700000</v>
      </c>
      <c r="I201" s="122">
        <f t="shared" si="18"/>
        <v>5000000</v>
      </c>
      <c r="J201" s="56">
        <f t="shared" si="18"/>
        <v>40772946.19</v>
      </c>
      <c r="K201" s="118"/>
    </row>
    <row r="202" spans="1:11" s="119" customFormat="1" ht="5.25" customHeight="1">
      <c r="A202" s="123"/>
      <c r="B202" s="123"/>
      <c r="C202" s="124"/>
      <c r="D202" s="124"/>
      <c r="E202" s="124"/>
      <c r="F202" s="124"/>
      <c r="G202" s="124"/>
      <c r="H202" s="124"/>
      <c r="I202" s="124"/>
      <c r="J202" s="124"/>
      <c r="K202" s="118"/>
    </row>
    <row r="203" spans="1:14" ht="15" customHeight="1" thickBot="1">
      <c r="A203" s="2" t="s">
        <v>244</v>
      </c>
      <c r="B203"/>
      <c r="C203"/>
      <c r="D203"/>
      <c r="E203"/>
      <c r="F203"/>
      <c r="G203"/>
      <c r="H203"/>
      <c r="I203"/>
      <c r="J203" s="87"/>
      <c r="K203"/>
      <c r="L203"/>
      <c r="M203"/>
      <c r="N203"/>
    </row>
    <row r="204" spans="1:10" s="17" customFormat="1" ht="11.25" customHeight="1">
      <c r="A204" s="29" t="s">
        <v>70</v>
      </c>
      <c r="B204" s="30" t="s">
        <v>71</v>
      </c>
      <c r="C204" s="31" t="s">
        <v>72</v>
      </c>
      <c r="D204" s="32" t="s">
        <v>73</v>
      </c>
      <c r="E204" s="32" t="s">
        <v>74</v>
      </c>
      <c r="F204" s="33" t="s">
        <v>75</v>
      </c>
      <c r="J204" s="89"/>
    </row>
    <row r="205" spans="1:10" s="17" customFormat="1" ht="11.25" customHeight="1">
      <c r="A205" s="34" t="s">
        <v>76</v>
      </c>
      <c r="B205" s="35" t="s">
        <v>77</v>
      </c>
      <c r="C205" s="36" t="s">
        <v>78</v>
      </c>
      <c r="D205" s="37" t="s">
        <v>383</v>
      </c>
      <c r="E205" s="37" t="s">
        <v>79</v>
      </c>
      <c r="F205" s="38" t="s">
        <v>77</v>
      </c>
      <c r="J205" s="89"/>
    </row>
    <row r="206" spans="1:10" s="17" customFormat="1" ht="11.25" customHeight="1" thickBot="1">
      <c r="A206" s="39"/>
      <c r="B206" s="40" t="s">
        <v>80</v>
      </c>
      <c r="C206" s="41" t="s">
        <v>81</v>
      </c>
      <c r="D206" s="42"/>
      <c r="E206" s="42" t="s">
        <v>384</v>
      </c>
      <c r="F206" s="43" t="s">
        <v>20</v>
      </c>
      <c r="J206" s="89"/>
    </row>
    <row r="207" spans="1:10" s="17" customFormat="1" ht="11.25" customHeight="1">
      <c r="A207" s="416">
        <v>1</v>
      </c>
      <c r="B207" s="417">
        <v>46907</v>
      </c>
      <c r="C207" s="418">
        <v>15</v>
      </c>
      <c r="D207" s="419">
        <v>34686</v>
      </c>
      <c r="E207" s="419">
        <v>2637</v>
      </c>
      <c r="F207" s="44">
        <v>9584</v>
      </c>
      <c r="J207" s="89"/>
    </row>
    <row r="208" spans="1:10" s="17" customFormat="1" ht="11.25" customHeight="1">
      <c r="A208" s="421" t="s">
        <v>82</v>
      </c>
      <c r="B208" s="422"/>
      <c r="C208" s="423">
        <v>0</v>
      </c>
      <c r="D208" s="424"/>
      <c r="E208" s="424"/>
      <c r="F208" s="44">
        <v>0</v>
      </c>
      <c r="J208" s="89"/>
    </row>
    <row r="209" spans="1:10" s="17" customFormat="1" ht="11.25" customHeight="1">
      <c r="A209" s="421">
        <v>2</v>
      </c>
      <c r="B209" s="422">
        <v>363204</v>
      </c>
      <c r="C209" s="423">
        <v>8</v>
      </c>
      <c r="D209" s="424">
        <v>165223</v>
      </c>
      <c r="E209" s="424">
        <v>17758</v>
      </c>
      <c r="F209" s="44">
        <v>180223</v>
      </c>
      <c r="J209" s="89"/>
    </row>
    <row r="210" spans="1:10" s="17" customFormat="1" ht="11.25" customHeight="1">
      <c r="A210" s="421">
        <v>3</v>
      </c>
      <c r="B210" s="422">
        <v>7831</v>
      </c>
      <c r="C210" s="423">
        <v>5</v>
      </c>
      <c r="D210" s="424">
        <v>2192</v>
      </c>
      <c r="E210" s="424">
        <v>305</v>
      </c>
      <c r="F210" s="44">
        <v>5334</v>
      </c>
      <c r="J210" s="89"/>
    </row>
    <row r="211" spans="1:10" s="17" customFormat="1" ht="11.25" customHeight="1">
      <c r="A211" s="421">
        <v>4</v>
      </c>
      <c r="B211" s="422">
        <v>2729</v>
      </c>
      <c r="C211" s="423">
        <v>2.5</v>
      </c>
      <c r="D211" s="424">
        <v>401</v>
      </c>
      <c r="E211" s="424">
        <v>68</v>
      </c>
      <c r="F211" s="44">
        <v>2260</v>
      </c>
      <c r="J211" s="89"/>
    </row>
    <row r="212" spans="1:10" s="17" customFormat="1" ht="11.25" customHeight="1" thickBot="1">
      <c r="A212" s="421">
        <v>5</v>
      </c>
      <c r="B212" s="422">
        <v>33189</v>
      </c>
      <c r="C212" s="423">
        <v>1</v>
      </c>
      <c r="D212" s="424">
        <v>1334</v>
      </c>
      <c r="E212" s="424">
        <v>332</v>
      </c>
      <c r="F212" s="44">
        <v>31523</v>
      </c>
      <c r="J212" s="89"/>
    </row>
    <row r="213" spans="1:10" s="17" customFormat="1" ht="11.25" customHeight="1" thickBot="1">
      <c r="A213" s="45" t="s">
        <v>21</v>
      </c>
      <c r="B213" s="125">
        <f>SUM(B207:B212)</f>
        <v>453860</v>
      </c>
      <c r="C213" s="46" t="s">
        <v>265</v>
      </c>
      <c r="D213" s="47">
        <f>SUM(D207:D212)</f>
        <v>203836</v>
      </c>
      <c r="E213" s="47">
        <f>SUM(E207:E212)</f>
        <v>21100</v>
      </c>
      <c r="F213" s="48">
        <f>SUM(F207:F212)</f>
        <v>228924</v>
      </c>
      <c r="J213" s="89"/>
    </row>
    <row r="214" spans="1:20" s="9" customFormat="1" ht="3.75" customHeight="1">
      <c r="A214" s="12"/>
      <c r="B214" s="13"/>
      <c r="C214" s="13"/>
      <c r="D214" s="13"/>
      <c r="E214" s="13"/>
      <c r="F214" s="13"/>
      <c r="G214" s="13"/>
      <c r="H214" s="13"/>
      <c r="I214" s="13"/>
      <c r="J214" s="85"/>
      <c r="K214" s="3"/>
      <c r="L214" s="3"/>
      <c r="M214" s="3"/>
      <c r="N214"/>
      <c r="O214"/>
      <c r="P214"/>
      <c r="Q214"/>
      <c r="R214"/>
      <c r="S214"/>
      <c r="T214"/>
    </row>
    <row r="215" spans="1:20" s="9" customFormat="1" ht="17.25" customHeight="1" thickBot="1">
      <c r="A215" s="2" t="s">
        <v>245</v>
      </c>
      <c r="B215" s="6"/>
      <c r="C215" s="6"/>
      <c r="D215" s="6"/>
      <c r="E215" s="6"/>
      <c r="F215" s="6"/>
      <c r="G215" s="6"/>
      <c r="H215" s="6"/>
      <c r="I215" s="3"/>
      <c r="J215" s="85"/>
      <c r="K215" s="3"/>
      <c r="L215" s="3"/>
      <c r="M215" s="3"/>
      <c r="N215"/>
      <c r="O215"/>
      <c r="P215"/>
      <c r="Q215"/>
      <c r="R215"/>
      <c r="S215"/>
      <c r="T215"/>
    </row>
    <row r="216" spans="1:10" s="128" customFormat="1" ht="11.25" customHeight="1">
      <c r="A216" s="609" t="s">
        <v>221</v>
      </c>
      <c r="B216" s="610"/>
      <c r="C216" s="150" t="s">
        <v>45</v>
      </c>
      <c r="D216" s="127" t="s">
        <v>46</v>
      </c>
      <c r="F216" s="644" t="s">
        <v>238</v>
      </c>
      <c r="G216" s="645"/>
      <c r="H216" s="646"/>
      <c r="I216" s="150" t="s">
        <v>45</v>
      </c>
      <c r="J216" s="127" t="s">
        <v>46</v>
      </c>
    </row>
    <row r="217" spans="1:10" s="128" customFormat="1" ht="11.25" customHeight="1" thickBot="1">
      <c r="A217" s="611"/>
      <c r="B217" s="612"/>
      <c r="C217" s="151" t="s">
        <v>192</v>
      </c>
      <c r="D217" s="130" t="s">
        <v>297</v>
      </c>
      <c r="F217" s="647"/>
      <c r="G217" s="648"/>
      <c r="H217" s="649"/>
      <c r="I217" s="152" t="s">
        <v>192</v>
      </c>
      <c r="J217" s="153" t="s">
        <v>297</v>
      </c>
    </row>
    <row r="218" spans="1:10" s="128" customFormat="1" ht="11.25" customHeight="1" thickBot="1">
      <c r="A218" s="615" t="s">
        <v>57</v>
      </c>
      <c r="B218" s="616"/>
      <c r="C218" s="142">
        <v>33520.1</v>
      </c>
      <c r="D218" s="143">
        <f>C261</f>
        <v>47098.360000000015</v>
      </c>
      <c r="F218" s="623" t="s">
        <v>57</v>
      </c>
      <c r="G218" s="624"/>
      <c r="H218" s="625"/>
      <c r="I218" s="142">
        <v>8157.86</v>
      </c>
      <c r="J218" s="155">
        <f>I228</f>
        <v>8247.050000000003</v>
      </c>
    </row>
    <row r="219" spans="1:10" s="128" customFormat="1" ht="11.25" customHeight="1" thickBot="1">
      <c r="A219" s="613" t="s">
        <v>58</v>
      </c>
      <c r="B219" s="614"/>
      <c r="C219" s="148">
        <f>SUM(C220:C230)</f>
        <v>116749.13</v>
      </c>
      <c r="D219" s="149">
        <f>SUM(D220:D230)</f>
        <v>26100</v>
      </c>
      <c r="F219" s="626" t="s">
        <v>58</v>
      </c>
      <c r="G219" s="627"/>
      <c r="H219" s="628"/>
      <c r="I219" s="148">
        <f>SUM(I220:I222)</f>
        <v>87754.56</v>
      </c>
      <c r="J219" s="149">
        <f>SUM(J220:J222)</f>
        <v>0</v>
      </c>
    </row>
    <row r="220" spans="1:10" s="128" customFormat="1" ht="11.25" customHeight="1">
      <c r="A220" s="620" t="s">
        <v>59</v>
      </c>
      <c r="B220" s="622"/>
      <c r="C220" s="382">
        <v>20194.57</v>
      </c>
      <c r="D220" s="144">
        <f>E213</f>
        <v>21100</v>
      </c>
      <c r="F220" s="620" t="s">
        <v>239</v>
      </c>
      <c r="G220" s="621"/>
      <c r="H220" s="622"/>
      <c r="I220" s="379"/>
      <c r="J220" s="146"/>
    </row>
    <row r="221" spans="1:10" s="128" customFormat="1" ht="11.25" customHeight="1">
      <c r="A221" s="636" t="s">
        <v>6</v>
      </c>
      <c r="B221" s="637"/>
      <c r="C221" s="382">
        <v>8475</v>
      </c>
      <c r="D221" s="132">
        <f>J96/1000</f>
        <v>4300</v>
      </c>
      <c r="E221" s="133"/>
      <c r="F221" s="633" t="s">
        <v>236</v>
      </c>
      <c r="G221" s="634"/>
      <c r="H221" s="635"/>
      <c r="I221" s="379">
        <v>84600</v>
      </c>
      <c r="J221" s="135"/>
    </row>
    <row r="222" spans="1:10" s="128" customFormat="1" ht="11.25" customHeight="1" thickBot="1">
      <c r="A222" s="636" t="s">
        <v>7</v>
      </c>
      <c r="B222" s="637"/>
      <c r="C222" s="382"/>
      <c r="D222" s="132"/>
      <c r="F222" s="630" t="s">
        <v>237</v>
      </c>
      <c r="G222" s="631"/>
      <c r="H222" s="632"/>
      <c r="I222" s="379">
        <v>3154.56</v>
      </c>
      <c r="J222" s="156"/>
    </row>
    <row r="223" spans="1:10" s="128" customFormat="1" ht="11.25" customHeight="1" thickBot="1">
      <c r="A223" s="636" t="s">
        <v>8</v>
      </c>
      <c r="B223" s="637"/>
      <c r="C223" s="382"/>
      <c r="D223" s="132"/>
      <c r="F223" s="613" t="s">
        <v>60</v>
      </c>
      <c r="G223" s="629"/>
      <c r="H223" s="614"/>
      <c r="I223" s="148">
        <f>SUM(I224:I227)</f>
        <v>87665.37</v>
      </c>
      <c r="J223" s="149">
        <f>SUM(J224:J227)</f>
        <v>500</v>
      </c>
    </row>
    <row r="224" spans="1:10" s="128" customFormat="1" ht="11.25" customHeight="1">
      <c r="A224" s="636" t="s">
        <v>9</v>
      </c>
      <c r="B224" s="637"/>
      <c r="C224" s="382"/>
      <c r="D224" s="132"/>
      <c r="F224" s="620" t="s">
        <v>63</v>
      </c>
      <c r="G224" s="621"/>
      <c r="H224" s="622"/>
      <c r="I224" s="379">
        <v>1306.42</v>
      </c>
      <c r="J224" s="146">
        <v>500</v>
      </c>
    </row>
    <row r="225" spans="1:10" s="128" customFormat="1" ht="11.25" customHeight="1">
      <c r="A225" s="636" t="s">
        <v>10</v>
      </c>
      <c r="B225" s="637"/>
      <c r="C225" s="382">
        <v>598.48</v>
      </c>
      <c r="D225" s="132"/>
      <c r="F225" s="633" t="s">
        <v>64</v>
      </c>
      <c r="G225" s="634"/>
      <c r="H225" s="635"/>
      <c r="I225" s="379"/>
      <c r="J225" s="135"/>
    </row>
    <row r="226" spans="1:10" s="128" customFormat="1" ht="11.25" customHeight="1">
      <c r="A226" s="636" t="s">
        <v>11</v>
      </c>
      <c r="B226" s="637"/>
      <c r="C226" s="382">
        <v>1122.13</v>
      </c>
      <c r="D226" s="132">
        <f>J105/1000</f>
        <v>700</v>
      </c>
      <c r="F226" s="633" t="s">
        <v>65</v>
      </c>
      <c r="G226" s="634"/>
      <c r="H226" s="635"/>
      <c r="I226" s="379">
        <v>86358.95</v>
      </c>
      <c r="J226" s="135"/>
    </row>
    <row r="227" spans="1:10" s="128" customFormat="1" ht="11.25" customHeight="1" thickBot="1">
      <c r="A227" s="636" t="s">
        <v>465</v>
      </c>
      <c r="B227" s="637"/>
      <c r="C227" s="382"/>
      <c r="D227" s="132"/>
      <c r="F227" s="630" t="s">
        <v>66</v>
      </c>
      <c r="G227" s="631"/>
      <c r="H227" s="632"/>
      <c r="I227" s="379"/>
      <c r="J227" s="156"/>
    </row>
    <row r="228" spans="1:10" s="128" customFormat="1" ht="11.25" customHeight="1" thickBot="1">
      <c r="A228" s="636" t="s">
        <v>292</v>
      </c>
      <c r="B228" s="637"/>
      <c r="C228" s="382"/>
      <c r="D228" s="132"/>
      <c r="F228" s="613" t="s">
        <v>62</v>
      </c>
      <c r="G228" s="629"/>
      <c r="H228" s="614"/>
      <c r="I228" s="148">
        <f>SUM(I218+I219-I223)</f>
        <v>8247.050000000003</v>
      </c>
      <c r="J228" s="149">
        <f>SUM(J218+J219-J223)</f>
        <v>7747.050000000003</v>
      </c>
    </row>
    <row r="229" spans="1:6" s="128" customFormat="1" ht="11.25" customHeight="1" thickBot="1">
      <c r="A229" s="636" t="s">
        <v>37</v>
      </c>
      <c r="B229" s="637"/>
      <c r="C229" s="382"/>
      <c r="D229" s="132"/>
      <c r="F229" s="133"/>
    </row>
    <row r="230" spans="1:10" s="128" customFormat="1" ht="11.25" customHeight="1" thickBot="1">
      <c r="A230" s="654" t="s">
        <v>212</v>
      </c>
      <c r="B230" s="655"/>
      <c r="C230" s="382">
        <v>86358.95</v>
      </c>
      <c r="D230" s="145"/>
      <c r="E230" s="134"/>
      <c r="F230" s="597" t="s">
        <v>240</v>
      </c>
      <c r="G230" s="598"/>
      <c r="H230" s="599"/>
      <c r="I230" s="160" t="s">
        <v>45</v>
      </c>
      <c r="J230" s="106" t="s">
        <v>46</v>
      </c>
    </row>
    <row r="231" spans="1:10" s="128" customFormat="1" ht="11.25" customHeight="1" thickBot="1">
      <c r="A231" s="613" t="s">
        <v>60</v>
      </c>
      <c r="B231" s="614"/>
      <c r="C231" s="148">
        <f>SUM(C232:C260)</f>
        <v>103170.87</v>
      </c>
      <c r="D231" s="149">
        <f>SUM(D232:D260)</f>
        <v>56915.347190000066</v>
      </c>
      <c r="E231" s="136"/>
      <c r="F231" s="600"/>
      <c r="G231" s="601"/>
      <c r="H231" s="602"/>
      <c r="I231" s="161" t="s">
        <v>192</v>
      </c>
      <c r="J231" s="108" t="s">
        <v>297</v>
      </c>
    </row>
    <row r="232" spans="1:10" s="128" customFormat="1" ht="11.25" customHeight="1">
      <c r="A232" s="620" t="s">
        <v>213</v>
      </c>
      <c r="B232" s="622"/>
      <c r="C232" s="379"/>
      <c r="D232" s="146">
        <f>E182/1000</f>
        <v>0</v>
      </c>
      <c r="E232" s="131"/>
      <c r="F232" s="617" t="s">
        <v>57</v>
      </c>
      <c r="G232" s="618"/>
      <c r="H232" s="619"/>
      <c r="I232" s="162"/>
      <c r="J232" s="157">
        <f>+I235</f>
        <v>0</v>
      </c>
    </row>
    <row r="233" spans="1:10" s="128" customFormat="1" ht="11.25" customHeight="1">
      <c r="A233" s="633" t="s">
        <v>222</v>
      </c>
      <c r="B233" s="635"/>
      <c r="C233" s="379"/>
      <c r="D233" s="135">
        <f>F182/1000</f>
        <v>3360</v>
      </c>
      <c r="E233" s="131"/>
      <c r="F233" s="606" t="s">
        <v>58</v>
      </c>
      <c r="G233" s="607"/>
      <c r="H233" s="608"/>
      <c r="I233" s="163"/>
      <c r="J233" s="158"/>
    </row>
    <row r="234" spans="1:10" s="128" customFormat="1" ht="11.25" customHeight="1">
      <c r="A234" s="633" t="s">
        <v>223</v>
      </c>
      <c r="B234" s="635"/>
      <c r="C234" s="379"/>
      <c r="D234" s="135"/>
      <c r="E234" s="131"/>
      <c r="F234" s="606" t="s">
        <v>60</v>
      </c>
      <c r="G234" s="607"/>
      <c r="H234" s="608"/>
      <c r="I234" s="163"/>
      <c r="J234" s="158"/>
    </row>
    <row r="235" spans="1:10" s="128" customFormat="1" ht="11.25" customHeight="1" thickBot="1">
      <c r="A235" s="633" t="s">
        <v>224</v>
      </c>
      <c r="B235" s="635"/>
      <c r="C235" s="380"/>
      <c r="D235" s="137"/>
      <c r="E235" s="131"/>
      <c r="F235" s="603" t="s">
        <v>62</v>
      </c>
      <c r="G235" s="604"/>
      <c r="H235" s="605"/>
      <c r="I235" s="164">
        <f>+I232+I233-I234</f>
        <v>0</v>
      </c>
      <c r="J235" s="159">
        <f>SUM(J232+J233-J234)</f>
        <v>0</v>
      </c>
    </row>
    <row r="236" spans="1:6" s="128" customFormat="1" ht="11.25" customHeight="1" thickBot="1">
      <c r="A236" s="633" t="s">
        <v>225</v>
      </c>
      <c r="B236" s="635"/>
      <c r="C236" s="380"/>
      <c r="D236" s="137"/>
      <c r="E236" s="131"/>
      <c r="F236" s="131"/>
    </row>
    <row r="237" spans="1:10" s="128" customFormat="1" ht="11.25" customHeight="1">
      <c r="A237" s="633" t="s">
        <v>226</v>
      </c>
      <c r="B237" s="635"/>
      <c r="C237" s="380"/>
      <c r="D237" s="137"/>
      <c r="E237" s="131"/>
      <c r="F237" s="582" t="s">
        <v>241</v>
      </c>
      <c r="G237" s="583"/>
      <c r="H237" s="584"/>
      <c r="I237" s="126" t="s">
        <v>45</v>
      </c>
      <c r="J237" s="127" t="s">
        <v>46</v>
      </c>
    </row>
    <row r="238" spans="1:10" s="128" customFormat="1" ht="11.25" customHeight="1" thickBot="1">
      <c r="A238" s="633" t="s">
        <v>293</v>
      </c>
      <c r="B238" s="635"/>
      <c r="C238" s="380">
        <v>86358.95</v>
      </c>
      <c r="D238" s="137"/>
      <c r="E238" s="131"/>
      <c r="F238" s="585"/>
      <c r="G238" s="586"/>
      <c r="H238" s="587"/>
      <c r="I238" s="129" t="s">
        <v>192</v>
      </c>
      <c r="J238" s="130" t="s">
        <v>297</v>
      </c>
    </row>
    <row r="239" spans="1:10" s="128" customFormat="1" ht="11.25" customHeight="1">
      <c r="A239" s="633" t="s">
        <v>214</v>
      </c>
      <c r="B239" s="635"/>
      <c r="C239" s="380">
        <v>3653.58</v>
      </c>
      <c r="D239" s="137">
        <f>C182/1000</f>
        <v>26076.646189999996</v>
      </c>
      <c r="E239" s="136"/>
      <c r="F239" s="594" t="s">
        <v>57</v>
      </c>
      <c r="G239" s="595"/>
      <c r="H239" s="596"/>
      <c r="I239" s="165">
        <v>4398.23</v>
      </c>
      <c r="J239" s="166">
        <f>+I242</f>
        <v>4522.209999999998</v>
      </c>
    </row>
    <row r="240" spans="1:10" s="128" customFormat="1" ht="11.25" customHeight="1">
      <c r="A240" s="633" t="s">
        <v>215</v>
      </c>
      <c r="B240" s="635"/>
      <c r="C240" s="379"/>
      <c r="D240" s="135">
        <f>E197/1000</f>
        <v>0</v>
      </c>
      <c r="E240" s="131"/>
      <c r="F240" s="591" t="s">
        <v>58</v>
      </c>
      <c r="G240" s="592"/>
      <c r="H240" s="593"/>
      <c r="I240" s="167">
        <v>6138.53</v>
      </c>
      <c r="J240" s="168">
        <v>3000</v>
      </c>
    </row>
    <row r="241" spans="1:10" s="128" customFormat="1" ht="11.25" customHeight="1">
      <c r="A241" s="633" t="s">
        <v>227</v>
      </c>
      <c r="B241" s="635"/>
      <c r="C241" s="379"/>
      <c r="D241" s="135">
        <f>F197/1000</f>
        <v>0</v>
      </c>
      <c r="E241" s="131"/>
      <c r="F241" s="591" t="s">
        <v>60</v>
      </c>
      <c r="G241" s="592"/>
      <c r="H241" s="593"/>
      <c r="I241" s="138">
        <v>6014.55</v>
      </c>
      <c r="J241" s="139">
        <v>6650</v>
      </c>
    </row>
    <row r="242" spans="1:10" s="128" customFormat="1" ht="11.25" customHeight="1" thickBot="1">
      <c r="A242" s="633" t="s">
        <v>228</v>
      </c>
      <c r="B242" s="635"/>
      <c r="C242" s="379"/>
      <c r="D242" s="135"/>
      <c r="E242" s="131"/>
      <c r="F242" s="588" t="s">
        <v>62</v>
      </c>
      <c r="G242" s="589"/>
      <c r="H242" s="590"/>
      <c r="I242" s="140">
        <f>+I239+I240-I241</f>
        <v>4522.209999999998</v>
      </c>
      <c r="J242" s="141">
        <f>SUM(J239+J240-J241)</f>
        <v>872.2099999999982</v>
      </c>
    </row>
    <row r="243" spans="1:6" s="128" customFormat="1" ht="11.25" customHeight="1">
      <c r="A243" s="633" t="s">
        <v>229</v>
      </c>
      <c r="B243" s="635"/>
      <c r="C243" s="380"/>
      <c r="D243" s="137"/>
      <c r="E243" s="131"/>
      <c r="F243" s="131"/>
    </row>
    <row r="244" spans="1:6" s="128" customFormat="1" ht="11.25" customHeight="1">
      <c r="A244" s="633" t="s">
        <v>230</v>
      </c>
      <c r="B244" s="635"/>
      <c r="C244" s="380"/>
      <c r="D244" s="137"/>
      <c r="E244" s="131"/>
      <c r="F244" s="131"/>
    </row>
    <row r="245" spans="1:6" s="128" customFormat="1" ht="11.25" customHeight="1">
      <c r="A245" s="633" t="s">
        <v>231</v>
      </c>
      <c r="B245" s="635"/>
      <c r="C245" s="380">
        <v>386.07</v>
      </c>
      <c r="D245" s="137">
        <f>H197/1000</f>
        <v>700</v>
      </c>
      <c r="E245" s="131"/>
      <c r="F245" s="131"/>
    </row>
    <row r="246" spans="1:6" s="128" customFormat="1" ht="11.25" customHeight="1">
      <c r="A246" s="633" t="s">
        <v>232</v>
      </c>
      <c r="B246" s="635"/>
      <c r="C246" s="380">
        <v>598.48</v>
      </c>
      <c r="D246" s="137"/>
      <c r="E246" s="131"/>
      <c r="F246" s="131"/>
    </row>
    <row r="247" spans="1:6" s="128" customFormat="1" ht="11.25" customHeight="1">
      <c r="A247" s="633" t="s">
        <v>466</v>
      </c>
      <c r="B247" s="635"/>
      <c r="C247" s="380"/>
      <c r="D247" s="137"/>
      <c r="E247" s="131"/>
      <c r="F247" s="131"/>
    </row>
    <row r="248" spans="1:6" s="128" customFormat="1" ht="11.25" customHeight="1">
      <c r="A248" s="633" t="s">
        <v>294</v>
      </c>
      <c r="B248" s="635"/>
      <c r="C248" s="380"/>
      <c r="D248" s="137"/>
      <c r="E248" s="131"/>
      <c r="F248" s="131"/>
    </row>
    <row r="249" spans="1:6" s="128" customFormat="1" ht="11.25" customHeight="1">
      <c r="A249" s="633" t="s">
        <v>216</v>
      </c>
      <c r="B249" s="635"/>
      <c r="C249" s="380">
        <v>1560.28</v>
      </c>
      <c r="D249" s="137">
        <f>C197/1000</f>
        <v>1791.26</v>
      </c>
      <c r="E249" s="131"/>
      <c r="F249" s="131"/>
    </row>
    <row r="250" spans="1:6" s="128" customFormat="1" ht="11.25" customHeight="1">
      <c r="A250" s="633" t="s">
        <v>217</v>
      </c>
      <c r="B250" s="635"/>
      <c r="C250" s="380"/>
      <c r="D250" s="137">
        <f>E136/1000</f>
        <v>0</v>
      </c>
      <c r="E250" s="131"/>
      <c r="F250" s="131"/>
    </row>
    <row r="251" spans="1:6" s="128" customFormat="1" ht="11.25" customHeight="1">
      <c r="A251" s="633" t="s">
        <v>233</v>
      </c>
      <c r="B251" s="635"/>
      <c r="C251" s="380"/>
      <c r="D251" s="137">
        <f>F136/1000</f>
        <v>940</v>
      </c>
      <c r="E251" s="131"/>
      <c r="F251" s="131"/>
    </row>
    <row r="252" spans="1:6" s="128" customFormat="1" ht="11.25" customHeight="1">
      <c r="A252" s="633" t="s">
        <v>234</v>
      </c>
      <c r="B252" s="635"/>
      <c r="C252" s="381"/>
      <c r="D252" s="139"/>
      <c r="E252" s="131"/>
      <c r="F252" s="131"/>
    </row>
    <row r="253" spans="1:6" s="128" customFormat="1" ht="11.25" customHeight="1">
      <c r="A253" s="633" t="s">
        <v>17</v>
      </c>
      <c r="B253" s="635"/>
      <c r="C253" s="379"/>
      <c r="D253" s="135"/>
      <c r="E253" s="131"/>
      <c r="F253" s="131"/>
    </row>
    <row r="254" spans="1:6" s="128" customFormat="1" ht="11.25" customHeight="1">
      <c r="A254" s="633" t="s">
        <v>18</v>
      </c>
      <c r="B254" s="635"/>
      <c r="C254" s="379"/>
      <c r="D254" s="135"/>
      <c r="E254" s="131"/>
      <c r="F254" s="131"/>
    </row>
    <row r="255" spans="1:6" s="128" customFormat="1" ht="11.25" customHeight="1">
      <c r="A255" s="633" t="s">
        <v>19</v>
      </c>
      <c r="B255" s="635"/>
      <c r="C255" s="379"/>
      <c r="D255" s="135"/>
      <c r="E255" s="131"/>
      <c r="F255" s="131"/>
    </row>
    <row r="256" spans="1:6" s="128" customFormat="1" ht="11.25" customHeight="1">
      <c r="A256" s="633" t="s">
        <v>295</v>
      </c>
      <c r="B256" s="635"/>
      <c r="C256" s="379"/>
      <c r="D256" s="135"/>
      <c r="E256" s="131"/>
      <c r="F256" s="131"/>
    </row>
    <row r="257" spans="1:6" s="128" customFormat="1" ht="11.25" customHeight="1">
      <c r="A257" s="633" t="s">
        <v>218</v>
      </c>
      <c r="B257" s="635"/>
      <c r="C257" s="379">
        <v>2230.76</v>
      </c>
      <c r="D257" s="135">
        <f>C136/1000</f>
        <v>7905.04</v>
      </c>
      <c r="E257" s="131"/>
      <c r="F257" s="131"/>
    </row>
    <row r="258" spans="1:6" s="128" customFormat="1" ht="11.25" customHeight="1">
      <c r="A258" s="652" t="s">
        <v>61</v>
      </c>
      <c r="B258" s="653"/>
      <c r="C258" s="379"/>
      <c r="D258" s="135"/>
      <c r="F258" s="131"/>
    </row>
    <row r="259" spans="1:6" s="128" customFormat="1" ht="11.25" customHeight="1">
      <c r="A259" s="652" t="s">
        <v>219</v>
      </c>
      <c r="B259" s="653"/>
      <c r="C259" s="379">
        <v>8382.75</v>
      </c>
      <c r="D259" s="135">
        <f>-H90</f>
        <v>16142.40100000007</v>
      </c>
      <c r="E259" s="133"/>
      <c r="F259" s="131"/>
    </row>
    <row r="260" spans="1:20" s="9" customFormat="1" ht="11.25" customHeight="1" thickBot="1">
      <c r="A260" s="650" t="s">
        <v>220</v>
      </c>
      <c r="B260" s="651"/>
      <c r="C260" s="380"/>
      <c r="D260" s="147"/>
      <c r="E260" s="6"/>
      <c r="F260" s="6"/>
      <c r="G260" s="6"/>
      <c r="H260" s="6"/>
      <c r="I260" s="3"/>
      <c r="J260" s="85"/>
      <c r="K260" s="3"/>
      <c r="L260" s="3"/>
      <c r="M260" s="3"/>
      <c r="N260"/>
      <c r="O260"/>
      <c r="P260"/>
      <c r="Q260"/>
      <c r="R260"/>
      <c r="S260"/>
      <c r="T260"/>
    </row>
    <row r="261" spans="1:14" ht="11.25" customHeight="1" thickBot="1">
      <c r="A261" s="613" t="s">
        <v>62</v>
      </c>
      <c r="B261" s="614"/>
      <c r="C261" s="148">
        <f>SUM(C218+C219-C231)</f>
        <v>47098.360000000015</v>
      </c>
      <c r="D261" s="149">
        <f>SUM(D218+D219-D231)</f>
        <v>16283.01280999995</v>
      </c>
      <c r="M261"/>
      <c r="N261"/>
    </row>
    <row r="262" spans="1:14" ht="5.25" customHeight="1">
      <c r="A262" s="2"/>
      <c r="J262" s="3"/>
      <c r="K262" s="85"/>
      <c r="N262"/>
    </row>
    <row r="263" spans="1:14" ht="12.75" customHeight="1" thickBot="1">
      <c r="A263" s="26" t="s">
        <v>83</v>
      </c>
      <c r="B263" s="27"/>
      <c r="C263" s="27"/>
      <c r="D263" s="3"/>
      <c r="J263" s="3"/>
      <c r="K263" s="85"/>
      <c r="N263"/>
    </row>
    <row r="264" spans="1:14" ht="11.25" customHeight="1">
      <c r="A264" s="638" t="s">
        <v>40</v>
      </c>
      <c r="B264" s="639"/>
      <c r="C264" s="22" t="s">
        <v>45</v>
      </c>
      <c r="D264" s="23" t="s">
        <v>46</v>
      </c>
      <c r="J264" s="3"/>
      <c r="K264" s="85"/>
      <c r="N264"/>
    </row>
    <row r="265" spans="1:10" s="301" customFormat="1" ht="12" thickBot="1">
      <c r="A265" s="640"/>
      <c r="B265" s="641"/>
      <c r="C265" s="24">
        <v>2010</v>
      </c>
      <c r="D265" s="25">
        <v>2011</v>
      </c>
      <c r="J265" s="302"/>
    </row>
    <row r="266" spans="1:10" s="459" customFormat="1" ht="11.25" customHeight="1" thickBot="1">
      <c r="A266" s="642" t="s">
        <v>235</v>
      </c>
      <c r="B266" s="643"/>
      <c r="C266" s="337">
        <v>1037</v>
      </c>
      <c r="D266" s="330">
        <v>1030</v>
      </c>
      <c r="J266" s="460"/>
    </row>
    <row r="267" spans="1:14" s="470" customFormat="1" ht="12.75">
      <c r="A267" s="301"/>
      <c r="B267" s="301"/>
      <c r="C267" s="301"/>
      <c r="D267" s="301"/>
      <c r="E267" s="468"/>
      <c r="F267" s="468"/>
      <c r="G267" s="468"/>
      <c r="H267" s="468"/>
      <c r="I267" s="468"/>
      <c r="J267" s="469"/>
      <c r="K267" s="468"/>
      <c r="L267" s="468"/>
      <c r="M267" s="468"/>
      <c r="N267" s="468"/>
    </row>
    <row r="268" spans="1:14" s="494" customFormat="1" ht="16.5" thickBot="1">
      <c r="A268" s="459" t="s">
        <v>428</v>
      </c>
      <c r="B268" s="459"/>
      <c r="C268" s="459"/>
      <c r="D268" s="459"/>
      <c r="E268" s="492"/>
      <c r="F268" s="492"/>
      <c r="G268" s="492"/>
      <c r="H268" s="492"/>
      <c r="I268" s="492"/>
      <c r="J268" s="493"/>
      <c r="K268" s="492"/>
      <c r="L268" s="492"/>
      <c r="M268" s="492"/>
      <c r="N268" s="492"/>
    </row>
    <row r="269" spans="1:14" s="494" customFormat="1" ht="33.75">
      <c r="A269" s="465" t="s">
        <v>385</v>
      </c>
      <c r="B269" s="466" t="s">
        <v>386</v>
      </c>
      <c r="C269" s="466" t="s">
        <v>429</v>
      </c>
      <c r="D269" s="467" t="s">
        <v>430</v>
      </c>
      <c r="E269" s="492"/>
      <c r="F269" s="492"/>
      <c r="G269" s="492"/>
      <c r="H269" s="492"/>
      <c r="I269" s="492"/>
      <c r="J269" s="493"/>
      <c r="K269" s="492"/>
      <c r="L269" s="492"/>
      <c r="M269" s="492"/>
      <c r="N269" s="492"/>
    </row>
    <row r="270" spans="1:14" s="494" customFormat="1" ht="12.75">
      <c r="A270" s="471">
        <v>1</v>
      </c>
      <c r="B270" s="489" t="s">
        <v>387</v>
      </c>
      <c r="C270" s="490">
        <v>532607.55</v>
      </c>
      <c r="D270" s="491">
        <v>520000</v>
      </c>
      <c r="E270" s="492"/>
      <c r="F270" s="492"/>
      <c r="G270" s="492"/>
      <c r="H270" s="492"/>
      <c r="I270" s="492"/>
      <c r="J270" s="493"/>
      <c r="K270" s="492"/>
      <c r="L270" s="492"/>
      <c r="M270" s="492"/>
      <c r="N270" s="492"/>
    </row>
    <row r="271" spans="1:14" s="494" customFormat="1" ht="12.75">
      <c r="A271" s="471">
        <v>2</v>
      </c>
      <c r="B271" s="489" t="s">
        <v>388</v>
      </c>
      <c r="C271" s="490">
        <v>281142</v>
      </c>
      <c r="D271" s="491">
        <v>370000</v>
      </c>
      <c r="E271" s="492"/>
      <c r="F271" s="492"/>
      <c r="G271" s="492"/>
      <c r="H271" s="492"/>
      <c r="I271" s="492"/>
      <c r="J271" s="493"/>
      <c r="K271" s="492"/>
      <c r="L271" s="492"/>
      <c r="M271" s="492"/>
      <c r="N271" s="492"/>
    </row>
    <row r="272" spans="1:14" s="494" customFormat="1" ht="12.75">
      <c r="A272" s="471">
        <v>3</v>
      </c>
      <c r="B272" s="489" t="s">
        <v>389</v>
      </c>
      <c r="C272" s="490">
        <v>707995.99</v>
      </c>
      <c r="D272" s="491">
        <v>650000</v>
      </c>
      <c r="E272" s="492"/>
      <c r="F272" s="492"/>
      <c r="G272" s="492"/>
      <c r="H272" s="492"/>
      <c r="I272" s="492"/>
      <c r="J272" s="493"/>
      <c r="K272" s="492"/>
      <c r="L272" s="492"/>
      <c r="M272" s="492"/>
      <c r="N272" s="492"/>
    </row>
    <row r="273" spans="1:14" s="494" customFormat="1" ht="12.75">
      <c r="A273" s="471">
        <v>4</v>
      </c>
      <c r="B273" s="489" t="s">
        <v>390</v>
      </c>
      <c r="C273" s="490">
        <v>64657.4</v>
      </c>
      <c r="D273" s="491">
        <v>50000</v>
      </c>
      <c r="E273" s="492"/>
      <c r="F273" s="492"/>
      <c r="G273" s="492"/>
      <c r="H273" s="492"/>
      <c r="I273" s="492"/>
      <c r="J273" s="493"/>
      <c r="K273" s="492"/>
      <c r="L273" s="492"/>
      <c r="M273" s="492"/>
      <c r="N273" s="492"/>
    </row>
    <row r="274" spans="1:14" s="494" customFormat="1" ht="12.75">
      <c r="A274" s="471">
        <v>5</v>
      </c>
      <c r="B274" s="489" t="s">
        <v>391</v>
      </c>
      <c r="C274" s="490">
        <v>233287.76</v>
      </c>
      <c r="D274" s="491">
        <v>350000</v>
      </c>
      <c r="E274" s="492"/>
      <c r="F274" s="492"/>
      <c r="G274" s="492"/>
      <c r="H274" s="492"/>
      <c r="I274" s="492"/>
      <c r="J274" s="493"/>
      <c r="K274" s="492"/>
      <c r="L274" s="492"/>
      <c r="M274" s="492"/>
      <c r="N274" s="492"/>
    </row>
    <row r="275" spans="1:14" s="494" customFormat="1" ht="12.75">
      <c r="A275" s="471">
        <v>6</v>
      </c>
      <c r="B275" s="489" t="s">
        <v>392</v>
      </c>
      <c r="C275" s="490"/>
      <c r="D275" s="491">
        <v>320000</v>
      </c>
      <c r="E275" s="492"/>
      <c r="F275" s="492"/>
      <c r="G275" s="492"/>
      <c r="H275" s="492"/>
      <c r="I275" s="492"/>
      <c r="J275" s="493"/>
      <c r="K275" s="492"/>
      <c r="L275" s="492"/>
      <c r="M275" s="492"/>
      <c r="N275" s="492"/>
    </row>
    <row r="276" spans="1:14" s="494" customFormat="1" ht="12.75">
      <c r="A276" s="471">
        <v>7</v>
      </c>
      <c r="B276" s="489" t="s">
        <v>393</v>
      </c>
      <c r="C276" s="490"/>
      <c r="D276" s="491">
        <v>200000</v>
      </c>
      <c r="E276" s="492"/>
      <c r="F276" s="492"/>
      <c r="G276" s="492"/>
      <c r="H276" s="492"/>
      <c r="I276" s="492"/>
      <c r="J276" s="493"/>
      <c r="K276" s="492"/>
      <c r="L276" s="492"/>
      <c r="M276" s="492"/>
      <c r="N276" s="492"/>
    </row>
    <row r="277" spans="1:14" s="494" customFormat="1" ht="12.75">
      <c r="A277" s="471">
        <v>8</v>
      </c>
      <c r="B277" s="489" t="s">
        <v>394</v>
      </c>
      <c r="C277" s="490"/>
      <c r="D277" s="491">
        <v>250000</v>
      </c>
      <c r="E277" s="492"/>
      <c r="F277" s="492"/>
      <c r="G277" s="492"/>
      <c r="H277" s="492"/>
      <c r="I277" s="492"/>
      <c r="J277" s="493"/>
      <c r="K277" s="492"/>
      <c r="L277" s="492"/>
      <c r="M277" s="492"/>
      <c r="N277" s="492"/>
    </row>
    <row r="278" spans="1:14" s="494" customFormat="1" ht="22.5">
      <c r="A278" s="471">
        <v>9</v>
      </c>
      <c r="B278" s="489" t="s">
        <v>395</v>
      </c>
      <c r="C278" s="490">
        <v>362105.79</v>
      </c>
      <c r="D278" s="491">
        <v>310000</v>
      </c>
      <c r="E278" s="492"/>
      <c r="F278" s="492"/>
      <c r="G278" s="492"/>
      <c r="H278" s="492"/>
      <c r="I278" s="492"/>
      <c r="J278" s="493"/>
      <c r="K278" s="492"/>
      <c r="L278" s="492"/>
      <c r="M278" s="492"/>
      <c r="N278" s="492"/>
    </row>
    <row r="279" spans="1:4" ht="12.75">
      <c r="A279" s="471">
        <v>10</v>
      </c>
      <c r="B279" s="489" t="s">
        <v>396</v>
      </c>
      <c r="C279" s="490">
        <v>292032.19</v>
      </c>
      <c r="D279" s="491">
        <v>290000</v>
      </c>
    </row>
    <row r="280" spans="1:4" ht="12.75">
      <c r="A280" s="471">
        <v>11</v>
      </c>
      <c r="B280" s="489" t="s">
        <v>397</v>
      </c>
      <c r="C280" s="490">
        <v>657174.02</v>
      </c>
      <c r="D280" s="491">
        <v>440000</v>
      </c>
    </row>
    <row r="281" spans="1:14" s="470" customFormat="1" ht="12.75">
      <c r="A281" s="566" t="s">
        <v>398</v>
      </c>
      <c r="B281" s="567"/>
      <c r="C281" s="479">
        <f>SUM(C270:C280)</f>
        <v>3131002.6999999997</v>
      </c>
      <c r="D281" s="483">
        <f>SUM(D270:D280)</f>
        <v>3750000</v>
      </c>
      <c r="E281" s="468"/>
      <c r="F281" s="468"/>
      <c r="G281" s="468"/>
      <c r="H281" s="468"/>
      <c r="I281" s="468"/>
      <c r="J281" s="469"/>
      <c r="K281" s="468"/>
      <c r="L281" s="468"/>
      <c r="M281" s="468"/>
      <c r="N281" s="468"/>
    </row>
    <row r="282" spans="1:4" ht="12.75">
      <c r="A282" s="464"/>
      <c r="B282" s="462"/>
      <c r="C282" s="488"/>
      <c r="D282" s="420"/>
    </row>
    <row r="283" spans="1:4" ht="33.75">
      <c r="A283" s="471" t="s">
        <v>399</v>
      </c>
      <c r="B283" s="472" t="s">
        <v>400</v>
      </c>
      <c r="C283" s="486" t="s">
        <v>429</v>
      </c>
      <c r="D283" s="487" t="s">
        <v>430</v>
      </c>
    </row>
    <row r="284" spans="1:4" ht="12.75">
      <c r="A284" s="463">
        <v>1</v>
      </c>
      <c r="B284" s="461" t="s">
        <v>401</v>
      </c>
      <c r="C284" s="478">
        <v>3152022.97</v>
      </c>
      <c r="D284" s="482">
        <v>3120000</v>
      </c>
    </row>
    <row r="285" spans="1:4" ht="12.75">
      <c r="A285" s="463">
        <v>2</v>
      </c>
      <c r="B285" s="461" t="s">
        <v>402</v>
      </c>
      <c r="C285" s="478">
        <v>2062581.17</v>
      </c>
      <c r="D285" s="482">
        <v>2000000</v>
      </c>
    </row>
    <row r="286" spans="1:4" ht="12.75">
      <c r="A286" s="463">
        <v>3</v>
      </c>
      <c r="B286" s="461" t="s">
        <v>403</v>
      </c>
      <c r="C286" s="478">
        <v>753205.26</v>
      </c>
      <c r="D286" s="482">
        <v>750000</v>
      </c>
    </row>
    <row r="287" spans="1:10" s="474" customFormat="1" ht="12.75">
      <c r="A287" s="463">
        <v>4</v>
      </c>
      <c r="B287" s="461" t="s">
        <v>404</v>
      </c>
      <c r="C287" s="478">
        <v>512110.04</v>
      </c>
      <c r="D287" s="482">
        <v>500000</v>
      </c>
      <c r="J287" s="475"/>
    </row>
    <row r="288" spans="1:4" ht="12.75">
      <c r="A288" s="463">
        <v>5</v>
      </c>
      <c r="B288" s="461" t="s">
        <v>405</v>
      </c>
      <c r="C288" s="478">
        <v>1553357.51</v>
      </c>
      <c r="D288" s="482">
        <v>1500000</v>
      </c>
    </row>
    <row r="289" spans="1:14" s="470" customFormat="1" ht="12.75">
      <c r="A289" s="566" t="s">
        <v>406</v>
      </c>
      <c r="B289" s="567"/>
      <c r="C289" s="480">
        <f>SUM(C284:C288)</f>
        <v>8033276.95</v>
      </c>
      <c r="D289" s="484">
        <f>SUM(D284:D288)</f>
        <v>7870000</v>
      </c>
      <c r="E289" s="468"/>
      <c r="F289" s="468"/>
      <c r="G289" s="468"/>
      <c r="H289" s="468"/>
      <c r="I289" s="468"/>
      <c r="J289" s="469"/>
      <c r="K289" s="468"/>
      <c r="L289" s="468"/>
      <c r="M289" s="468"/>
      <c r="N289" s="468"/>
    </row>
    <row r="290" spans="1:4" ht="12.75">
      <c r="A290" s="464"/>
      <c r="B290" s="462"/>
      <c r="C290" s="488"/>
      <c r="D290" s="420"/>
    </row>
    <row r="291" spans="1:4" ht="33.75">
      <c r="A291" s="471" t="s">
        <v>399</v>
      </c>
      <c r="B291" s="472" t="s">
        <v>407</v>
      </c>
      <c r="C291" s="486" t="s">
        <v>429</v>
      </c>
      <c r="D291" s="487" t="s">
        <v>430</v>
      </c>
    </row>
    <row r="292" spans="1:4" ht="12.75">
      <c r="A292" s="463">
        <v>1</v>
      </c>
      <c r="B292" s="461" t="s">
        <v>408</v>
      </c>
      <c r="C292" s="478">
        <v>573628.47</v>
      </c>
      <c r="D292" s="482">
        <v>280000</v>
      </c>
    </row>
    <row r="293" spans="1:4" ht="12.75">
      <c r="A293" s="463">
        <v>2</v>
      </c>
      <c r="B293" s="461" t="s">
        <v>409</v>
      </c>
      <c r="C293" s="478">
        <v>19053.6</v>
      </c>
      <c r="D293" s="482">
        <v>80000</v>
      </c>
    </row>
    <row r="294" spans="1:4" ht="12.75">
      <c r="A294" s="463">
        <v>3</v>
      </c>
      <c r="B294" s="461" t="s">
        <v>410</v>
      </c>
      <c r="C294" s="478"/>
      <c r="D294" s="482">
        <v>350000</v>
      </c>
    </row>
    <row r="295" spans="1:4" ht="12.75">
      <c r="A295" s="463">
        <v>4</v>
      </c>
      <c r="B295" s="461" t="s">
        <v>411</v>
      </c>
      <c r="C295" s="478">
        <v>479163.86</v>
      </c>
      <c r="D295" s="482">
        <v>370000</v>
      </c>
    </row>
    <row r="296" spans="1:4" ht="12.75">
      <c r="A296" s="463">
        <v>5</v>
      </c>
      <c r="B296" s="461" t="s">
        <v>412</v>
      </c>
      <c r="C296" s="478">
        <v>549298.18</v>
      </c>
      <c r="D296" s="482">
        <v>350000</v>
      </c>
    </row>
    <row r="297" spans="1:4" ht="12.75">
      <c r="A297" s="463">
        <v>6</v>
      </c>
      <c r="B297" s="461" t="s">
        <v>413</v>
      </c>
      <c r="C297" s="478">
        <v>211724</v>
      </c>
      <c r="D297" s="482">
        <v>210000</v>
      </c>
    </row>
    <row r="298" spans="1:4" ht="12.75">
      <c r="A298" s="463">
        <v>7</v>
      </c>
      <c r="B298" s="461" t="s">
        <v>414</v>
      </c>
      <c r="C298" s="478">
        <v>1173425.56</v>
      </c>
      <c r="D298" s="482">
        <v>740000</v>
      </c>
    </row>
    <row r="299" spans="1:14" s="470" customFormat="1" ht="12.75">
      <c r="A299" s="566" t="s">
        <v>415</v>
      </c>
      <c r="B299" s="567"/>
      <c r="C299" s="479">
        <f>SUM(C292:C298)</f>
        <v>3006293.67</v>
      </c>
      <c r="D299" s="483">
        <f>SUM(D292:D298)</f>
        <v>2380000</v>
      </c>
      <c r="E299" s="468"/>
      <c r="F299" s="468"/>
      <c r="G299" s="468"/>
      <c r="H299" s="468"/>
      <c r="I299" s="468"/>
      <c r="J299" s="469"/>
      <c r="K299" s="468"/>
      <c r="L299" s="468"/>
      <c r="M299" s="468"/>
      <c r="N299" s="468"/>
    </row>
    <row r="300" spans="1:4" ht="12.75">
      <c r="A300" s="464"/>
      <c r="B300" s="462"/>
      <c r="C300" s="488"/>
      <c r="D300" s="420"/>
    </row>
    <row r="301" spans="1:4" ht="33.75">
      <c r="A301" s="471" t="s">
        <v>385</v>
      </c>
      <c r="B301" s="472" t="s">
        <v>416</v>
      </c>
      <c r="C301" s="486" t="s">
        <v>429</v>
      </c>
      <c r="D301" s="487" t="s">
        <v>430</v>
      </c>
    </row>
    <row r="302" spans="1:4" ht="12.75">
      <c r="A302" s="463">
        <v>1</v>
      </c>
      <c r="B302" s="461" t="s">
        <v>417</v>
      </c>
      <c r="C302" s="478">
        <v>142339.7</v>
      </c>
      <c r="D302" s="482">
        <v>90000</v>
      </c>
    </row>
    <row r="303" spans="1:4" ht="12.75">
      <c r="A303" s="463">
        <v>2</v>
      </c>
      <c r="B303" s="461" t="s">
        <v>418</v>
      </c>
      <c r="C303" s="478"/>
      <c r="D303" s="482">
        <v>100000</v>
      </c>
    </row>
    <row r="304" spans="1:14" s="470" customFormat="1" ht="12.75">
      <c r="A304" s="566" t="s">
        <v>419</v>
      </c>
      <c r="B304" s="567"/>
      <c r="C304" s="479">
        <f>SUM(C302:C303)</f>
        <v>142339.7</v>
      </c>
      <c r="D304" s="483">
        <f>SUM(D302:D303)</f>
        <v>190000</v>
      </c>
      <c r="E304" s="468"/>
      <c r="F304" s="468"/>
      <c r="G304" s="468"/>
      <c r="H304" s="468"/>
      <c r="I304" s="468"/>
      <c r="J304" s="469"/>
      <c r="K304" s="468"/>
      <c r="L304" s="468"/>
      <c r="M304" s="468"/>
      <c r="N304" s="468"/>
    </row>
    <row r="305" spans="1:4" ht="12.75">
      <c r="A305" s="464"/>
      <c r="B305" s="462"/>
      <c r="C305" s="488"/>
      <c r="D305" s="420"/>
    </row>
    <row r="306" spans="1:4" ht="33.75">
      <c r="A306" s="471" t="s">
        <v>385</v>
      </c>
      <c r="B306" s="472" t="s">
        <v>420</v>
      </c>
      <c r="C306" s="486" t="s">
        <v>429</v>
      </c>
      <c r="D306" s="487" t="s">
        <v>430</v>
      </c>
    </row>
    <row r="307" spans="1:4" ht="12.75">
      <c r="A307" s="463">
        <v>1</v>
      </c>
      <c r="B307" s="461" t="s">
        <v>421</v>
      </c>
      <c r="C307" s="478"/>
      <c r="D307" s="482">
        <v>110000</v>
      </c>
    </row>
    <row r="308" spans="1:4" ht="12.75">
      <c r="A308" s="463">
        <v>2</v>
      </c>
      <c r="B308" s="461" t="s">
        <v>422</v>
      </c>
      <c r="C308" s="478">
        <v>258854.67</v>
      </c>
      <c r="D308" s="482">
        <v>100000</v>
      </c>
    </row>
    <row r="309" spans="1:14" s="470" customFormat="1" ht="12.75">
      <c r="A309" s="566" t="s">
        <v>419</v>
      </c>
      <c r="B309" s="567"/>
      <c r="C309" s="479">
        <f>SUM(C307:C308)</f>
        <v>258854.67</v>
      </c>
      <c r="D309" s="483">
        <f>SUM(D307:D308)</f>
        <v>210000</v>
      </c>
      <c r="E309" s="468"/>
      <c r="F309" s="468"/>
      <c r="G309" s="468"/>
      <c r="H309" s="468"/>
      <c r="I309" s="468"/>
      <c r="J309" s="469"/>
      <c r="K309" s="468"/>
      <c r="L309" s="468"/>
      <c r="M309" s="468"/>
      <c r="N309" s="468"/>
    </row>
    <row r="310" spans="1:14" s="494" customFormat="1" ht="12.75">
      <c r="A310" s="464"/>
      <c r="B310" s="462"/>
      <c r="C310" s="488"/>
      <c r="D310" s="420"/>
      <c r="E310" s="492"/>
      <c r="F310" s="492"/>
      <c r="G310" s="492"/>
      <c r="H310" s="492"/>
      <c r="I310" s="492"/>
      <c r="J310" s="493"/>
      <c r="K310" s="492"/>
      <c r="L310" s="492"/>
      <c r="M310" s="492"/>
      <c r="N310" s="492"/>
    </row>
    <row r="311" spans="1:14" s="494" customFormat="1" ht="33.75">
      <c r="A311" s="471" t="s">
        <v>385</v>
      </c>
      <c r="B311" s="472" t="s">
        <v>423</v>
      </c>
      <c r="C311" s="486" t="s">
        <v>429</v>
      </c>
      <c r="D311" s="487" t="s">
        <v>430</v>
      </c>
      <c r="E311" s="492"/>
      <c r="F311" s="492"/>
      <c r="G311" s="492"/>
      <c r="H311" s="492"/>
      <c r="I311" s="492"/>
      <c r="J311" s="493"/>
      <c r="K311" s="492"/>
      <c r="L311" s="492"/>
      <c r="M311" s="492"/>
      <c r="N311" s="492"/>
    </row>
    <row r="312" spans="1:14" s="494" customFormat="1" ht="12.75">
      <c r="A312" s="471">
        <v>1</v>
      </c>
      <c r="B312" s="489" t="s">
        <v>424</v>
      </c>
      <c r="C312" s="490">
        <f>C281+C304</f>
        <v>3273342.4</v>
      </c>
      <c r="D312" s="491">
        <f>D281+D304</f>
        <v>3940000</v>
      </c>
      <c r="E312" s="492"/>
      <c r="F312" s="492"/>
      <c r="G312" s="492"/>
      <c r="H312" s="492"/>
      <c r="I312" s="492"/>
      <c r="J312" s="493"/>
      <c r="K312" s="492"/>
      <c r="L312" s="492"/>
      <c r="M312" s="492"/>
      <c r="N312" s="492"/>
    </row>
    <row r="313" spans="1:4" ht="22.5">
      <c r="A313" s="471">
        <v>2</v>
      </c>
      <c r="B313" s="489" t="s">
        <v>425</v>
      </c>
      <c r="C313" s="490">
        <f>C289</f>
        <v>8033276.95</v>
      </c>
      <c r="D313" s="491">
        <f>D289</f>
        <v>7870000</v>
      </c>
    </row>
    <row r="314" spans="1:4" ht="12.75">
      <c r="A314" s="471">
        <v>3</v>
      </c>
      <c r="B314" s="489" t="s">
        <v>426</v>
      </c>
      <c r="C314" s="490">
        <f>C299+C309</f>
        <v>3265148.34</v>
      </c>
      <c r="D314" s="491">
        <f>D299+D309</f>
        <v>2590000</v>
      </c>
    </row>
    <row r="315" spans="1:4" ht="13.5" thickBot="1">
      <c r="A315" s="476" t="s">
        <v>427</v>
      </c>
      <c r="B315" s="477"/>
      <c r="C315" s="481">
        <f>SUM(C312:C314)</f>
        <v>14571767.69</v>
      </c>
      <c r="D315" s="485">
        <f>SUM(D312:D314)</f>
        <v>14400000</v>
      </c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218 C220:D230 D234 D236:D237 D252 D254:D255 D258:D260 D242 C232:C260 I218 D244:D247" name="Oblast1_2"/>
    <protectedRange password="A131" sqref="I224:J227 I220:J222" name="Oblast1_3"/>
    <protectedRange password="A131" sqref="I232:I234" name="Oblast1_4"/>
    <protectedRange password="A131" sqref="I239:I241 J240:J241" name="Oblast1_5"/>
  </protectedRanges>
  <mergeCells count="250">
    <mergeCell ref="A141:B141"/>
    <mergeCell ref="A188:B188"/>
    <mergeCell ref="A187:B187"/>
    <mergeCell ref="A153:B153"/>
    <mergeCell ref="A154:B154"/>
    <mergeCell ref="A155:B155"/>
    <mergeCell ref="A156:B156"/>
    <mergeCell ref="A173:B173"/>
    <mergeCell ref="A152:B152"/>
    <mergeCell ref="A142:B142"/>
    <mergeCell ref="A227:B227"/>
    <mergeCell ref="A247:B247"/>
    <mergeCell ref="A181:B181"/>
    <mergeCell ref="A180:B180"/>
    <mergeCell ref="A182:B182"/>
    <mergeCell ref="A241:B241"/>
    <mergeCell ref="A184:B185"/>
    <mergeCell ref="A199:B201"/>
    <mergeCell ref="A197:B197"/>
    <mergeCell ref="A240:B240"/>
    <mergeCell ref="A160:B160"/>
    <mergeCell ref="A159:B159"/>
    <mergeCell ref="A172:B172"/>
    <mergeCell ref="A167:B167"/>
    <mergeCell ref="A166:B166"/>
    <mergeCell ref="A165:B165"/>
    <mergeCell ref="A175:B175"/>
    <mergeCell ref="A174:B174"/>
    <mergeCell ref="A143:B143"/>
    <mergeCell ref="A162:B162"/>
    <mergeCell ref="A161:B161"/>
    <mergeCell ref="A164:B164"/>
    <mergeCell ref="A163:B163"/>
    <mergeCell ref="A158:B158"/>
    <mergeCell ref="A150:B150"/>
    <mergeCell ref="A151:B151"/>
    <mergeCell ref="A179:B179"/>
    <mergeCell ref="A178:B178"/>
    <mergeCell ref="A177:B177"/>
    <mergeCell ref="A176:B176"/>
    <mergeCell ref="A232:B232"/>
    <mergeCell ref="A231:B231"/>
    <mergeCell ref="D124:D125"/>
    <mergeCell ref="A132:B132"/>
    <mergeCell ref="D138:D139"/>
    <mergeCell ref="A131:B131"/>
    <mergeCell ref="A130:B130"/>
    <mergeCell ref="A136:B136"/>
    <mergeCell ref="A133:B133"/>
    <mergeCell ref="A134:B134"/>
    <mergeCell ref="A250:B250"/>
    <mergeCell ref="H124:H125"/>
    <mergeCell ref="C184:C185"/>
    <mergeCell ref="D184:D185"/>
    <mergeCell ref="E124:E125"/>
    <mergeCell ref="E138:E139"/>
    <mergeCell ref="H138:H139"/>
    <mergeCell ref="H184:H185"/>
    <mergeCell ref="A145:B145"/>
    <mergeCell ref="A144:B144"/>
    <mergeCell ref="I5:I6"/>
    <mergeCell ref="A118:C118"/>
    <mergeCell ref="A114:B114"/>
    <mergeCell ref="A113:B113"/>
    <mergeCell ref="A112:B112"/>
    <mergeCell ref="A111:B111"/>
    <mergeCell ref="A110:B110"/>
    <mergeCell ref="A8:B8"/>
    <mergeCell ref="A9:A12"/>
    <mergeCell ref="A13:B13"/>
    <mergeCell ref="I4:J4"/>
    <mergeCell ref="A92:B93"/>
    <mergeCell ref="A4:B6"/>
    <mergeCell ref="C4:E4"/>
    <mergeCell ref="F4:H4"/>
    <mergeCell ref="J5:J6"/>
    <mergeCell ref="C92:C93"/>
    <mergeCell ref="H5:H6"/>
    <mergeCell ref="E5:E6"/>
    <mergeCell ref="A7:B7"/>
    <mergeCell ref="A14:B14"/>
    <mergeCell ref="A15:A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A32"/>
    <mergeCell ref="A33:B33"/>
    <mergeCell ref="A34:A40"/>
    <mergeCell ref="A41:B41"/>
    <mergeCell ref="A42:B42"/>
    <mergeCell ref="A43:A46"/>
    <mergeCell ref="A47:B47"/>
    <mergeCell ref="A48:A50"/>
    <mergeCell ref="A51:B51"/>
    <mergeCell ref="A52:A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A66"/>
    <mergeCell ref="A67:B67"/>
    <mergeCell ref="A68:A72"/>
    <mergeCell ref="A73:B73"/>
    <mergeCell ref="A74:B74"/>
    <mergeCell ref="A75:A76"/>
    <mergeCell ref="A77:B77"/>
    <mergeCell ref="A78:B78"/>
    <mergeCell ref="A79:B79"/>
    <mergeCell ref="A80:B80"/>
    <mergeCell ref="A81:B81"/>
    <mergeCell ref="A82:B82"/>
    <mergeCell ref="A83:B83"/>
    <mergeCell ref="A84:B84"/>
    <mergeCell ref="A85:A86"/>
    <mergeCell ref="A87:B87"/>
    <mergeCell ref="A88:B88"/>
    <mergeCell ref="A89:B89"/>
    <mergeCell ref="A90:B90"/>
    <mergeCell ref="A102:B102"/>
    <mergeCell ref="A101:B101"/>
    <mergeCell ref="A109:B109"/>
    <mergeCell ref="A108:B108"/>
    <mergeCell ref="A107:B107"/>
    <mergeCell ref="A106:B106"/>
    <mergeCell ref="A96:B96"/>
    <mergeCell ref="A95:B95"/>
    <mergeCell ref="A94:B94"/>
    <mergeCell ref="A105:B105"/>
    <mergeCell ref="A100:B100"/>
    <mergeCell ref="A99:B99"/>
    <mergeCell ref="A98:B98"/>
    <mergeCell ref="A97:B97"/>
    <mergeCell ref="A104:B104"/>
    <mergeCell ref="A103:B103"/>
    <mergeCell ref="A120:B120"/>
    <mergeCell ref="A119:B119"/>
    <mergeCell ref="C138:C139"/>
    <mergeCell ref="A129:B129"/>
    <mergeCell ref="A128:B128"/>
    <mergeCell ref="A127:B127"/>
    <mergeCell ref="A126:B126"/>
    <mergeCell ref="A138:B139"/>
    <mergeCell ref="A124:B125"/>
    <mergeCell ref="C124:C125"/>
    <mergeCell ref="I124:I125"/>
    <mergeCell ref="J124:J125"/>
    <mergeCell ref="I138:I139"/>
    <mergeCell ref="J138:J139"/>
    <mergeCell ref="J199:J200"/>
    <mergeCell ref="E199:E200"/>
    <mergeCell ref="E184:E185"/>
    <mergeCell ref="H199:H200"/>
    <mergeCell ref="I199:I200"/>
    <mergeCell ref="J184:J185"/>
    <mergeCell ref="I184:I185"/>
    <mergeCell ref="C199:C200"/>
    <mergeCell ref="D199:D200"/>
    <mergeCell ref="A245:B245"/>
    <mergeCell ref="A244:B244"/>
    <mergeCell ref="A243:B243"/>
    <mergeCell ref="A242:B242"/>
    <mergeCell ref="A237:B237"/>
    <mergeCell ref="A236:B236"/>
    <mergeCell ref="A235:B235"/>
    <mergeCell ref="A233:B233"/>
    <mergeCell ref="A249:B249"/>
    <mergeCell ref="A248:B248"/>
    <mergeCell ref="A246:B246"/>
    <mergeCell ref="A234:B234"/>
    <mergeCell ref="A239:B239"/>
    <mergeCell ref="A238:B238"/>
    <mergeCell ref="A225:B225"/>
    <mergeCell ref="A224:B224"/>
    <mergeCell ref="A257:B257"/>
    <mergeCell ref="A256:B256"/>
    <mergeCell ref="A255:B255"/>
    <mergeCell ref="A254:B254"/>
    <mergeCell ref="A230:B230"/>
    <mergeCell ref="A229:B229"/>
    <mergeCell ref="A228:B228"/>
    <mergeCell ref="A226:B226"/>
    <mergeCell ref="A261:B261"/>
    <mergeCell ref="A260:B260"/>
    <mergeCell ref="A259:B259"/>
    <mergeCell ref="A258:B258"/>
    <mergeCell ref="A264:B265"/>
    <mergeCell ref="A266:B266"/>
    <mergeCell ref="F216:H217"/>
    <mergeCell ref="F228:H228"/>
    <mergeCell ref="F227:H227"/>
    <mergeCell ref="F226:H226"/>
    <mergeCell ref="F225:H225"/>
    <mergeCell ref="A253:B253"/>
    <mergeCell ref="A252:B252"/>
    <mergeCell ref="A251:B251"/>
    <mergeCell ref="F223:H223"/>
    <mergeCell ref="F222:H222"/>
    <mergeCell ref="F221:H221"/>
    <mergeCell ref="A221:B221"/>
    <mergeCell ref="A223:B223"/>
    <mergeCell ref="A222:B222"/>
    <mergeCell ref="A216:B217"/>
    <mergeCell ref="A219:B219"/>
    <mergeCell ref="A218:B218"/>
    <mergeCell ref="F233:H233"/>
    <mergeCell ref="F232:H232"/>
    <mergeCell ref="F220:H220"/>
    <mergeCell ref="F218:H218"/>
    <mergeCell ref="F219:H219"/>
    <mergeCell ref="A220:B220"/>
    <mergeCell ref="F224:H224"/>
    <mergeCell ref="I92:I93"/>
    <mergeCell ref="J92:J93"/>
    <mergeCell ref="F237:H238"/>
    <mergeCell ref="F242:H242"/>
    <mergeCell ref="F241:H241"/>
    <mergeCell ref="F240:H240"/>
    <mergeCell ref="F239:H239"/>
    <mergeCell ref="F230:H231"/>
    <mergeCell ref="F235:H235"/>
    <mergeCell ref="F234:H234"/>
    <mergeCell ref="A186:B186"/>
    <mergeCell ref="G92:G93"/>
    <mergeCell ref="H92:H93"/>
    <mergeCell ref="A115:B115"/>
    <mergeCell ref="A140:B140"/>
    <mergeCell ref="A149:B149"/>
    <mergeCell ref="A148:B148"/>
    <mergeCell ref="A147:B147"/>
    <mergeCell ref="A146:B146"/>
    <mergeCell ref="A121:B121"/>
    <mergeCell ref="A309:B309"/>
    <mergeCell ref="A281:B281"/>
    <mergeCell ref="A289:B289"/>
    <mergeCell ref="A299:B299"/>
    <mergeCell ref="A304:B304"/>
  </mergeCells>
  <printOptions horizontalCentered="1"/>
  <pageMargins left="0.17" right="0.17" top="0.27" bottom="0.35" header="0.17" footer="0.17"/>
  <pageSetup horizontalDpi="600" verticalDpi="600" orientation="portrait" paperSize="9" scale="64" r:id="rId1"/>
  <headerFooter alignWithMargins="0">
    <oddFooter>&amp;C&amp;8Stránka &amp;P z &amp;N</oddFooter>
  </headerFooter>
  <rowBreaks count="3" manualBreakCount="3">
    <brk id="90" max="9" man="1"/>
    <brk id="202" max="9" man="1"/>
    <brk id="2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T300"/>
  <sheetViews>
    <sheetView showGridLines="0" workbookViewId="0" topLeftCell="A97">
      <selection activeCell="A121" sqref="A121:B121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7" width="11.375" style="3" customWidth="1"/>
    <col min="8" max="8" width="10.625" style="3" customWidth="1"/>
    <col min="9" max="9" width="11.00390625" style="3" customWidth="1"/>
    <col min="10" max="10" width="12.00390625" style="85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1" t="s">
        <v>457</v>
      </c>
    </row>
    <row r="2" spans="8:13" ht="6.75" customHeight="1">
      <c r="H2" s="4"/>
      <c r="M2" s="4"/>
    </row>
    <row r="3" spans="1:13" ht="16.5" thickBot="1">
      <c r="A3" s="5" t="s">
        <v>264</v>
      </c>
      <c r="B3" s="8"/>
      <c r="C3" s="8"/>
      <c r="D3" s="8"/>
      <c r="H3" s="4"/>
      <c r="J3" s="91" t="s">
        <v>203</v>
      </c>
      <c r="M3" s="4"/>
    </row>
    <row r="4" spans="1:10" s="62" customFormat="1" ht="11.25">
      <c r="A4" s="769" t="s">
        <v>376</v>
      </c>
      <c r="B4" s="770"/>
      <c r="C4" s="782" t="s">
        <v>287</v>
      </c>
      <c r="D4" s="783"/>
      <c r="E4" s="784"/>
      <c r="F4" s="782" t="s">
        <v>12</v>
      </c>
      <c r="G4" s="783"/>
      <c r="H4" s="784"/>
      <c r="I4" s="730" t="s">
        <v>67</v>
      </c>
      <c r="J4" s="731"/>
    </row>
    <row r="5" spans="1:10" s="62" customFormat="1" ht="11.25">
      <c r="A5" s="771"/>
      <c r="B5" s="772"/>
      <c r="C5" s="63" t="s">
        <v>41</v>
      </c>
      <c r="D5" s="64" t="s">
        <v>42</v>
      </c>
      <c r="E5" s="786" t="s">
        <v>21</v>
      </c>
      <c r="F5" s="63" t="s">
        <v>41</v>
      </c>
      <c r="G5" s="64" t="s">
        <v>42</v>
      </c>
      <c r="H5" s="786" t="s">
        <v>21</v>
      </c>
      <c r="I5" s="753" t="s">
        <v>68</v>
      </c>
      <c r="J5" s="745" t="s">
        <v>23</v>
      </c>
    </row>
    <row r="6" spans="1:10" s="62" customFormat="1" ht="12" thickBot="1">
      <c r="A6" s="773"/>
      <c r="B6" s="774"/>
      <c r="C6" s="65" t="s">
        <v>22</v>
      </c>
      <c r="D6" s="66" t="s">
        <v>22</v>
      </c>
      <c r="E6" s="787"/>
      <c r="F6" s="65" t="s">
        <v>22</v>
      </c>
      <c r="G6" s="66" t="s">
        <v>22</v>
      </c>
      <c r="H6" s="787"/>
      <c r="I6" s="754"/>
      <c r="J6" s="785"/>
    </row>
    <row r="7" spans="1:10" s="69" customFormat="1" ht="11.25" customHeight="1">
      <c r="A7" s="775" t="s">
        <v>107</v>
      </c>
      <c r="B7" s="776"/>
      <c r="C7" s="383"/>
      <c r="D7" s="392"/>
      <c r="E7" s="194">
        <f aca="true" t="shared" si="0" ref="E7:E38">SUM(C7:D7)</f>
        <v>0</v>
      </c>
      <c r="F7" s="67"/>
      <c r="G7" s="68"/>
      <c r="H7" s="202">
        <f aca="true" t="shared" si="1" ref="H7:H38">SUM(F7:G7)</f>
        <v>0</v>
      </c>
      <c r="I7" s="320">
        <f aca="true" t="shared" si="2" ref="I7:I38">+H7-E7</f>
        <v>0</v>
      </c>
      <c r="J7" s="86"/>
    </row>
    <row r="8" spans="1:10" s="69" customFormat="1" ht="11.25" customHeight="1">
      <c r="A8" s="777" t="s">
        <v>108</v>
      </c>
      <c r="B8" s="778"/>
      <c r="C8" s="384">
        <v>983417.0517099997</v>
      </c>
      <c r="D8" s="388">
        <v>3677.19795</v>
      </c>
      <c r="E8" s="195">
        <f t="shared" si="0"/>
        <v>987094.2496599996</v>
      </c>
      <c r="F8" s="70">
        <v>974441.0983962002</v>
      </c>
      <c r="G8" s="71">
        <v>3640</v>
      </c>
      <c r="H8" s="203">
        <f t="shared" si="1"/>
        <v>978081.0983962002</v>
      </c>
      <c r="I8" s="321">
        <f t="shared" si="2"/>
        <v>-9013.151263799402</v>
      </c>
      <c r="J8" s="531">
        <f aca="true" t="shared" si="3" ref="J8:J16">+H8/E8</f>
        <v>0.9908690064126056</v>
      </c>
    </row>
    <row r="9" spans="1:10" s="173" customFormat="1" ht="11.25">
      <c r="A9" s="779" t="s">
        <v>109</v>
      </c>
      <c r="B9" s="170" t="s">
        <v>110</v>
      </c>
      <c r="C9" s="385">
        <v>956985.2603599997</v>
      </c>
      <c r="D9" s="389"/>
      <c r="E9" s="196">
        <f t="shared" si="0"/>
        <v>956985.2603599997</v>
      </c>
      <c r="F9" s="171">
        <v>947541.0983962002</v>
      </c>
      <c r="G9" s="172"/>
      <c r="H9" s="204">
        <f t="shared" si="1"/>
        <v>947541.0983962002</v>
      </c>
      <c r="I9" s="322">
        <f t="shared" si="2"/>
        <v>-9444.161963799503</v>
      </c>
      <c r="J9" s="532">
        <f t="shared" si="3"/>
        <v>0.9901313402045013</v>
      </c>
    </row>
    <row r="10" spans="1:10" s="173" customFormat="1" ht="11.25" customHeight="1">
      <c r="A10" s="779"/>
      <c r="B10" s="170" t="s">
        <v>111</v>
      </c>
      <c r="C10" s="386">
        <v>5059.531119999998</v>
      </c>
      <c r="D10" s="389"/>
      <c r="E10" s="196">
        <f t="shared" si="0"/>
        <v>5059.531119999998</v>
      </c>
      <c r="F10" s="174">
        <v>5100</v>
      </c>
      <c r="G10" s="172"/>
      <c r="H10" s="204">
        <f t="shared" si="1"/>
        <v>5100</v>
      </c>
      <c r="I10" s="322">
        <f t="shared" si="2"/>
        <v>40.46888000000217</v>
      </c>
      <c r="J10" s="532">
        <f t="shared" si="3"/>
        <v>1.0079985435488343</v>
      </c>
    </row>
    <row r="11" spans="1:10" s="173" customFormat="1" ht="11.25">
      <c r="A11" s="779"/>
      <c r="B11" s="170" t="s">
        <v>112</v>
      </c>
      <c r="C11" s="386">
        <v>6140.260230000001</v>
      </c>
      <c r="D11" s="389">
        <v>846.7891099999998</v>
      </c>
      <c r="E11" s="196">
        <f t="shared" si="0"/>
        <v>6987.0493400000005</v>
      </c>
      <c r="F11" s="174">
        <v>6500</v>
      </c>
      <c r="G11" s="172">
        <v>840</v>
      </c>
      <c r="H11" s="204">
        <f t="shared" si="1"/>
        <v>7340</v>
      </c>
      <c r="I11" s="322">
        <f t="shared" si="2"/>
        <v>352.9506599999995</v>
      </c>
      <c r="J11" s="532">
        <f t="shared" si="3"/>
        <v>1.050514980333601</v>
      </c>
    </row>
    <row r="12" spans="1:10" s="173" customFormat="1" ht="11.25">
      <c r="A12" s="779"/>
      <c r="B12" s="170" t="s">
        <v>113</v>
      </c>
      <c r="C12" s="386">
        <v>15232</v>
      </c>
      <c r="D12" s="389">
        <v>2830.4088400000005</v>
      </c>
      <c r="E12" s="196">
        <f t="shared" si="0"/>
        <v>18062.40884</v>
      </c>
      <c r="F12" s="174">
        <v>15300</v>
      </c>
      <c r="G12" s="172">
        <v>2800</v>
      </c>
      <c r="H12" s="204">
        <f t="shared" si="1"/>
        <v>18100</v>
      </c>
      <c r="I12" s="322">
        <f t="shared" si="2"/>
        <v>37.591159999999945</v>
      </c>
      <c r="J12" s="532">
        <f t="shared" si="3"/>
        <v>1.0020811819914492</v>
      </c>
    </row>
    <row r="13" spans="1:10" s="69" customFormat="1" ht="11.25">
      <c r="A13" s="777" t="s">
        <v>114</v>
      </c>
      <c r="B13" s="778"/>
      <c r="C13" s="387"/>
      <c r="D13" s="388">
        <v>2563.63228</v>
      </c>
      <c r="E13" s="195">
        <f t="shared" si="0"/>
        <v>2563.63228</v>
      </c>
      <c r="F13" s="73"/>
      <c r="G13" s="71">
        <v>2580</v>
      </c>
      <c r="H13" s="203">
        <f t="shared" si="1"/>
        <v>2580</v>
      </c>
      <c r="I13" s="321">
        <f t="shared" si="2"/>
        <v>16.36772000000019</v>
      </c>
      <c r="J13" s="531">
        <f t="shared" si="3"/>
        <v>1.006384581801256</v>
      </c>
    </row>
    <row r="14" spans="1:10" s="69" customFormat="1" ht="11.25">
      <c r="A14" s="777" t="s">
        <v>115</v>
      </c>
      <c r="B14" s="778"/>
      <c r="C14" s="387"/>
      <c r="D14" s="388">
        <v>89540.99806</v>
      </c>
      <c r="E14" s="195">
        <f t="shared" si="0"/>
        <v>89540.99806</v>
      </c>
      <c r="F14" s="73"/>
      <c r="G14" s="71">
        <v>72984</v>
      </c>
      <c r="H14" s="203">
        <f t="shared" si="1"/>
        <v>72984</v>
      </c>
      <c r="I14" s="321">
        <f t="shared" si="2"/>
        <v>-16556.998059999998</v>
      </c>
      <c r="J14" s="531">
        <f t="shared" si="3"/>
        <v>0.8150903114916653</v>
      </c>
    </row>
    <row r="15" spans="1:10" s="173" customFormat="1" ht="11.25">
      <c r="A15" s="779" t="s">
        <v>116</v>
      </c>
      <c r="B15" s="175" t="s">
        <v>117</v>
      </c>
      <c r="C15" s="386"/>
      <c r="D15" s="389">
        <v>89353.54321999999</v>
      </c>
      <c r="E15" s="196">
        <f t="shared" si="0"/>
        <v>89353.54321999999</v>
      </c>
      <c r="F15" s="174"/>
      <c r="G15" s="172">
        <v>72804</v>
      </c>
      <c r="H15" s="204">
        <f t="shared" si="1"/>
        <v>72804</v>
      </c>
      <c r="I15" s="322">
        <f t="shared" si="2"/>
        <v>-16549.543219999992</v>
      </c>
      <c r="J15" s="532">
        <f t="shared" si="3"/>
        <v>0.8147858201968233</v>
      </c>
    </row>
    <row r="16" spans="1:10" s="173" customFormat="1" ht="11.25">
      <c r="A16" s="779"/>
      <c r="B16" s="175" t="s">
        <v>118</v>
      </c>
      <c r="C16" s="386"/>
      <c r="D16" s="389">
        <v>187</v>
      </c>
      <c r="E16" s="196">
        <f t="shared" si="0"/>
        <v>187</v>
      </c>
      <c r="F16" s="174"/>
      <c r="G16" s="172">
        <v>180</v>
      </c>
      <c r="H16" s="204">
        <f t="shared" si="1"/>
        <v>180</v>
      </c>
      <c r="I16" s="322">
        <f t="shared" si="2"/>
        <v>-7</v>
      </c>
      <c r="J16" s="532">
        <f t="shared" si="3"/>
        <v>0.9625668449197861</v>
      </c>
    </row>
    <row r="17" spans="1:10" s="69" customFormat="1" ht="11.25">
      <c r="A17" s="777" t="s">
        <v>119</v>
      </c>
      <c r="B17" s="778"/>
      <c r="C17" s="388">
        <v>127.2928</v>
      </c>
      <c r="D17" s="388"/>
      <c r="E17" s="195">
        <f t="shared" si="0"/>
        <v>127.2928</v>
      </c>
      <c r="F17" s="73">
        <v>125</v>
      </c>
      <c r="G17" s="71"/>
      <c r="H17" s="203">
        <f t="shared" si="1"/>
        <v>125</v>
      </c>
      <c r="I17" s="321">
        <f t="shared" si="2"/>
        <v>-2.2927999999999997</v>
      </c>
      <c r="J17" s="531">
        <f>+H17/E17</f>
        <v>0.9819879836094422</v>
      </c>
    </row>
    <row r="18" spans="1:10" s="69" customFormat="1" ht="11.25">
      <c r="A18" s="777" t="s">
        <v>120</v>
      </c>
      <c r="B18" s="778"/>
      <c r="C18" s="387"/>
      <c r="D18" s="388"/>
      <c r="E18" s="195">
        <f t="shared" si="0"/>
        <v>0</v>
      </c>
      <c r="F18" s="73"/>
      <c r="G18" s="71"/>
      <c r="H18" s="203">
        <f t="shared" si="1"/>
        <v>0</v>
      </c>
      <c r="I18" s="321">
        <f t="shared" si="2"/>
        <v>0</v>
      </c>
      <c r="J18" s="531" t="e">
        <f>+H18/E18</f>
        <v>#DIV/0!</v>
      </c>
    </row>
    <row r="19" spans="1:10" s="69" customFormat="1" ht="11.25">
      <c r="A19" s="777" t="s">
        <v>121</v>
      </c>
      <c r="B19" s="778"/>
      <c r="C19" s="388">
        <v>7648.542</v>
      </c>
      <c r="D19" s="388">
        <v>7.996799999999999</v>
      </c>
      <c r="E19" s="195">
        <f t="shared" si="0"/>
        <v>7656.5388</v>
      </c>
      <c r="F19" s="73">
        <v>7650</v>
      </c>
      <c r="G19" s="71"/>
      <c r="H19" s="203">
        <f t="shared" si="1"/>
        <v>7650</v>
      </c>
      <c r="I19" s="321">
        <f t="shared" si="2"/>
        <v>-6.538800000000265</v>
      </c>
      <c r="J19" s="531">
        <f>+H19/E19</f>
        <v>0.9991459848672092</v>
      </c>
    </row>
    <row r="20" spans="1:10" s="69" customFormat="1" ht="11.25">
      <c r="A20" s="777" t="s">
        <v>188</v>
      </c>
      <c r="B20" s="778"/>
      <c r="C20" s="387">
        <v>25889</v>
      </c>
      <c r="D20" s="388">
        <v>1531</v>
      </c>
      <c r="E20" s="195">
        <f t="shared" si="0"/>
        <v>27420</v>
      </c>
      <c r="F20" s="73">
        <v>28000</v>
      </c>
      <c r="G20" s="71">
        <v>1500</v>
      </c>
      <c r="H20" s="203">
        <f t="shared" si="1"/>
        <v>29500</v>
      </c>
      <c r="I20" s="321">
        <f t="shared" si="2"/>
        <v>2080</v>
      </c>
      <c r="J20" s="531">
        <f>+H20/E20</f>
        <v>1.0758570386579138</v>
      </c>
    </row>
    <row r="21" spans="1:10" s="173" customFormat="1" ht="11.25">
      <c r="A21" s="169" t="s">
        <v>116</v>
      </c>
      <c r="B21" s="170" t="s">
        <v>122</v>
      </c>
      <c r="C21" s="389">
        <v>4781.294529999999</v>
      </c>
      <c r="D21" s="389"/>
      <c r="E21" s="196">
        <f t="shared" si="0"/>
        <v>4781.294529999999</v>
      </c>
      <c r="F21" s="174">
        <v>4800</v>
      </c>
      <c r="G21" s="172"/>
      <c r="H21" s="204">
        <f t="shared" si="1"/>
        <v>4800</v>
      </c>
      <c r="I21" s="322">
        <f t="shared" si="2"/>
        <v>18.705470000000787</v>
      </c>
      <c r="J21" s="532">
        <f>+H21/E21</f>
        <v>1.0039122187270904</v>
      </c>
    </row>
    <row r="22" spans="1:10" s="69" customFormat="1" ht="11.25">
      <c r="A22" s="777" t="s">
        <v>123</v>
      </c>
      <c r="B22" s="778"/>
      <c r="C22" s="387">
        <v>116</v>
      </c>
      <c r="D22" s="388"/>
      <c r="E22" s="195">
        <f t="shared" si="0"/>
        <v>116</v>
      </c>
      <c r="F22" s="73">
        <v>116</v>
      </c>
      <c r="G22" s="71"/>
      <c r="H22" s="203">
        <f t="shared" si="1"/>
        <v>116</v>
      </c>
      <c r="I22" s="321">
        <f t="shared" si="2"/>
        <v>0</v>
      </c>
      <c r="J22" s="531">
        <f aca="true" t="shared" si="4" ref="J22:J39">+H22/E22</f>
        <v>1</v>
      </c>
    </row>
    <row r="23" spans="1:10" s="69" customFormat="1" ht="11.25">
      <c r="A23" s="777" t="s">
        <v>189</v>
      </c>
      <c r="B23" s="778"/>
      <c r="C23" s="390">
        <v>40140.614</v>
      </c>
      <c r="D23" s="388"/>
      <c r="E23" s="195">
        <f t="shared" si="0"/>
        <v>40140.614</v>
      </c>
      <c r="F23" s="72">
        <f>E114/1000</f>
        <v>8359.788</v>
      </c>
      <c r="G23" s="71"/>
      <c r="H23" s="203">
        <f t="shared" si="1"/>
        <v>8359.788</v>
      </c>
      <c r="I23" s="321">
        <f t="shared" si="2"/>
        <v>-31780.826</v>
      </c>
      <c r="J23" s="531">
        <f t="shared" si="4"/>
        <v>0.20826258412489654</v>
      </c>
    </row>
    <row r="24" spans="1:10" s="69" customFormat="1" ht="11.25">
      <c r="A24" s="788" t="s">
        <v>124</v>
      </c>
      <c r="B24" s="789"/>
      <c r="C24" s="386">
        <v>1012.217</v>
      </c>
      <c r="D24" s="389"/>
      <c r="E24" s="195">
        <f t="shared" si="0"/>
        <v>1012.217</v>
      </c>
      <c r="F24" s="73"/>
      <c r="G24" s="71"/>
      <c r="H24" s="203">
        <f t="shared" si="1"/>
        <v>0</v>
      </c>
      <c r="I24" s="321">
        <f t="shared" si="2"/>
        <v>-1012.217</v>
      </c>
      <c r="J24" s="531">
        <f t="shared" si="4"/>
        <v>0</v>
      </c>
    </row>
    <row r="25" spans="1:10" s="69" customFormat="1" ht="12" thickBot="1">
      <c r="A25" s="790" t="s">
        <v>190</v>
      </c>
      <c r="B25" s="791"/>
      <c r="C25" s="391">
        <v>39128.397</v>
      </c>
      <c r="D25" s="393"/>
      <c r="E25" s="197">
        <f t="shared" si="0"/>
        <v>39128.397</v>
      </c>
      <c r="F25" s="74"/>
      <c r="G25" s="75"/>
      <c r="H25" s="205">
        <f t="shared" si="1"/>
        <v>0</v>
      </c>
      <c r="I25" s="323">
        <f t="shared" si="2"/>
        <v>-39128.397</v>
      </c>
      <c r="J25" s="533">
        <f t="shared" si="4"/>
        <v>0</v>
      </c>
    </row>
    <row r="26" spans="1:10" s="186" customFormat="1" ht="12" thickBot="1">
      <c r="A26" s="722" t="s">
        <v>24</v>
      </c>
      <c r="B26" s="723"/>
      <c r="C26" s="180">
        <f>SUM(C7,C8,C13,C14,C17,C18,C19,C20,C22,C23)</f>
        <v>1057338.5005099997</v>
      </c>
      <c r="D26" s="181">
        <f>SUM(D7,D8,D13,D14,D17,D18,D19,D20,D22,D23)</f>
        <v>97320.82509</v>
      </c>
      <c r="E26" s="182">
        <f t="shared" si="0"/>
        <v>1154659.3255999996</v>
      </c>
      <c r="F26" s="183">
        <f>SUM(F7,F8,F13,F14,F17,F18,F19,F20,F22,F23)</f>
        <v>1018691.8863962002</v>
      </c>
      <c r="G26" s="184">
        <f>SUM(G7,G8,G13,G14,G17,G18,G19,G20,G22,G23)</f>
        <v>80704</v>
      </c>
      <c r="H26" s="185">
        <f t="shared" si="1"/>
        <v>1099395.8863962002</v>
      </c>
      <c r="I26" s="324">
        <f t="shared" si="2"/>
        <v>-55263.43920379947</v>
      </c>
      <c r="J26" s="534">
        <f t="shared" si="4"/>
        <v>0.9521387495181033</v>
      </c>
    </row>
    <row r="27" spans="1:10" s="69" customFormat="1" ht="11.25">
      <c r="A27" s="792" t="s">
        <v>125</v>
      </c>
      <c r="B27" s="793"/>
      <c r="C27" s="394">
        <v>359256.48961</v>
      </c>
      <c r="D27" s="388">
        <v>454</v>
      </c>
      <c r="E27" s="198">
        <f t="shared" si="0"/>
        <v>359710.48961</v>
      </c>
      <c r="F27" s="76">
        <v>360399</v>
      </c>
      <c r="G27" s="77">
        <v>452</v>
      </c>
      <c r="H27" s="206">
        <f t="shared" si="1"/>
        <v>360851</v>
      </c>
      <c r="I27" s="325">
        <f t="shared" si="2"/>
        <v>1140.5103900000104</v>
      </c>
      <c r="J27" s="535">
        <f t="shared" si="4"/>
        <v>1.0031706342265319</v>
      </c>
    </row>
    <row r="28" spans="1:10" s="69" customFormat="1" ht="11.25">
      <c r="A28" s="794" t="s">
        <v>126</v>
      </c>
      <c r="B28" s="795"/>
      <c r="C28" s="387">
        <v>215570</v>
      </c>
      <c r="D28" s="388">
        <v>13</v>
      </c>
      <c r="E28" s="199">
        <f t="shared" si="0"/>
        <v>215583</v>
      </c>
      <c r="F28" s="73">
        <v>219000</v>
      </c>
      <c r="G28" s="71">
        <v>13</v>
      </c>
      <c r="H28" s="207">
        <f t="shared" si="1"/>
        <v>219013</v>
      </c>
      <c r="I28" s="326">
        <f t="shared" si="2"/>
        <v>3430</v>
      </c>
      <c r="J28" s="536">
        <f t="shared" si="4"/>
        <v>1.0159103454354008</v>
      </c>
    </row>
    <row r="29" spans="1:10" s="173" customFormat="1" ht="11.25">
      <c r="A29" s="796" t="s">
        <v>116</v>
      </c>
      <c r="B29" s="170" t="s">
        <v>127</v>
      </c>
      <c r="C29" s="386">
        <v>378</v>
      </c>
      <c r="D29" s="389"/>
      <c r="E29" s="200">
        <f t="shared" si="0"/>
        <v>378</v>
      </c>
      <c r="F29" s="174">
        <v>380</v>
      </c>
      <c r="G29" s="172"/>
      <c r="H29" s="208">
        <f t="shared" si="1"/>
        <v>380</v>
      </c>
      <c r="I29" s="327">
        <f t="shared" si="2"/>
        <v>2</v>
      </c>
      <c r="J29" s="537">
        <f t="shared" si="4"/>
        <v>1.0052910052910053</v>
      </c>
    </row>
    <row r="30" spans="1:10" s="173" customFormat="1" ht="11.25">
      <c r="A30" s="796"/>
      <c r="B30" s="170" t="s">
        <v>128</v>
      </c>
      <c r="C30" s="386">
        <v>1197</v>
      </c>
      <c r="D30" s="389"/>
      <c r="E30" s="200">
        <f t="shared" si="0"/>
        <v>1197</v>
      </c>
      <c r="F30" s="174">
        <v>1200</v>
      </c>
      <c r="G30" s="172"/>
      <c r="H30" s="208">
        <f t="shared" si="1"/>
        <v>1200</v>
      </c>
      <c r="I30" s="327">
        <f t="shared" si="2"/>
        <v>3</v>
      </c>
      <c r="J30" s="537">
        <f t="shared" si="4"/>
        <v>1.0025062656641603</v>
      </c>
    </row>
    <row r="31" spans="1:10" s="173" customFormat="1" ht="11.25">
      <c r="A31" s="796"/>
      <c r="B31" s="170" t="s">
        <v>129</v>
      </c>
      <c r="C31" s="386">
        <v>60890</v>
      </c>
      <c r="D31" s="389"/>
      <c r="E31" s="200">
        <f t="shared" si="0"/>
        <v>60890</v>
      </c>
      <c r="F31" s="174">
        <v>61000</v>
      </c>
      <c r="G31" s="172"/>
      <c r="H31" s="208">
        <f t="shared" si="1"/>
        <v>61000</v>
      </c>
      <c r="I31" s="327">
        <f t="shared" si="2"/>
        <v>110</v>
      </c>
      <c r="J31" s="537">
        <f t="shared" si="4"/>
        <v>1.0018065363770734</v>
      </c>
    </row>
    <row r="32" spans="1:10" s="173" customFormat="1" ht="11.25">
      <c r="A32" s="796"/>
      <c r="B32" s="170" t="s">
        <v>130</v>
      </c>
      <c r="C32" s="386">
        <v>6391</v>
      </c>
      <c r="D32" s="389"/>
      <c r="E32" s="200">
        <f t="shared" si="0"/>
        <v>6391</v>
      </c>
      <c r="F32" s="174">
        <v>6400</v>
      </c>
      <c r="G32" s="172"/>
      <c r="H32" s="208">
        <f t="shared" si="1"/>
        <v>6400</v>
      </c>
      <c r="I32" s="327">
        <f t="shared" si="2"/>
        <v>9</v>
      </c>
      <c r="J32" s="537">
        <f t="shared" si="4"/>
        <v>1.001408230323893</v>
      </c>
    </row>
    <row r="33" spans="1:10" s="69" customFormat="1" ht="11.25">
      <c r="A33" s="794" t="s">
        <v>131</v>
      </c>
      <c r="B33" s="795"/>
      <c r="C33" s="387">
        <v>108450.48361</v>
      </c>
      <c r="D33" s="388">
        <v>53</v>
      </c>
      <c r="E33" s="199">
        <f t="shared" si="0"/>
        <v>108503.48361</v>
      </c>
      <c r="F33" s="73">
        <v>106950</v>
      </c>
      <c r="G33" s="71">
        <v>53</v>
      </c>
      <c r="H33" s="207">
        <f t="shared" si="1"/>
        <v>107003</v>
      </c>
      <c r="I33" s="326">
        <f t="shared" si="2"/>
        <v>-1500.4836099999957</v>
      </c>
      <c r="J33" s="536">
        <f t="shared" si="4"/>
        <v>0.9861711019768429</v>
      </c>
    </row>
    <row r="34" spans="1:10" s="173" customFormat="1" ht="11.25">
      <c r="A34" s="796" t="s">
        <v>116</v>
      </c>
      <c r="B34" s="170" t="s">
        <v>132</v>
      </c>
      <c r="C34" s="386">
        <v>670</v>
      </c>
      <c r="D34" s="389"/>
      <c r="E34" s="200">
        <f t="shared" si="0"/>
        <v>670</v>
      </c>
      <c r="F34" s="174">
        <v>670</v>
      </c>
      <c r="G34" s="172"/>
      <c r="H34" s="208">
        <f t="shared" si="1"/>
        <v>670</v>
      </c>
      <c r="I34" s="327">
        <f t="shared" si="2"/>
        <v>0</v>
      </c>
      <c r="J34" s="537">
        <f t="shared" si="4"/>
        <v>1</v>
      </c>
    </row>
    <row r="35" spans="1:10" s="173" customFormat="1" ht="11.25">
      <c r="A35" s="796"/>
      <c r="B35" s="170" t="s">
        <v>133</v>
      </c>
      <c r="C35" s="386">
        <v>22982</v>
      </c>
      <c r="D35" s="389"/>
      <c r="E35" s="200">
        <f t="shared" si="0"/>
        <v>22982</v>
      </c>
      <c r="F35" s="174">
        <v>23000</v>
      </c>
      <c r="G35" s="172"/>
      <c r="H35" s="208">
        <f t="shared" si="1"/>
        <v>23000</v>
      </c>
      <c r="I35" s="327">
        <f t="shared" si="2"/>
        <v>18</v>
      </c>
      <c r="J35" s="537">
        <f t="shared" si="4"/>
        <v>1.0007832216517274</v>
      </c>
    </row>
    <row r="36" spans="1:10" s="173" customFormat="1" ht="11.25">
      <c r="A36" s="796"/>
      <c r="B36" s="170" t="s">
        <v>134</v>
      </c>
      <c r="C36" s="386">
        <v>32286</v>
      </c>
      <c r="D36" s="389"/>
      <c r="E36" s="200">
        <f t="shared" si="0"/>
        <v>32286</v>
      </c>
      <c r="F36" s="174">
        <v>32300</v>
      </c>
      <c r="G36" s="172"/>
      <c r="H36" s="208">
        <f t="shared" si="1"/>
        <v>32300</v>
      </c>
      <c r="I36" s="327">
        <f t="shared" si="2"/>
        <v>14</v>
      </c>
      <c r="J36" s="537">
        <f t="shared" si="4"/>
        <v>1.0004336244811993</v>
      </c>
    </row>
    <row r="37" spans="1:10" s="173" customFormat="1" ht="11.25">
      <c r="A37" s="796"/>
      <c r="B37" s="170" t="s">
        <v>135</v>
      </c>
      <c r="C37" s="386">
        <v>3594</v>
      </c>
      <c r="D37" s="389"/>
      <c r="E37" s="200">
        <f t="shared" si="0"/>
        <v>3594</v>
      </c>
      <c r="F37" s="174">
        <v>3600</v>
      </c>
      <c r="G37" s="172"/>
      <c r="H37" s="208">
        <f t="shared" si="1"/>
        <v>3600</v>
      </c>
      <c r="I37" s="327">
        <f t="shared" si="2"/>
        <v>6</v>
      </c>
      <c r="J37" s="537">
        <f t="shared" si="4"/>
        <v>1.001669449081803</v>
      </c>
    </row>
    <row r="38" spans="1:10" s="173" customFormat="1" ht="11.25">
      <c r="A38" s="796"/>
      <c r="B38" s="170" t="s">
        <v>136</v>
      </c>
      <c r="C38" s="386">
        <v>2815</v>
      </c>
      <c r="D38" s="389"/>
      <c r="E38" s="200">
        <f t="shared" si="0"/>
        <v>2815</v>
      </c>
      <c r="F38" s="174">
        <v>2800</v>
      </c>
      <c r="G38" s="172"/>
      <c r="H38" s="208">
        <f t="shared" si="1"/>
        <v>2800</v>
      </c>
      <c r="I38" s="327">
        <f t="shared" si="2"/>
        <v>-15</v>
      </c>
      <c r="J38" s="537">
        <f t="shared" si="4"/>
        <v>0.9946714031971581</v>
      </c>
    </row>
    <row r="39" spans="1:10" s="173" customFormat="1" ht="11.25">
      <c r="A39" s="796"/>
      <c r="B39" s="170" t="s">
        <v>137</v>
      </c>
      <c r="C39" s="386">
        <v>2323</v>
      </c>
      <c r="D39" s="389"/>
      <c r="E39" s="200">
        <f aca="true" t="shared" si="5" ref="E39:E70">SUM(C39:D39)</f>
        <v>2323</v>
      </c>
      <c r="F39" s="174">
        <v>2300</v>
      </c>
      <c r="G39" s="172"/>
      <c r="H39" s="208">
        <f aca="true" t="shared" si="6" ref="H39:H70">SUM(F39:G39)</f>
        <v>2300</v>
      </c>
      <c r="I39" s="327">
        <f aca="true" t="shared" si="7" ref="I39:I70">+H39-E39</f>
        <v>-23</v>
      </c>
      <c r="J39" s="537">
        <f t="shared" si="4"/>
        <v>0.9900990099009901</v>
      </c>
    </row>
    <row r="40" spans="1:10" s="173" customFormat="1" ht="11.25">
      <c r="A40" s="796"/>
      <c r="B40" s="170" t="s">
        <v>138</v>
      </c>
      <c r="C40" s="386">
        <v>4709</v>
      </c>
      <c r="D40" s="389"/>
      <c r="E40" s="200">
        <f t="shared" si="5"/>
        <v>4709</v>
      </c>
      <c r="F40" s="174">
        <v>4700</v>
      </c>
      <c r="G40" s="172"/>
      <c r="H40" s="208">
        <f t="shared" si="6"/>
        <v>4700</v>
      </c>
      <c r="I40" s="327">
        <f t="shared" si="7"/>
        <v>-9</v>
      </c>
      <c r="J40" s="536">
        <f aca="true" t="shared" si="8" ref="J40:J51">+H40/E40</f>
        <v>0.9980887661923975</v>
      </c>
    </row>
    <row r="41" spans="1:10" s="69" customFormat="1" ht="11.25">
      <c r="A41" s="794" t="s">
        <v>139</v>
      </c>
      <c r="B41" s="795"/>
      <c r="C41" s="387">
        <v>338.006</v>
      </c>
      <c r="D41" s="388"/>
      <c r="E41" s="199">
        <f t="shared" si="5"/>
        <v>338.006</v>
      </c>
      <c r="F41" s="73">
        <v>384</v>
      </c>
      <c r="G41" s="71"/>
      <c r="H41" s="207">
        <f t="shared" si="6"/>
        <v>384</v>
      </c>
      <c r="I41" s="326">
        <f t="shared" si="7"/>
        <v>45.99400000000003</v>
      </c>
      <c r="J41" s="536">
        <f t="shared" si="8"/>
        <v>1.1360745075531204</v>
      </c>
    </row>
    <row r="42" spans="1:10" s="69" customFormat="1" ht="11.25" customHeight="1">
      <c r="A42" s="794" t="s">
        <v>140</v>
      </c>
      <c r="B42" s="797"/>
      <c r="C42" s="387">
        <v>29724</v>
      </c>
      <c r="D42" s="388">
        <v>363</v>
      </c>
      <c r="E42" s="199">
        <f t="shared" si="5"/>
        <v>30087</v>
      </c>
      <c r="F42" s="73">
        <v>28885</v>
      </c>
      <c r="G42" s="71">
        <v>360</v>
      </c>
      <c r="H42" s="207">
        <f t="shared" si="6"/>
        <v>29245</v>
      </c>
      <c r="I42" s="326"/>
      <c r="J42" s="536">
        <f t="shared" si="8"/>
        <v>0.9720144913085386</v>
      </c>
    </row>
    <row r="43" spans="1:10" s="173" customFormat="1" ht="11.25">
      <c r="A43" s="796" t="s">
        <v>116</v>
      </c>
      <c r="B43" s="176" t="s">
        <v>141</v>
      </c>
      <c r="C43" s="386">
        <v>1441</v>
      </c>
      <c r="D43" s="389"/>
      <c r="E43" s="200">
        <f t="shared" si="5"/>
        <v>1441</v>
      </c>
      <c r="F43" s="174">
        <v>1400</v>
      </c>
      <c r="G43" s="172"/>
      <c r="H43" s="208">
        <f t="shared" si="6"/>
        <v>1400</v>
      </c>
      <c r="I43" s="327">
        <f t="shared" si="7"/>
        <v>-41</v>
      </c>
      <c r="J43" s="537">
        <f t="shared" si="8"/>
        <v>0.9715475364330326</v>
      </c>
    </row>
    <row r="44" spans="1:10" s="173" customFormat="1" ht="11.25">
      <c r="A44" s="796"/>
      <c r="B44" s="170" t="s">
        <v>142</v>
      </c>
      <c r="C44" s="386">
        <v>11</v>
      </c>
      <c r="D44" s="389"/>
      <c r="E44" s="200">
        <f t="shared" si="5"/>
        <v>11</v>
      </c>
      <c r="F44" s="174">
        <v>11</v>
      </c>
      <c r="G44" s="172"/>
      <c r="H44" s="208">
        <f t="shared" si="6"/>
        <v>11</v>
      </c>
      <c r="I44" s="327">
        <f t="shared" si="7"/>
        <v>0</v>
      </c>
      <c r="J44" s="537">
        <f t="shared" si="8"/>
        <v>1</v>
      </c>
    </row>
    <row r="45" spans="1:10" s="173" customFormat="1" ht="11.25">
      <c r="A45" s="796"/>
      <c r="B45" s="170" t="s">
        <v>143</v>
      </c>
      <c r="C45" s="386">
        <v>1697</v>
      </c>
      <c r="D45" s="389"/>
      <c r="E45" s="200">
        <f t="shared" si="5"/>
        <v>1697</v>
      </c>
      <c r="F45" s="174">
        <v>1700</v>
      </c>
      <c r="G45" s="172"/>
      <c r="H45" s="208">
        <f t="shared" si="6"/>
        <v>1700</v>
      </c>
      <c r="I45" s="327">
        <f t="shared" si="7"/>
        <v>3</v>
      </c>
      <c r="J45" s="537">
        <f t="shared" si="8"/>
        <v>1.0017678255745432</v>
      </c>
    </row>
    <row r="46" spans="1:10" s="173" customFormat="1" ht="11.25">
      <c r="A46" s="796"/>
      <c r="B46" s="170" t="s">
        <v>144</v>
      </c>
      <c r="C46" s="386">
        <v>3238</v>
      </c>
      <c r="D46" s="389"/>
      <c r="E46" s="200">
        <f t="shared" si="5"/>
        <v>3238</v>
      </c>
      <c r="F46" s="174">
        <v>3400</v>
      </c>
      <c r="G46" s="172"/>
      <c r="H46" s="208">
        <f t="shared" si="6"/>
        <v>3400</v>
      </c>
      <c r="I46" s="327">
        <f t="shared" si="7"/>
        <v>162</v>
      </c>
      <c r="J46" s="537">
        <f t="shared" si="8"/>
        <v>1.0500308832612724</v>
      </c>
    </row>
    <row r="47" spans="1:10" s="69" customFormat="1" ht="11.25">
      <c r="A47" s="794" t="s">
        <v>145</v>
      </c>
      <c r="B47" s="795"/>
      <c r="C47" s="387">
        <v>3500</v>
      </c>
      <c r="D47" s="388">
        <v>21</v>
      </c>
      <c r="E47" s="199">
        <f t="shared" si="5"/>
        <v>3521</v>
      </c>
      <c r="F47" s="73">
        <v>3600</v>
      </c>
      <c r="G47" s="71">
        <v>22</v>
      </c>
      <c r="H47" s="207">
        <f t="shared" si="6"/>
        <v>3622</v>
      </c>
      <c r="I47" s="326">
        <f t="shared" si="7"/>
        <v>101</v>
      </c>
      <c r="J47" s="536">
        <f t="shared" si="8"/>
        <v>1.0286850326611758</v>
      </c>
    </row>
    <row r="48" spans="1:10" s="173" customFormat="1" ht="11.25">
      <c r="A48" s="779" t="s">
        <v>116</v>
      </c>
      <c r="B48" s="170" t="s">
        <v>146</v>
      </c>
      <c r="C48" s="386">
        <v>691</v>
      </c>
      <c r="D48" s="389"/>
      <c r="E48" s="200">
        <f t="shared" si="5"/>
        <v>691</v>
      </c>
      <c r="F48" s="174">
        <v>700</v>
      </c>
      <c r="G48" s="172"/>
      <c r="H48" s="208">
        <f t="shared" si="6"/>
        <v>700</v>
      </c>
      <c r="I48" s="327">
        <f t="shared" si="7"/>
        <v>9</v>
      </c>
      <c r="J48" s="537">
        <f t="shared" si="8"/>
        <v>1.0130246020260492</v>
      </c>
    </row>
    <row r="49" spans="1:10" s="173" customFormat="1" ht="11.25">
      <c r="A49" s="779"/>
      <c r="B49" s="170" t="s">
        <v>147</v>
      </c>
      <c r="C49" s="386">
        <v>1593</v>
      </c>
      <c r="D49" s="389"/>
      <c r="E49" s="200">
        <f t="shared" si="5"/>
        <v>1593</v>
      </c>
      <c r="F49" s="174">
        <v>1500</v>
      </c>
      <c r="G49" s="172"/>
      <c r="H49" s="208">
        <f t="shared" si="6"/>
        <v>1500</v>
      </c>
      <c r="I49" s="327">
        <f t="shared" si="7"/>
        <v>-93</v>
      </c>
      <c r="J49" s="537">
        <f t="shared" si="8"/>
        <v>0.9416195856873822</v>
      </c>
    </row>
    <row r="50" spans="1:10" s="173" customFormat="1" ht="11.25">
      <c r="A50" s="779"/>
      <c r="B50" s="170" t="s">
        <v>148</v>
      </c>
      <c r="C50" s="386">
        <v>718</v>
      </c>
      <c r="D50" s="389"/>
      <c r="E50" s="200">
        <f t="shared" si="5"/>
        <v>718</v>
      </c>
      <c r="F50" s="174">
        <v>1000</v>
      </c>
      <c r="G50" s="172"/>
      <c r="H50" s="208">
        <f t="shared" si="6"/>
        <v>1000</v>
      </c>
      <c r="I50" s="327">
        <f t="shared" si="7"/>
        <v>282</v>
      </c>
      <c r="J50" s="537">
        <f t="shared" si="8"/>
        <v>1.392757660167131</v>
      </c>
    </row>
    <row r="51" spans="1:10" s="69" customFormat="1" ht="11.25">
      <c r="A51" s="788" t="s">
        <v>149</v>
      </c>
      <c r="B51" s="789"/>
      <c r="C51" s="387">
        <v>1586</v>
      </c>
      <c r="D51" s="388">
        <v>4</v>
      </c>
      <c r="E51" s="199">
        <f t="shared" si="5"/>
        <v>1590</v>
      </c>
      <c r="F51" s="73">
        <v>1500</v>
      </c>
      <c r="G51" s="71">
        <v>4</v>
      </c>
      <c r="H51" s="207">
        <f t="shared" si="6"/>
        <v>1504</v>
      </c>
      <c r="I51" s="326">
        <f t="shared" si="7"/>
        <v>-86</v>
      </c>
      <c r="J51" s="536">
        <f t="shared" si="8"/>
        <v>0.9459119496855346</v>
      </c>
    </row>
    <row r="52" spans="1:10" s="173" customFormat="1" ht="11.25">
      <c r="A52" s="779" t="s">
        <v>116</v>
      </c>
      <c r="B52" s="170" t="s">
        <v>150</v>
      </c>
      <c r="C52" s="386">
        <v>515</v>
      </c>
      <c r="D52" s="389"/>
      <c r="E52" s="200">
        <f t="shared" si="5"/>
        <v>515</v>
      </c>
      <c r="F52" s="174">
        <v>500</v>
      </c>
      <c r="G52" s="172"/>
      <c r="H52" s="208">
        <f t="shared" si="6"/>
        <v>500</v>
      </c>
      <c r="I52" s="327">
        <f t="shared" si="7"/>
        <v>-15</v>
      </c>
      <c r="J52" s="537">
        <f aca="true" t="shared" si="9" ref="J52:J59">+H52/E52</f>
        <v>0.970873786407767</v>
      </c>
    </row>
    <row r="53" spans="1:10" s="173" customFormat="1" ht="11.25">
      <c r="A53" s="779"/>
      <c r="B53" s="170" t="s">
        <v>151</v>
      </c>
      <c r="C53" s="386">
        <v>1071</v>
      </c>
      <c r="D53" s="389"/>
      <c r="E53" s="200">
        <f t="shared" si="5"/>
        <v>1071</v>
      </c>
      <c r="F53" s="174">
        <v>1000</v>
      </c>
      <c r="G53" s="172"/>
      <c r="H53" s="208">
        <f t="shared" si="6"/>
        <v>1000</v>
      </c>
      <c r="I53" s="327">
        <f t="shared" si="7"/>
        <v>-71</v>
      </c>
      <c r="J53" s="537">
        <f t="shared" si="9"/>
        <v>0.9337068160597572</v>
      </c>
    </row>
    <row r="54" spans="1:10" s="69" customFormat="1" ht="11.25">
      <c r="A54" s="788" t="s">
        <v>152</v>
      </c>
      <c r="B54" s="789"/>
      <c r="C54" s="387">
        <v>88</v>
      </c>
      <c r="D54" s="388"/>
      <c r="E54" s="199">
        <f t="shared" si="5"/>
        <v>88</v>
      </c>
      <c r="F54" s="73">
        <v>80</v>
      </c>
      <c r="G54" s="71"/>
      <c r="H54" s="207">
        <f t="shared" si="6"/>
        <v>80</v>
      </c>
      <c r="I54" s="326">
        <f t="shared" si="7"/>
        <v>-8</v>
      </c>
      <c r="J54" s="536">
        <f t="shared" si="9"/>
        <v>0.9090909090909091</v>
      </c>
    </row>
    <row r="55" spans="1:10" s="69" customFormat="1" ht="11.25">
      <c r="A55" s="798" t="s">
        <v>153</v>
      </c>
      <c r="B55" s="799"/>
      <c r="C55" s="395">
        <v>39230</v>
      </c>
      <c r="D55" s="396">
        <v>108</v>
      </c>
      <c r="E55" s="199">
        <f t="shared" si="5"/>
        <v>39338</v>
      </c>
      <c r="F55" s="78">
        <v>39305</v>
      </c>
      <c r="G55" s="79">
        <v>108</v>
      </c>
      <c r="H55" s="207">
        <f t="shared" si="6"/>
        <v>39413</v>
      </c>
      <c r="I55" s="326">
        <f t="shared" si="7"/>
        <v>75</v>
      </c>
      <c r="J55" s="536">
        <f t="shared" si="9"/>
        <v>1.001906553459759</v>
      </c>
    </row>
    <row r="56" spans="1:10" s="173" customFormat="1" ht="11.25" customHeight="1">
      <c r="A56" s="800" t="s">
        <v>154</v>
      </c>
      <c r="B56" s="801"/>
      <c r="C56" s="386">
        <v>15906</v>
      </c>
      <c r="D56" s="389">
        <v>78</v>
      </c>
      <c r="E56" s="200">
        <f t="shared" si="5"/>
        <v>15984</v>
      </c>
      <c r="F56" s="174">
        <v>15900</v>
      </c>
      <c r="G56" s="172">
        <v>78</v>
      </c>
      <c r="H56" s="208">
        <f t="shared" si="6"/>
        <v>15978</v>
      </c>
      <c r="I56" s="327">
        <f t="shared" si="7"/>
        <v>-6</v>
      </c>
      <c r="J56" s="537">
        <f t="shared" si="9"/>
        <v>0.9996246246246246</v>
      </c>
    </row>
    <row r="57" spans="1:10" s="173" customFormat="1" ht="11.25" customHeight="1">
      <c r="A57" s="800" t="s">
        <v>155</v>
      </c>
      <c r="B57" s="801"/>
      <c r="C57" s="386">
        <v>5593</v>
      </c>
      <c r="D57" s="389">
        <v>30</v>
      </c>
      <c r="E57" s="200">
        <f t="shared" si="5"/>
        <v>5623</v>
      </c>
      <c r="F57" s="174">
        <v>5600</v>
      </c>
      <c r="G57" s="172">
        <v>30</v>
      </c>
      <c r="H57" s="208">
        <f t="shared" si="6"/>
        <v>5630</v>
      </c>
      <c r="I57" s="327">
        <f t="shared" si="7"/>
        <v>7</v>
      </c>
      <c r="J57" s="537">
        <f t="shared" si="9"/>
        <v>1.0012448870709585</v>
      </c>
    </row>
    <row r="58" spans="1:10" s="173" customFormat="1" ht="11.25" customHeight="1">
      <c r="A58" s="800" t="s">
        <v>156</v>
      </c>
      <c r="B58" s="802"/>
      <c r="C58" s="386">
        <v>5</v>
      </c>
      <c r="D58" s="389"/>
      <c r="E58" s="200">
        <f t="shared" si="5"/>
        <v>5</v>
      </c>
      <c r="F58" s="174">
        <v>5</v>
      </c>
      <c r="G58" s="172"/>
      <c r="H58" s="208">
        <f t="shared" si="6"/>
        <v>5</v>
      </c>
      <c r="I58" s="327">
        <f t="shared" si="7"/>
        <v>0</v>
      </c>
      <c r="J58" s="537">
        <f t="shared" si="9"/>
        <v>1</v>
      </c>
    </row>
    <row r="59" spans="1:10" s="173" customFormat="1" ht="11.25" customHeight="1">
      <c r="A59" s="800" t="s">
        <v>157</v>
      </c>
      <c r="B59" s="801"/>
      <c r="C59" s="386">
        <v>17726</v>
      </c>
      <c r="D59" s="389"/>
      <c r="E59" s="200">
        <f t="shared" si="5"/>
        <v>17726</v>
      </c>
      <c r="F59" s="174">
        <v>17800</v>
      </c>
      <c r="G59" s="172"/>
      <c r="H59" s="208">
        <f t="shared" si="6"/>
        <v>17800</v>
      </c>
      <c r="I59" s="327">
        <f t="shared" si="7"/>
        <v>74</v>
      </c>
      <c r="J59" s="537">
        <f t="shared" si="9"/>
        <v>1.0041746586934446</v>
      </c>
    </row>
    <row r="60" spans="1:10" s="82" customFormat="1" ht="11.25" customHeight="1">
      <c r="A60" s="803" t="s">
        <v>158</v>
      </c>
      <c r="B60" s="804"/>
      <c r="C60" s="387">
        <v>0</v>
      </c>
      <c r="D60" s="388"/>
      <c r="E60" s="199">
        <f t="shared" si="5"/>
        <v>0</v>
      </c>
      <c r="F60" s="73">
        <v>0</v>
      </c>
      <c r="G60" s="71"/>
      <c r="H60" s="207">
        <f t="shared" si="6"/>
        <v>0</v>
      </c>
      <c r="I60" s="326">
        <f t="shared" si="7"/>
        <v>0</v>
      </c>
      <c r="J60" s="536"/>
    </row>
    <row r="61" spans="1:10" s="69" customFormat="1" ht="11.25">
      <c r="A61" s="805" t="s">
        <v>159</v>
      </c>
      <c r="B61" s="806"/>
      <c r="C61" s="387"/>
      <c r="D61" s="388">
        <v>77654</v>
      </c>
      <c r="E61" s="199">
        <f t="shared" si="5"/>
        <v>77654</v>
      </c>
      <c r="F61" s="73"/>
      <c r="G61" s="71">
        <v>61883</v>
      </c>
      <c r="H61" s="207">
        <f t="shared" si="6"/>
        <v>61883</v>
      </c>
      <c r="I61" s="326">
        <f t="shared" si="7"/>
        <v>-15771</v>
      </c>
      <c r="J61" s="536">
        <f aca="true" t="shared" si="10" ref="J61:J70">+H61/E61</f>
        <v>0.7969067916655935</v>
      </c>
    </row>
    <row r="62" spans="1:10" s="69" customFormat="1" ht="11.25">
      <c r="A62" s="807" t="s">
        <v>160</v>
      </c>
      <c r="B62" s="808"/>
      <c r="C62" s="387">
        <v>90485.49057</v>
      </c>
      <c r="D62" s="388">
        <v>150.73021</v>
      </c>
      <c r="E62" s="199">
        <f t="shared" si="5"/>
        <v>90636.22077999999</v>
      </c>
      <c r="F62" s="73">
        <v>87635</v>
      </c>
      <c r="G62" s="71">
        <v>110</v>
      </c>
      <c r="H62" s="207">
        <f t="shared" si="6"/>
        <v>87745</v>
      </c>
      <c r="I62" s="326">
        <f t="shared" si="7"/>
        <v>-2891.2207799999887</v>
      </c>
      <c r="J62" s="536">
        <f t="shared" si="10"/>
        <v>0.9681008237642895</v>
      </c>
    </row>
    <row r="63" spans="1:10" s="69" customFormat="1" ht="11.25">
      <c r="A63" s="809" t="s">
        <v>161</v>
      </c>
      <c r="B63" s="810"/>
      <c r="C63" s="395">
        <v>17504.49057</v>
      </c>
      <c r="D63" s="396">
        <v>40.73021</v>
      </c>
      <c r="E63" s="199">
        <f t="shared" si="5"/>
        <v>17545.220780000003</v>
      </c>
      <c r="F63" s="78">
        <v>12635</v>
      </c>
      <c r="G63" s="79">
        <v>0</v>
      </c>
      <c r="H63" s="207">
        <f t="shared" si="6"/>
        <v>12635</v>
      </c>
      <c r="I63" s="326">
        <f t="shared" si="7"/>
        <v>-4910.220780000003</v>
      </c>
      <c r="J63" s="536">
        <f t="shared" si="10"/>
        <v>0.7201391283945985</v>
      </c>
    </row>
    <row r="64" spans="1:10" s="173" customFormat="1" ht="11.25">
      <c r="A64" s="811" t="s">
        <v>116</v>
      </c>
      <c r="B64" s="170" t="s">
        <v>162</v>
      </c>
      <c r="C64" s="385">
        <v>1705.03448</v>
      </c>
      <c r="D64" s="397">
        <v>5.29722</v>
      </c>
      <c r="E64" s="200">
        <f t="shared" si="5"/>
        <v>1710.3317</v>
      </c>
      <c r="F64" s="171">
        <v>8590</v>
      </c>
      <c r="G64" s="172"/>
      <c r="H64" s="208">
        <f t="shared" si="6"/>
        <v>8590</v>
      </c>
      <c r="I64" s="327">
        <f t="shared" si="7"/>
        <v>6879.6683</v>
      </c>
      <c r="J64" s="537">
        <f t="shared" si="10"/>
        <v>5.0224175813381695</v>
      </c>
    </row>
    <row r="65" spans="1:10" s="173" customFormat="1" ht="11.25">
      <c r="A65" s="812"/>
      <c r="B65" s="170" t="s">
        <v>163</v>
      </c>
      <c r="C65" s="385">
        <v>13589.43338</v>
      </c>
      <c r="D65" s="389"/>
      <c r="E65" s="200">
        <f t="shared" si="5"/>
        <v>13589.43338</v>
      </c>
      <c r="F65" s="171">
        <v>3930</v>
      </c>
      <c r="G65" s="172"/>
      <c r="H65" s="208">
        <f t="shared" si="6"/>
        <v>3930</v>
      </c>
      <c r="I65" s="327">
        <f t="shared" si="7"/>
        <v>-9659.43338</v>
      </c>
      <c r="J65" s="537">
        <f t="shared" si="10"/>
        <v>0.28919528063501937</v>
      </c>
    </row>
    <row r="66" spans="1:10" s="173" customFormat="1" ht="11.25">
      <c r="A66" s="812"/>
      <c r="B66" s="170" t="s">
        <v>164</v>
      </c>
      <c r="C66" s="385">
        <v>2210.02271</v>
      </c>
      <c r="D66" s="397">
        <v>35.43299</v>
      </c>
      <c r="E66" s="200">
        <f t="shared" si="5"/>
        <v>2245.4557</v>
      </c>
      <c r="F66" s="171">
        <v>115</v>
      </c>
      <c r="G66" s="177">
        <v>0</v>
      </c>
      <c r="H66" s="208">
        <f t="shared" si="6"/>
        <v>115</v>
      </c>
      <c r="I66" s="327">
        <f t="shared" si="7"/>
        <v>-2130.4557</v>
      </c>
      <c r="J66" s="537">
        <f t="shared" si="10"/>
        <v>0.05121454856579891</v>
      </c>
    </row>
    <row r="67" spans="1:10" s="69" customFormat="1" ht="11.25">
      <c r="A67" s="809" t="s">
        <v>165</v>
      </c>
      <c r="B67" s="810"/>
      <c r="C67" s="387">
        <v>72981</v>
      </c>
      <c r="D67" s="388">
        <v>110</v>
      </c>
      <c r="E67" s="199">
        <f t="shared" si="5"/>
        <v>73091</v>
      </c>
      <c r="F67" s="73">
        <v>75000</v>
      </c>
      <c r="G67" s="71">
        <v>110</v>
      </c>
      <c r="H67" s="207">
        <f t="shared" si="6"/>
        <v>75110</v>
      </c>
      <c r="I67" s="326">
        <f t="shared" si="7"/>
        <v>2019</v>
      </c>
      <c r="J67" s="536">
        <f t="shared" si="10"/>
        <v>1.0276230999712688</v>
      </c>
    </row>
    <row r="68" spans="1:10" s="173" customFormat="1" ht="11.25">
      <c r="A68" s="813" t="s">
        <v>116</v>
      </c>
      <c r="B68" s="178" t="s">
        <v>166</v>
      </c>
      <c r="C68" s="386">
        <v>6905</v>
      </c>
      <c r="D68" s="389">
        <v>6</v>
      </c>
      <c r="E68" s="200">
        <f t="shared" si="5"/>
        <v>6911</v>
      </c>
      <c r="F68" s="174">
        <v>6900</v>
      </c>
      <c r="G68" s="172">
        <v>6</v>
      </c>
      <c r="H68" s="208">
        <f t="shared" si="6"/>
        <v>6906</v>
      </c>
      <c r="I68" s="327">
        <f t="shared" si="7"/>
        <v>-5</v>
      </c>
      <c r="J68" s="537">
        <f t="shared" si="10"/>
        <v>0.9992765156996093</v>
      </c>
    </row>
    <row r="69" spans="1:10" s="173" customFormat="1" ht="11.25">
      <c r="A69" s="814"/>
      <c r="B69" s="178" t="s">
        <v>167</v>
      </c>
      <c r="C69" s="386">
        <v>0</v>
      </c>
      <c r="D69" s="389"/>
      <c r="E69" s="200">
        <f t="shared" si="5"/>
        <v>0</v>
      </c>
      <c r="F69" s="174">
        <v>0</v>
      </c>
      <c r="G69" s="172"/>
      <c r="H69" s="208">
        <f t="shared" si="6"/>
        <v>0</v>
      </c>
      <c r="I69" s="327">
        <f t="shared" si="7"/>
        <v>0</v>
      </c>
      <c r="J69" s="537"/>
    </row>
    <row r="70" spans="1:10" s="173" customFormat="1" ht="11.25">
      <c r="A70" s="814"/>
      <c r="B70" s="178" t="s">
        <v>168</v>
      </c>
      <c r="C70" s="386">
        <v>17828</v>
      </c>
      <c r="D70" s="389">
        <v>2</v>
      </c>
      <c r="E70" s="200">
        <f t="shared" si="5"/>
        <v>17830</v>
      </c>
      <c r="F70" s="174">
        <v>17900</v>
      </c>
      <c r="G70" s="172">
        <v>2</v>
      </c>
      <c r="H70" s="208">
        <f t="shared" si="6"/>
        <v>17902</v>
      </c>
      <c r="I70" s="327">
        <f t="shared" si="7"/>
        <v>72</v>
      </c>
      <c r="J70" s="537">
        <f t="shared" si="10"/>
        <v>1.0040381379697139</v>
      </c>
    </row>
    <row r="71" spans="1:10" s="173" customFormat="1" ht="11.25">
      <c r="A71" s="814"/>
      <c r="B71" s="178" t="s">
        <v>169</v>
      </c>
      <c r="C71" s="386">
        <v>3200</v>
      </c>
      <c r="D71" s="389">
        <v>12</v>
      </c>
      <c r="E71" s="200">
        <f aca="true" t="shared" si="11" ref="E71:E89">SUM(C71:D71)</f>
        <v>3212</v>
      </c>
      <c r="F71" s="174">
        <v>3200</v>
      </c>
      <c r="G71" s="172">
        <v>12</v>
      </c>
      <c r="H71" s="208">
        <f aca="true" t="shared" si="12" ref="H71:H90">SUM(F71:G71)</f>
        <v>3212</v>
      </c>
      <c r="I71" s="327">
        <f aca="true" t="shared" si="13" ref="I71:I90">+H71-E71</f>
        <v>0</v>
      </c>
      <c r="J71" s="537">
        <f aca="true" t="shared" si="14" ref="J71:J76">+H71/E71</f>
        <v>1</v>
      </c>
    </row>
    <row r="72" spans="1:10" s="173" customFormat="1" ht="11.25">
      <c r="A72" s="815"/>
      <c r="B72" s="178" t="s">
        <v>170</v>
      </c>
      <c r="C72" s="386">
        <v>1483</v>
      </c>
      <c r="D72" s="389">
        <v>2</v>
      </c>
      <c r="E72" s="200">
        <f t="shared" si="11"/>
        <v>1485</v>
      </c>
      <c r="F72" s="174">
        <v>1400</v>
      </c>
      <c r="G72" s="172">
        <v>2</v>
      </c>
      <c r="H72" s="208">
        <f t="shared" si="12"/>
        <v>1402</v>
      </c>
      <c r="I72" s="327">
        <f t="shared" si="13"/>
        <v>-83</v>
      </c>
      <c r="J72" s="537">
        <f t="shared" si="14"/>
        <v>0.9441077441077441</v>
      </c>
    </row>
    <row r="73" spans="1:10" s="69" customFormat="1" ht="11.25">
      <c r="A73" s="807" t="s">
        <v>171</v>
      </c>
      <c r="B73" s="808"/>
      <c r="C73" s="395">
        <v>512329</v>
      </c>
      <c r="D73" s="396">
        <v>3229</v>
      </c>
      <c r="E73" s="199">
        <f t="shared" si="11"/>
        <v>515558</v>
      </c>
      <c r="F73" s="78">
        <v>524865.894404128</v>
      </c>
      <c r="G73" s="79">
        <v>3449.105595871994</v>
      </c>
      <c r="H73" s="207">
        <f t="shared" si="12"/>
        <v>528315</v>
      </c>
      <c r="I73" s="326">
        <f t="shared" si="13"/>
        <v>12757</v>
      </c>
      <c r="J73" s="536">
        <f t="shared" si="14"/>
        <v>1.024744063713491</v>
      </c>
    </row>
    <row r="74" spans="1:10" s="69" customFormat="1" ht="11.25">
      <c r="A74" s="816" t="s">
        <v>172</v>
      </c>
      <c r="B74" s="817"/>
      <c r="C74" s="387">
        <v>377382</v>
      </c>
      <c r="D74" s="388">
        <v>2374</v>
      </c>
      <c r="E74" s="199">
        <f t="shared" si="11"/>
        <v>379756</v>
      </c>
      <c r="F74" s="73">
        <v>391275</v>
      </c>
      <c r="G74" s="71">
        <v>2551</v>
      </c>
      <c r="H74" s="207">
        <f t="shared" si="12"/>
        <v>393826</v>
      </c>
      <c r="I74" s="326">
        <f t="shared" si="13"/>
        <v>14070</v>
      </c>
      <c r="J74" s="536">
        <f t="shared" si="14"/>
        <v>1.0370501058574453</v>
      </c>
    </row>
    <row r="75" spans="1:10" s="173" customFormat="1" ht="11.25">
      <c r="A75" s="818" t="s">
        <v>116</v>
      </c>
      <c r="B75" s="179" t="s">
        <v>173</v>
      </c>
      <c r="C75" s="386">
        <v>355843</v>
      </c>
      <c r="D75" s="389">
        <v>2296</v>
      </c>
      <c r="E75" s="200">
        <f t="shared" si="11"/>
        <v>358139</v>
      </c>
      <c r="F75" s="174">
        <v>376156</v>
      </c>
      <c r="G75" s="172">
        <v>2470</v>
      </c>
      <c r="H75" s="208">
        <f t="shared" si="12"/>
        <v>378626</v>
      </c>
      <c r="I75" s="327">
        <f t="shared" si="13"/>
        <v>20487</v>
      </c>
      <c r="J75" s="537">
        <f t="shared" si="14"/>
        <v>1.057204046473576</v>
      </c>
    </row>
    <row r="76" spans="1:10" s="173" customFormat="1" ht="11.25">
      <c r="A76" s="819"/>
      <c r="B76" s="178" t="s">
        <v>174</v>
      </c>
      <c r="C76" s="386">
        <v>15140</v>
      </c>
      <c r="D76" s="389">
        <v>79</v>
      </c>
      <c r="E76" s="200">
        <f t="shared" si="11"/>
        <v>15219</v>
      </c>
      <c r="F76" s="174">
        <v>15119</v>
      </c>
      <c r="G76" s="172">
        <v>81</v>
      </c>
      <c r="H76" s="208">
        <f t="shared" si="12"/>
        <v>15200</v>
      </c>
      <c r="I76" s="327">
        <f t="shared" si="13"/>
        <v>-19</v>
      </c>
      <c r="J76" s="537">
        <f t="shared" si="14"/>
        <v>0.9987515605493134</v>
      </c>
    </row>
    <row r="77" spans="1:10" s="69" customFormat="1" ht="11.25">
      <c r="A77" s="788" t="s">
        <v>175</v>
      </c>
      <c r="B77" s="789"/>
      <c r="C77" s="387">
        <v>0</v>
      </c>
      <c r="D77" s="388"/>
      <c r="E77" s="199">
        <f t="shared" si="11"/>
        <v>0</v>
      </c>
      <c r="F77" s="73">
        <v>0</v>
      </c>
      <c r="G77" s="71"/>
      <c r="H77" s="207">
        <f t="shared" si="12"/>
        <v>0</v>
      </c>
      <c r="I77" s="326">
        <f t="shared" si="13"/>
        <v>0</v>
      </c>
      <c r="J77" s="536" t="e">
        <f aca="true" t="shared" si="15" ref="J77:J87">+H77/E77</f>
        <v>#DIV/0!</v>
      </c>
    </row>
    <row r="78" spans="1:10" s="69" customFormat="1" ht="11.25">
      <c r="A78" s="809" t="s">
        <v>176</v>
      </c>
      <c r="B78" s="810"/>
      <c r="C78" s="387">
        <v>134947</v>
      </c>
      <c r="D78" s="388">
        <v>855</v>
      </c>
      <c r="E78" s="199">
        <f t="shared" si="11"/>
        <v>135802</v>
      </c>
      <c r="F78" s="73">
        <v>133590.89440412802</v>
      </c>
      <c r="G78" s="71">
        <v>898.1055958719938</v>
      </c>
      <c r="H78" s="207">
        <f t="shared" si="12"/>
        <v>134489</v>
      </c>
      <c r="I78" s="326">
        <f t="shared" si="13"/>
        <v>-1313</v>
      </c>
      <c r="J78" s="536">
        <f t="shared" si="15"/>
        <v>0.9903315120543144</v>
      </c>
    </row>
    <row r="79" spans="1:10" s="69" customFormat="1" ht="11.25">
      <c r="A79" s="807" t="s">
        <v>177</v>
      </c>
      <c r="B79" s="808"/>
      <c r="C79" s="387">
        <v>33</v>
      </c>
      <c r="D79" s="388"/>
      <c r="E79" s="199">
        <f t="shared" si="11"/>
        <v>33</v>
      </c>
      <c r="F79" s="73">
        <v>33</v>
      </c>
      <c r="G79" s="71">
        <v>0</v>
      </c>
      <c r="H79" s="207">
        <f t="shared" si="12"/>
        <v>33</v>
      </c>
      <c r="I79" s="326">
        <f t="shared" si="13"/>
        <v>0</v>
      </c>
      <c r="J79" s="536">
        <f t="shared" si="15"/>
        <v>1</v>
      </c>
    </row>
    <row r="80" spans="1:10" s="69" customFormat="1" ht="11.25">
      <c r="A80" s="820" t="s">
        <v>178</v>
      </c>
      <c r="B80" s="821"/>
      <c r="C80" s="387">
        <v>14035</v>
      </c>
      <c r="D80" s="388">
        <v>79</v>
      </c>
      <c r="E80" s="199">
        <f t="shared" si="11"/>
        <v>14114</v>
      </c>
      <c r="F80" s="73">
        <v>8000</v>
      </c>
      <c r="G80" s="71">
        <v>80</v>
      </c>
      <c r="H80" s="207">
        <f t="shared" si="12"/>
        <v>8080</v>
      </c>
      <c r="I80" s="326">
        <f t="shared" si="13"/>
        <v>-6034</v>
      </c>
      <c r="J80" s="536">
        <f t="shared" si="15"/>
        <v>0.5724812243162817</v>
      </c>
    </row>
    <row r="81" spans="1:10" s="173" customFormat="1" ht="11.25">
      <c r="A81" s="822" t="s">
        <v>179</v>
      </c>
      <c r="B81" s="823"/>
      <c r="C81" s="386">
        <v>83</v>
      </c>
      <c r="D81" s="389">
        <v>63</v>
      </c>
      <c r="E81" s="200">
        <f t="shared" si="11"/>
        <v>146</v>
      </c>
      <c r="F81" s="174">
        <v>80</v>
      </c>
      <c r="G81" s="172">
        <v>60</v>
      </c>
      <c r="H81" s="208">
        <f t="shared" si="12"/>
        <v>140</v>
      </c>
      <c r="I81" s="327">
        <f t="shared" si="13"/>
        <v>-6</v>
      </c>
      <c r="J81" s="537">
        <f t="shared" si="15"/>
        <v>0.958904109589041</v>
      </c>
    </row>
    <row r="82" spans="1:10" s="173" customFormat="1" ht="11.25">
      <c r="A82" s="822" t="s">
        <v>180</v>
      </c>
      <c r="B82" s="823"/>
      <c r="C82" s="386">
        <v>0</v>
      </c>
      <c r="D82" s="389">
        <v>0</v>
      </c>
      <c r="E82" s="200">
        <f t="shared" si="11"/>
        <v>0</v>
      </c>
      <c r="F82" s="174">
        <v>0</v>
      </c>
      <c r="G82" s="172">
        <v>0</v>
      </c>
      <c r="H82" s="208">
        <f t="shared" si="12"/>
        <v>0</v>
      </c>
      <c r="I82" s="327">
        <f t="shared" si="13"/>
        <v>0</v>
      </c>
      <c r="J82" s="537"/>
    </row>
    <row r="83" spans="1:10" s="82" customFormat="1" ht="11.25" customHeight="1">
      <c r="A83" s="807" t="s">
        <v>181</v>
      </c>
      <c r="B83" s="808"/>
      <c r="C83" s="387">
        <v>29705</v>
      </c>
      <c r="D83" s="388">
        <v>78</v>
      </c>
      <c r="E83" s="199">
        <f t="shared" si="11"/>
        <v>29783</v>
      </c>
      <c r="F83" s="73">
        <v>34935.518</v>
      </c>
      <c r="G83" s="71">
        <v>0</v>
      </c>
      <c r="H83" s="207">
        <f t="shared" si="12"/>
        <v>34935.518</v>
      </c>
      <c r="I83" s="326">
        <f t="shared" si="13"/>
        <v>5152.517999999996</v>
      </c>
      <c r="J83" s="536">
        <f t="shared" si="15"/>
        <v>1.17300198099587</v>
      </c>
    </row>
    <row r="84" spans="1:10" s="69" customFormat="1" ht="11.25">
      <c r="A84" s="809" t="s">
        <v>182</v>
      </c>
      <c r="B84" s="810"/>
      <c r="C84" s="387">
        <v>29358</v>
      </c>
      <c r="D84" s="388">
        <v>78</v>
      </c>
      <c r="E84" s="199">
        <f t="shared" si="11"/>
        <v>29436</v>
      </c>
      <c r="F84" s="72">
        <v>34935.518</v>
      </c>
      <c r="G84" s="71">
        <v>0</v>
      </c>
      <c r="H84" s="207">
        <f t="shared" si="12"/>
        <v>34935.518</v>
      </c>
      <c r="I84" s="326">
        <f t="shared" si="13"/>
        <v>5499.517999999996</v>
      </c>
      <c r="J84" s="536">
        <f t="shared" si="15"/>
        <v>1.1868296643565701</v>
      </c>
    </row>
    <row r="85" spans="1:10" s="173" customFormat="1" ht="11.25">
      <c r="A85" s="811" t="s">
        <v>116</v>
      </c>
      <c r="B85" s="178" t="s">
        <v>183</v>
      </c>
      <c r="C85" s="386">
        <v>66</v>
      </c>
      <c r="D85" s="389"/>
      <c r="E85" s="200">
        <f t="shared" si="11"/>
        <v>66</v>
      </c>
      <c r="F85" s="174"/>
      <c r="G85" s="172"/>
      <c r="H85" s="208">
        <f t="shared" si="12"/>
        <v>0</v>
      </c>
      <c r="I85" s="327">
        <f t="shared" si="13"/>
        <v>-66</v>
      </c>
      <c r="J85" s="537">
        <f t="shared" si="15"/>
        <v>0</v>
      </c>
    </row>
    <row r="86" spans="1:10" s="173" customFormat="1" ht="11.25">
      <c r="A86" s="811"/>
      <c r="B86" s="178" t="s">
        <v>184</v>
      </c>
      <c r="C86" s="386">
        <v>29292</v>
      </c>
      <c r="D86" s="389">
        <v>78</v>
      </c>
      <c r="E86" s="200">
        <f t="shared" si="11"/>
        <v>29370</v>
      </c>
      <c r="F86" s="174"/>
      <c r="G86" s="172"/>
      <c r="H86" s="208">
        <f t="shared" si="12"/>
        <v>0</v>
      </c>
      <c r="I86" s="327">
        <f t="shared" si="13"/>
        <v>-29370</v>
      </c>
      <c r="J86" s="537">
        <f t="shared" si="15"/>
        <v>0</v>
      </c>
    </row>
    <row r="87" spans="1:10" s="82" customFormat="1" ht="11.25">
      <c r="A87" s="824" t="s">
        <v>185</v>
      </c>
      <c r="B87" s="825"/>
      <c r="C87" s="387">
        <v>421</v>
      </c>
      <c r="D87" s="388"/>
      <c r="E87" s="199">
        <f t="shared" si="11"/>
        <v>421</v>
      </c>
      <c r="F87" s="73">
        <v>420</v>
      </c>
      <c r="G87" s="81"/>
      <c r="H87" s="207">
        <f t="shared" si="12"/>
        <v>420</v>
      </c>
      <c r="I87" s="326">
        <f t="shared" si="13"/>
        <v>-1</v>
      </c>
      <c r="J87" s="536">
        <f t="shared" si="15"/>
        <v>0.997624703087886</v>
      </c>
    </row>
    <row r="88" spans="1:10" s="82" customFormat="1" ht="12" thickBot="1">
      <c r="A88" s="826" t="s">
        <v>186</v>
      </c>
      <c r="B88" s="827"/>
      <c r="C88" s="398"/>
      <c r="D88" s="399"/>
      <c r="E88" s="201">
        <f t="shared" si="11"/>
        <v>0</v>
      </c>
      <c r="F88" s="83"/>
      <c r="G88" s="84"/>
      <c r="H88" s="209">
        <f t="shared" si="12"/>
        <v>0</v>
      </c>
      <c r="I88" s="328">
        <f t="shared" si="13"/>
        <v>0</v>
      </c>
      <c r="J88" s="538"/>
    </row>
    <row r="89" spans="1:10" s="186" customFormat="1" ht="12" thickBot="1">
      <c r="A89" s="681" t="s">
        <v>26</v>
      </c>
      <c r="B89" s="682"/>
      <c r="C89" s="180">
        <f>SUM(C27,C55,C60,C61,C62,C73,C79,C80,C83,C87,C88)</f>
        <v>1045494.98018</v>
      </c>
      <c r="D89" s="181">
        <f>SUM(D27,D55,D60,D61,D62,D73,D79,D80,D83,D87,D88)</f>
        <v>81752.73021</v>
      </c>
      <c r="E89" s="182">
        <f t="shared" si="11"/>
        <v>1127247.71039</v>
      </c>
      <c r="F89" s="183">
        <f>SUM(F27,F55,F60,F61,F62,F73,F79,F80,F83,F87,F88)</f>
        <v>1055593.412404128</v>
      </c>
      <c r="G89" s="184">
        <f>SUM(G27,G55,G60,G61,G62,G73,G79,G80,G83,G87,G88)</f>
        <v>66082.105595872</v>
      </c>
      <c r="H89" s="185">
        <f t="shared" si="12"/>
        <v>1121675.518</v>
      </c>
      <c r="I89" s="187">
        <f t="shared" si="13"/>
        <v>-5572.192389999982</v>
      </c>
      <c r="J89" s="534">
        <f>+H89/E89</f>
        <v>0.9950568164045575</v>
      </c>
    </row>
    <row r="90" spans="1:11" s="186" customFormat="1" ht="12" thickBot="1">
      <c r="A90" s="683" t="s">
        <v>187</v>
      </c>
      <c r="B90" s="684"/>
      <c r="C90" s="188">
        <f>+C26-C89</f>
        <v>11843.520329999737</v>
      </c>
      <c r="D90" s="189">
        <f>+D26-D89</f>
        <v>15568.094880000004</v>
      </c>
      <c r="E90" s="190">
        <f>+E26-E89</f>
        <v>27411.615209999727</v>
      </c>
      <c r="F90" s="191">
        <f>+F26-F89</f>
        <v>-36901.52600792772</v>
      </c>
      <c r="G90" s="192">
        <f>+G26-G89</f>
        <v>14621.894404128005</v>
      </c>
      <c r="H90" s="193">
        <f t="shared" si="12"/>
        <v>-22279.631603799717</v>
      </c>
      <c r="I90" s="191">
        <f t="shared" si="13"/>
        <v>-49691.246813799444</v>
      </c>
      <c r="J90" s="539">
        <f>+H90/E90</f>
        <v>-0.8127806928966422</v>
      </c>
      <c r="K90" s="344"/>
    </row>
    <row r="91" spans="1:14" ht="15.75" customHeight="1" thickBot="1">
      <c r="A91"/>
      <c r="B91"/>
      <c r="C91"/>
      <c r="D91"/>
      <c r="E91"/>
      <c r="F91"/>
      <c r="G91"/>
      <c r="H91"/>
      <c r="I91"/>
      <c r="J91" s="87"/>
      <c r="K91"/>
      <c r="L91"/>
      <c r="M91"/>
      <c r="N91"/>
    </row>
    <row r="92" spans="1:10" s="107" customFormat="1" ht="12.75" customHeight="1">
      <c r="A92" s="732" t="s">
        <v>377</v>
      </c>
      <c r="B92" s="733"/>
      <c r="C92" s="747" t="s">
        <v>191</v>
      </c>
      <c r="D92" s="160" t="s">
        <v>45</v>
      </c>
      <c r="E92" s="106" t="s">
        <v>46</v>
      </c>
      <c r="G92" s="570" t="s">
        <v>14</v>
      </c>
      <c r="H92" s="570" t="s">
        <v>191</v>
      </c>
      <c r="I92" s="578" t="s">
        <v>0</v>
      </c>
      <c r="J92" s="580" t="s">
        <v>1</v>
      </c>
    </row>
    <row r="93" spans="1:10" s="107" customFormat="1" ht="12" thickBot="1">
      <c r="A93" s="734"/>
      <c r="B93" s="735"/>
      <c r="C93" s="748"/>
      <c r="D93" s="161" t="s">
        <v>192</v>
      </c>
      <c r="E93" s="108" t="s">
        <v>297</v>
      </c>
      <c r="G93" s="571"/>
      <c r="H93" s="571"/>
      <c r="I93" s="579"/>
      <c r="J93" s="581"/>
    </row>
    <row r="94" spans="1:10" s="93" customFormat="1" ht="11.25" customHeight="1">
      <c r="A94" s="673" t="s">
        <v>47</v>
      </c>
      <c r="B94" s="674"/>
      <c r="C94" s="307" t="s">
        <v>48</v>
      </c>
      <c r="D94" s="400">
        <v>1374000</v>
      </c>
      <c r="E94" s="229">
        <v>1305000</v>
      </c>
      <c r="F94" s="228"/>
      <c r="G94" s="331" t="s">
        <v>266</v>
      </c>
      <c r="H94" s="332"/>
      <c r="I94" s="400"/>
      <c r="J94" s="333">
        <v>36090633</v>
      </c>
    </row>
    <row r="95" spans="1:10" s="93" customFormat="1" ht="11.25" customHeight="1">
      <c r="A95" s="671" t="s">
        <v>49</v>
      </c>
      <c r="B95" s="672"/>
      <c r="C95" s="308">
        <v>51</v>
      </c>
      <c r="D95" s="400"/>
      <c r="E95" s="92"/>
      <c r="G95" s="315" t="s">
        <v>260</v>
      </c>
      <c r="H95" s="319" t="s">
        <v>48</v>
      </c>
      <c r="I95" s="400">
        <v>999710</v>
      </c>
      <c r="J95" s="94"/>
    </row>
    <row r="96" spans="1:10" s="93" customFormat="1" ht="11.25" customHeight="1">
      <c r="A96" s="671" t="s">
        <v>50</v>
      </c>
      <c r="B96" s="672"/>
      <c r="C96" s="308">
        <v>52</v>
      </c>
      <c r="D96" s="400">
        <v>86088</v>
      </c>
      <c r="E96" s="92"/>
      <c r="G96" s="315" t="s">
        <v>49</v>
      </c>
      <c r="H96" s="319">
        <v>51</v>
      </c>
      <c r="I96" s="400">
        <v>240000</v>
      </c>
      <c r="J96" s="94">
        <v>8900000</v>
      </c>
    </row>
    <row r="97" spans="1:10" s="93" customFormat="1" ht="11.25" customHeight="1">
      <c r="A97" s="671" t="s">
        <v>291</v>
      </c>
      <c r="B97" s="672"/>
      <c r="C97" s="308">
        <v>55</v>
      </c>
      <c r="D97" s="400">
        <v>28803</v>
      </c>
      <c r="E97" s="92"/>
      <c r="G97" s="315" t="s">
        <v>267</v>
      </c>
      <c r="H97" s="319">
        <v>52</v>
      </c>
      <c r="I97" s="400">
        <v>474416</v>
      </c>
      <c r="J97" s="95"/>
    </row>
    <row r="98" spans="1:10" s="93" customFormat="1" ht="11.25" customHeight="1">
      <c r="A98" s="671" t="s">
        <v>51</v>
      </c>
      <c r="B98" s="672"/>
      <c r="C98" s="308">
        <v>57</v>
      </c>
      <c r="D98" s="400"/>
      <c r="E98" s="92"/>
      <c r="G98" s="315" t="s">
        <v>262</v>
      </c>
      <c r="H98" s="319">
        <v>54</v>
      </c>
      <c r="I98" s="400"/>
      <c r="J98" s="94"/>
    </row>
    <row r="99" spans="1:10" s="93" customFormat="1" ht="11.25" customHeight="1">
      <c r="A99" s="671" t="s">
        <v>39</v>
      </c>
      <c r="B99" s="672"/>
      <c r="C99" s="308">
        <v>58</v>
      </c>
      <c r="D99" s="401">
        <v>4000000</v>
      </c>
      <c r="E99" s="94">
        <v>4000000</v>
      </c>
      <c r="G99" s="315" t="s">
        <v>261</v>
      </c>
      <c r="H99" s="319">
        <v>55</v>
      </c>
      <c r="I99" s="401"/>
      <c r="J99" s="94"/>
    </row>
    <row r="100" spans="1:10" s="93" customFormat="1" ht="11.25" customHeight="1">
      <c r="A100" s="675" t="s">
        <v>193</v>
      </c>
      <c r="B100" s="676"/>
      <c r="C100" s="309">
        <v>501</v>
      </c>
      <c r="D100" s="401">
        <v>299506</v>
      </c>
      <c r="E100" s="95"/>
      <c r="G100" s="315" t="s">
        <v>198</v>
      </c>
      <c r="H100" s="309">
        <v>166</v>
      </c>
      <c r="I100" s="401">
        <v>600000</v>
      </c>
      <c r="J100" s="94"/>
    </row>
    <row r="101" spans="1:10" s="93" customFormat="1" ht="11.25" customHeight="1">
      <c r="A101" s="675" t="s">
        <v>194</v>
      </c>
      <c r="B101" s="676"/>
      <c r="C101" s="309">
        <v>35015</v>
      </c>
      <c r="D101" s="401">
        <v>1012217</v>
      </c>
      <c r="E101" s="94">
        <v>2150558</v>
      </c>
      <c r="G101" s="316" t="s">
        <v>282</v>
      </c>
      <c r="H101" s="336"/>
      <c r="I101" s="401">
        <v>12500000</v>
      </c>
      <c r="J101" s="94"/>
    </row>
    <row r="102" spans="1:10" s="93" customFormat="1" ht="11.25" customHeight="1">
      <c r="A102" s="675" t="s">
        <v>195</v>
      </c>
      <c r="B102" s="676"/>
      <c r="C102" s="309">
        <v>35442</v>
      </c>
      <c r="D102" s="401"/>
      <c r="E102" s="94"/>
      <c r="G102" s="316" t="s">
        <v>16</v>
      </c>
      <c r="H102" s="336"/>
      <c r="I102" s="401">
        <v>8940000</v>
      </c>
      <c r="J102" s="94"/>
    </row>
    <row r="103" spans="1:10" s="93" customFormat="1" ht="11.25" customHeight="1">
      <c r="A103" s="671" t="s">
        <v>69</v>
      </c>
      <c r="B103" s="672"/>
      <c r="C103" s="310" t="s">
        <v>196</v>
      </c>
      <c r="D103" s="401"/>
      <c r="E103" s="94"/>
      <c r="G103" s="316" t="s">
        <v>283</v>
      </c>
      <c r="H103" s="310"/>
      <c r="I103" s="401">
        <v>1380630</v>
      </c>
      <c r="J103" s="94"/>
    </row>
    <row r="104" spans="1:10" s="93" customFormat="1" ht="11.25" customHeight="1">
      <c r="A104" s="671" t="s">
        <v>197</v>
      </c>
      <c r="B104" s="672"/>
      <c r="C104" s="310" t="s">
        <v>48</v>
      </c>
      <c r="D104" s="402">
        <v>76700</v>
      </c>
      <c r="E104" s="94"/>
      <c r="G104" s="316" t="s">
        <v>286</v>
      </c>
      <c r="H104" s="310"/>
      <c r="I104" s="404">
        <f>273000+406904</f>
        <v>679904</v>
      </c>
      <c r="J104" s="94"/>
    </row>
    <row r="105" spans="1:10" s="93" customFormat="1" ht="11.25" customHeight="1">
      <c r="A105" s="671" t="s">
        <v>198</v>
      </c>
      <c r="B105" s="672"/>
      <c r="C105" s="310" t="s">
        <v>199</v>
      </c>
      <c r="D105" s="402"/>
      <c r="E105" s="94"/>
      <c r="G105" s="316" t="s">
        <v>330</v>
      </c>
      <c r="H105" s="310"/>
      <c r="I105" s="445">
        <v>197704738</v>
      </c>
      <c r="J105" s="94"/>
    </row>
    <row r="106" spans="1:10" s="93" customFormat="1" ht="11.25" customHeight="1">
      <c r="A106" s="671" t="s">
        <v>200</v>
      </c>
      <c r="B106" s="672"/>
      <c r="C106" s="310" t="s">
        <v>48</v>
      </c>
      <c r="D106" s="402">
        <v>95000</v>
      </c>
      <c r="E106" s="94"/>
      <c r="F106" s="228"/>
      <c r="G106" s="316" t="s">
        <v>331</v>
      </c>
      <c r="H106" s="310"/>
      <c r="I106" s="312"/>
      <c r="J106" s="94">
        <v>700000</v>
      </c>
    </row>
    <row r="107" spans="1:10" s="93" customFormat="1" ht="11.25" customHeight="1">
      <c r="A107" s="671" t="s">
        <v>100</v>
      </c>
      <c r="B107" s="672"/>
      <c r="C107" s="310" t="s">
        <v>48</v>
      </c>
      <c r="D107" s="401"/>
      <c r="E107" s="94"/>
      <c r="G107" s="316" t="s">
        <v>381</v>
      </c>
      <c r="H107" s="310"/>
      <c r="I107" s="312"/>
      <c r="J107" s="94">
        <v>50641300</v>
      </c>
    </row>
    <row r="108" spans="1:10" s="93" customFormat="1" ht="11.25" customHeight="1">
      <c r="A108" s="671" t="s">
        <v>201</v>
      </c>
      <c r="B108" s="672"/>
      <c r="C108" s="310" t="s">
        <v>202</v>
      </c>
      <c r="D108" s="401"/>
      <c r="E108" s="94"/>
      <c r="G108" s="316" t="s">
        <v>463</v>
      </c>
      <c r="H108" s="310" t="s">
        <v>464</v>
      </c>
      <c r="I108" s="312"/>
      <c r="J108" s="94">
        <v>116640</v>
      </c>
    </row>
    <row r="109" spans="1:10" s="93" customFormat="1" ht="11.25" customHeight="1">
      <c r="A109" s="671" t="s">
        <v>329</v>
      </c>
      <c r="B109" s="672"/>
      <c r="C109" s="310" t="s">
        <v>48</v>
      </c>
      <c r="D109" s="401">
        <v>119300</v>
      </c>
      <c r="E109" s="94"/>
      <c r="G109" s="316"/>
      <c r="H109" s="310"/>
      <c r="I109" s="312"/>
      <c r="J109" s="94"/>
    </row>
    <row r="110" spans="1:10" s="93" customFormat="1" ht="11.25" customHeight="1">
      <c r="A110" s="671" t="s">
        <v>15</v>
      </c>
      <c r="B110" s="672"/>
      <c r="C110" s="310"/>
      <c r="D110" s="403">
        <v>33049000</v>
      </c>
      <c r="E110" s="94"/>
      <c r="G110" s="316"/>
      <c r="H110" s="316"/>
      <c r="I110" s="312"/>
      <c r="J110" s="94"/>
    </row>
    <row r="111" spans="1:10" s="93" customFormat="1" ht="11.25" customHeight="1">
      <c r="A111" s="671" t="s">
        <v>382</v>
      </c>
      <c r="B111" s="672"/>
      <c r="C111" s="310"/>
      <c r="D111" s="403"/>
      <c r="E111" s="95">
        <v>241230</v>
      </c>
      <c r="G111" s="316"/>
      <c r="H111" s="316"/>
      <c r="I111" s="312"/>
      <c r="J111" s="94"/>
    </row>
    <row r="112" spans="1:10" s="93" customFormat="1" ht="11.25" customHeight="1">
      <c r="A112" s="671" t="s">
        <v>469</v>
      </c>
      <c r="B112" s="672"/>
      <c r="C112" s="310" t="s">
        <v>468</v>
      </c>
      <c r="D112" s="306"/>
      <c r="E112" s="95">
        <v>663000</v>
      </c>
      <c r="G112" s="316"/>
      <c r="H112" s="316"/>
      <c r="I112" s="312"/>
      <c r="J112" s="94"/>
    </row>
    <row r="113" spans="1:10" s="93" customFormat="1" ht="11.25" customHeight="1" thickBot="1">
      <c r="A113" s="757"/>
      <c r="B113" s="758"/>
      <c r="C113" s="310"/>
      <c r="D113" s="306"/>
      <c r="E113" s="95"/>
      <c r="G113" s="317"/>
      <c r="H113" s="317"/>
      <c r="I113" s="313"/>
      <c r="J113" s="303"/>
    </row>
    <row r="114" spans="1:10" s="211" customFormat="1" ht="11.25" customHeight="1" thickBot="1">
      <c r="A114" s="780" t="s">
        <v>21</v>
      </c>
      <c r="B114" s="781"/>
      <c r="C114" s="311"/>
      <c r="D114" s="334">
        <f>SUM(D94:D113)</f>
        <v>40140614</v>
      </c>
      <c r="E114" s="210">
        <f>SUM(E94:E113)</f>
        <v>8359788</v>
      </c>
      <c r="G114" s="318" t="s">
        <v>21</v>
      </c>
      <c r="H114" s="318"/>
      <c r="I114" s="446">
        <f>SUM(I94:I113)</f>
        <v>223519398</v>
      </c>
      <c r="J114" s="304">
        <f>SUM(J94:J113)</f>
        <v>96448573</v>
      </c>
    </row>
    <row r="115" ht="4.5" customHeight="1"/>
    <row r="116" spans="1:14" ht="7.5" customHeight="1">
      <c r="A116"/>
      <c r="B116"/>
      <c r="C116"/>
      <c r="D116"/>
      <c r="E116"/>
      <c r="F116"/>
      <c r="G116"/>
      <c r="H116"/>
      <c r="I116"/>
      <c r="L116"/>
      <c r="M116"/>
      <c r="N116"/>
    </row>
    <row r="117" spans="1:14" ht="18.75" customHeight="1" thickBot="1">
      <c r="A117" s="2" t="s">
        <v>31</v>
      </c>
      <c r="B117" s="1"/>
      <c r="C117" s="1"/>
      <c r="D117"/>
      <c r="E117"/>
      <c r="F117"/>
      <c r="G117"/>
      <c r="H117"/>
      <c r="I117"/>
      <c r="L117"/>
      <c r="M117"/>
      <c r="N117"/>
    </row>
    <row r="118" spans="1:10" s="6" customFormat="1" ht="11.25" customHeight="1" thickBot="1">
      <c r="A118" s="544" t="s">
        <v>13</v>
      </c>
      <c r="B118" s="755"/>
      <c r="C118" s="756"/>
      <c r="J118" s="88"/>
    </row>
    <row r="119" spans="1:10" s="54" customFormat="1" ht="11.25" customHeight="1">
      <c r="A119" s="665" t="s">
        <v>29</v>
      </c>
      <c r="B119" s="666"/>
      <c r="C119" s="447">
        <f>E114/1000-E111/1000-E101/1000+919.91</f>
        <v>6887.910000000001</v>
      </c>
      <c r="J119" s="96"/>
    </row>
    <row r="120" spans="1:10" s="54" customFormat="1" ht="11.25" customHeight="1">
      <c r="A120" s="663" t="s">
        <v>473</v>
      </c>
      <c r="B120" s="664"/>
      <c r="C120" s="448">
        <f>I173/1000+J96/1000</f>
        <v>9716.64</v>
      </c>
      <c r="J120" s="96"/>
    </row>
    <row r="121" spans="1:10" s="54" customFormat="1" ht="11.25" customHeight="1" thickBot="1">
      <c r="A121" s="576" t="s">
        <v>30</v>
      </c>
      <c r="B121" s="577"/>
      <c r="C121" s="449">
        <f>F75</f>
        <v>376156</v>
      </c>
      <c r="J121" s="96"/>
    </row>
    <row r="122" spans="1:14" ht="5.25" customHeight="1">
      <c r="A122" s="14"/>
      <c r="B122" s="21"/>
      <c r="C122" s="10"/>
      <c r="D122"/>
      <c r="E122"/>
      <c r="F122"/>
      <c r="G122"/>
      <c r="H122"/>
      <c r="I122"/>
      <c r="J122" s="87"/>
      <c r="K122"/>
      <c r="L122"/>
      <c r="M122"/>
      <c r="N122"/>
    </row>
    <row r="123" spans="1:14" ht="18.75" customHeight="1" thickBot="1">
      <c r="A123" s="2" t="s">
        <v>378</v>
      </c>
      <c r="B123"/>
      <c r="C123"/>
      <c r="D123"/>
      <c r="E123"/>
      <c r="F123"/>
      <c r="G123"/>
      <c r="H123"/>
      <c r="I123"/>
      <c r="J123" s="87"/>
      <c r="K123"/>
      <c r="L123"/>
      <c r="M123"/>
      <c r="N123"/>
    </row>
    <row r="124" spans="1:11" s="115" customFormat="1" ht="22.5" customHeight="1">
      <c r="A124" s="667" t="s">
        <v>38</v>
      </c>
      <c r="B124" s="668"/>
      <c r="C124" s="656" t="s">
        <v>53</v>
      </c>
      <c r="D124" s="656" t="s">
        <v>204</v>
      </c>
      <c r="E124" s="656" t="s">
        <v>205</v>
      </c>
      <c r="F124" s="112" t="s">
        <v>54</v>
      </c>
      <c r="G124" s="113" t="s">
        <v>55</v>
      </c>
      <c r="H124" s="660" t="s">
        <v>206</v>
      </c>
      <c r="I124" s="662" t="s">
        <v>56</v>
      </c>
      <c r="J124" s="656" t="s">
        <v>28</v>
      </c>
      <c r="K124" s="114"/>
    </row>
    <row r="125" spans="1:11" s="115" customFormat="1" ht="11.25" customHeight="1" thickBot="1">
      <c r="A125" s="669"/>
      <c r="B125" s="670"/>
      <c r="C125" s="657"/>
      <c r="D125" s="658"/>
      <c r="E125" s="659"/>
      <c r="F125" s="116" t="s">
        <v>207</v>
      </c>
      <c r="G125" s="117" t="s">
        <v>208</v>
      </c>
      <c r="H125" s="661"/>
      <c r="I125" s="581"/>
      <c r="J125" s="657"/>
      <c r="K125" s="114"/>
    </row>
    <row r="126" spans="1:11" s="90" customFormat="1" ht="11.25" customHeight="1">
      <c r="A126" s="568" t="s">
        <v>284</v>
      </c>
      <c r="B126" s="569"/>
      <c r="C126" s="457">
        <v>1380630</v>
      </c>
      <c r="D126" s="19"/>
      <c r="E126" s="19"/>
      <c r="F126" s="15"/>
      <c r="G126" s="16"/>
      <c r="H126" s="97"/>
      <c r="I126" s="20">
        <f>SUM(F126:H126)</f>
        <v>0</v>
      </c>
      <c r="J126" s="98">
        <f>SUM(C126:E126,I126)</f>
        <v>1380630</v>
      </c>
      <c r="K126" s="99"/>
    </row>
    <row r="127" spans="1:11" s="90" customFormat="1" ht="11.25" customHeight="1">
      <c r="A127" s="574" t="s">
        <v>332</v>
      </c>
      <c r="B127" s="575"/>
      <c r="C127" s="18"/>
      <c r="D127" s="19">
        <v>2000000</v>
      </c>
      <c r="E127" s="19"/>
      <c r="F127" s="15"/>
      <c r="G127" s="16"/>
      <c r="H127" s="97"/>
      <c r="I127" s="20">
        <f>SUM(F127:H127)</f>
        <v>0</v>
      </c>
      <c r="J127" s="98">
        <f>SUM(C127:E127,I127)</f>
        <v>2000000</v>
      </c>
      <c r="K127" s="99"/>
    </row>
    <row r="128" spans="1:11" s="90" customFormat="1" ht="11.25" customHeight="1">
      <c r="A128" s="414"/>
      <c r="B128" s="415"/>
      <c r="C128" s="18"/>
      <c r="D128" s="19"/>
      <c r="E128" s="19"/>
      <c r="F128" s="15"/>
      <c r="G128" s="16"/>
      <c r="H128" s="97"/>
      <c r="I128" s="20">
        <f>SUM(F128:H128)</f>
        <v>0</v>
      </c>
      <c r="J128" s="98">
        <f>SUM(C128:E128,I128)</f>
        <v>0</v>
      </c>
      <c r="K128" s="99"/>
    </row>
    <row r="129" spans="1:11" s="90" customFormat="1" ht="11.25" customHeight="1">
      <c r="A129" s="414"/>
      <c r="B129" s="415"/>
      <c r="C129" s="18"/>
      <c r="D129" s="19"/>
      <c r="E129" s="19"/>
      <c r="F129" s="15"/>
      <c r="G129" s="16"/>
      <c r="H129" s="97"/>
      <c r="I129" s="20">
        <f>SUM(F129:H129)</f>
        <v>0</v>
      </c>
      <c r="J129" s="98">
        <f>SUM(C129:E129,I129)</f>
        <v>0</v>
      </c>
      <c r="K129" s="99"/>
    </row>
    <row r="130" spans="1:11" s="103" customFormat="1" ht="11.25" customHeight="1" thickBot="1">
      <c r="A130" s="759" t="s">
        <v>105</v>
      </c>
      <c r="B130" s="760"/>
      <c r="C130" s="56">
        <f aca="true" t="shared" si="16" ref="C130:J130">SUM(C126:C129)</f>
        <v>1380630</v>
      </c>
      <c r="D130" s="56">
        <f t="shared" si="16"/>
        <v>2000000</v>
      </c>
      <c r="E130" s="56">
        <f t="shared" si="16"/>
        <v>0</v>
      </c>
      <c r="F130" s="57">
        <f t="shared" si="16"/>
        <v>0</v>
      </c>
      <c r="G130" s="58">
        <f t="shared" si="16"/>
        <v>0</v>
      </c>
      <c r="H130" s="58">
        <f t="shared" si="16"/>
        <v>0</v>
      </c>
      <c r="I130" s="59">
        <f t="shared" si="16"/>
        <v>0</v>
      </c>
      <c r="J130" s="56">
        <f t="shared" si="16"/>
        <v>3380630</v>
      </c>
      <c r="K130" s="102"/>
    </row>
    <row r="131" spans="1:11" s="90" customFormat="1" ht="13.5" thickBot="1">
      <c r="A131" s="405"/>
      <c r="B131" s="405"/>
      <c r="C131" s="405"/>
      <c r="D131" s="405"/>
      <c r="E131" s="405"/>
      <c r="F131" s="405"/>
      <c r="G131" s="405"/>
      <c r="H131" s="405"/>
      <c r="I131" s="405"/>
      <c r="J131" s="405"/>
      <c r="K131" s="99"/>
    </row>
    <row r="132" spans="1:11" s="119" customFormat="1" ht="22.5" customHeight="1">
      <c r="A132" s="667" t="s">
        <v>209</v>
      </c>
      <c r="B132" s="668"/>
      <c r="C132" s="656" t="s">
        <v>53</v>
      </c>
      <c r="D132" s="656" t="s">
        <v>204</v>
      </c>
      <c r="E132" s="656" t="s">
        <v>205</v>
      </c>
      <c r="F132" s="112" t="s">
        <v>54</v>
      </c>
      <c r="G132" s="113" t="s">
        <v>55</v>
      </c>
      <c r="H132" s="660" t="s">
        <v>206</v>
      </c>
      <c r="I132" s="662" t="s">
        <v>56</v>
      </c>
      <c r="J132" s="656" t="s">
        <v>28</v>
      </c>
      <c r="K132" s="118"/>
    </row>
    <row r="133" spans="1:11" s="119" customFormat="1" ht="11.25" customHeight="1" thickBot="1">
      <c r="A133" s="669"/>
      <c r="B133" s="670"/>
      <c r="C133" s="657"/>
      <c r="D133" s="658"/>
      <c r="E133" s="659"/>
      <c r="F133" s="116" t="s">
        <v>207</v>
      </c>
      <c r="G133" s="117" t="s">
        <v>208</v>
      </c>
      <c r="H133" s="661"/>
      <c r="I133" s="581"/>
      <c r="J133" s="657"/>
      <c r="K133" s="118"/>
    </row>
    <row r="134" spans="1:11" s="343" customFormat="1" ht="11.25" customHeight="1">
      <c r="A134" s="519" t="s">
        <v>272</v>
      </c>
      <c r="B134" s="520"/>
      <c r="C134" s="457">
        <v>491000</v>
      </c>
      <c r="D134" s="19"/>
      <c r="E134" s="19"/>
      <c r="F134" s="15"/>
      <c r="G134" s="55"/>
      <c r="H134" s="97"/>
      <c r="I134" s="20">
        <f>SUM(F134:H134)</f>
        <v>0</v>
      </c>
      <c r="J134" s="98">
        <f>SUM(C134:E134,I134)</f>
        <v>491000</v>
      </c>
      <c r="K134" s="342"/>
    </row>
    <row r="135" spans="1:11" s="343" customFormat="1" ht="11.25" customHeight="1">
      <c r="A135" s="521" t="s">
        <v>273</v>
      </c>
      <c r="B135" s="522"/>
      <c r="C135" s="18">
        <v>120000</v>
      </c>
      <c r="D135" s="19"/>
      <c r="E135" s="451"/>
      <c r="F135" s="15"/>
      <c r="G135" s="55"/>
      <c r="H135" s="97"/>
      <c r="I135" s="20">
        <f aca="true" t="shared" si="17" ref="I135:I156">SUM(F135:H135)</f>
        <v>0</v>
      </c>
      <c r="J135" s="98">
        <f aca="true" t="shared" si="18" ref="J135:J156">SUM(C135:E135,I135)</f>
        <v>120000</v>
      </c>
      <c r="K135" s="342"/>
    </row>
    <row r="136" spans="1:11" s="343" customFormat="1" ht="11.25" customHeight="1">
      <c r="A136" s="523" t="s">
        <v>274</v>
      </c>
      <c r="B136" s="524"/>
      <c r="C136" s="458">
        <f>75184+374816</f>
        <v>450000</v>
      </c>
      <c r="D136" s="19"/>
      <c r="E136" s="451"/>
      <c r="F136" s="15"/>
      <c r="G136" s="16"/>
      <c r="H136" s="97"/>
      <c r="I136" s="20">
        <f t="shared" si="17"/>
        <v>0</v>
      </c>
      <c r="J136" s="98">
        <f t="shared" si="18"/>
        <v>450000</v>
      </c>
      <c r="K136" s="342"/>
    </row>
    <row r="137" spans="1:11" s="343" customFormat="1" ht="11.25" customHeight="1">
      <c r="A137" s="521" t="s">
        <v>275</v>
      </c>
      <c r="B137" s="522"/>
      <c r="C137" s="18">
        <v>200000</v>
      </c>
      <c r="D137" s="19"/>
      <c r="E137" s="451"/>
      <c r="F137" s="15"/>
      <c r="G137" s="16"/>
      <c r="H137" s="97"/>
      <c r="I137" s="20">
        <f t="shared" si="17"/>
        <v>0</v>
      </c>
      <c r="J137" s="98">
        <f t="shared" si="18"/>
        <v>200000</v>
      </c>
      <c r="K137" s="342"/>
    </row>
    <row r="138" spans="1:11" s="343" customFormat="1" ht="11.25" customHeight="1">
      <c r="A138" s="521" t="s">
        <v>277</v>
      </c>
      <c r="B138" s="522"/>
      <c r="C138" s="18">
        <v>200000</v>
      </c>
      <c r="D138" s="19"/>
      <c r="E138" s="451"/>
      <c r="F138" s="15"/>
      <c r="G138" s="16"/>
      <c r="H138" s="97"/>
      <c r="I138" s="20">
        <f t="shared" si="17"/>
        <v>0</v>
      </c>
      <c r="J138" s="98">
        <f t="shared" si="18"/>
        <v>200000</v>
      </c>
      <c r="K138" s="342"/>
    </row>
    <row r="139" spans="1:11" s="343" customFormat="1" ht="11.25" customHeight="1">
      <c r="A139" s="521" t="s">
        <v>278</v>
      </c>
      <c r="B139" s="522"/>
      <c r="C139" s="458">
        <v>800000</v>
      </c>
      <c r="D139" s="19"/>
      <c r="E139" s="451"/>
      <c r="F139" s="15"/>
      <c r="G139" s="16"/>
      <c r="H139" s="97"/>
      <c r="I139" s="20">
        <f t="shared" si="17"/>
        <v>0</v>
      </c>
      <c r="J139" s="98">
        <f t="shared" si="18"/>
        <v>800000</v>
      </c>
      <c r="K139" s="342"/>
    </row>
    <row r="140" spans="1:11" s="343" customFormat="1" ht="11.25" customHeight="1">
      <c r="A140" s="523" t="s">
        <v>279</v>
      </c>
      <c r="B140" s="524"/>
      <c r="C140" s="18">
        <f>6400000+7600000</f>
        <v>14000000</v>
      </c>
      <c r="D140" s="19"/>
      <c r="E140" s="451"/>
      <c r="F140" s="15"/>
      <c r="G140" s="16"/>
      <c r="H140" s="97"/>
      <c r="I140" s="20">
        <f t="shared" si="17"/>
        <v>0</v>
      </c>
      <c r="J140" s="98">
        <f t="shared" si="18"/>
        <v>14000000</v>
      </c>
      <c r="K140" s="342"/>
    </row>
    <row r="141" spans="1:11" s="343" customFormat="1" ht="11.25" customHeight="1">
      <c r="A141" s="521" t="s">
        <v>280</v>
      </c>
      <c r="B141" s="522"/>
      <c r="C141" s="18">
        <v>2000000</v>
      </c>
      <c r="D141" s="19"/>
      <c r="E141" s="451"/>
      <c r="F141" s="15"/>
      <c r="G141" s="16"/>
      <c r="H141" s="97"/>
      <c r="I141" s="20">
        <f t="shared" si="17"/>
        <v>0</v>
      </c>
      <c r="J141" s="98">
        <f t="shared" si="18"/>
        <v>2000000</v>
      </c>
      <c r="K141" s="342"/>
    </row>
    <row r="142" spans="1:11" s="343" customFormat="1" ht="11.25" customHeight="1">
      <c r="A142" s="523" t="s">
        <v>281</v>
      </c>
      <c r="B142" s="524"/>
      <c r="C142" s="18">
        <f>124149+31200</f>
        <v>155349</v>
      </c>
      <c r="D142" s="19"/>
      <c r="E142" s="451"/>
      <c r="F142" s="15"/>
      <c r="G142" s="16"/>
      <c r="H142" s="97"/>
      <c r="I142" s="20">
        <f t="shared" si="17"/>
        <v>0</v>
      </c>
      <c r="J142" s="98">
        <f t="shared" si="18"/>
        <v>155349</v>
      </c>
      <c r="K142" s="342"/>
    </row>
    <row r="143" spans="1:11" s="343" customFormat="1" ht="11.25" customHeight="1">
      <c r="A143" s="521" t="s">
        <v>333</v>
      </c>
      <c r="B143" s="522"/>
      <c r="C143" s="458">
        <v>8940000</v>
      </c>
      <c r="D143" s="19">
        <v>22085300</v>
      </c>
      <c r="E143" s="451"/>
      <c r="F143" s="15"/>
      <c r="G143" s="16"/>
      <c r="H143" s="450"/>
      <c r="I143" s="20">
        <f t="shared" si="17"/>
        <v>0</v>
      </c>
      <c r="J143" s="98">
        <f t="shared" si="18"/>
        <v>31025300</v>
      </c>
      <c r="K143" s="342"/>
    </row>
    <row r="144" spans="1:11" s="343" customFormat="1" ht="11.25" customHeight="1">
      <c r="A144" s="525" t="s">
        <v>334</v>
      </c>
      <c r="B144" s="526"/>
      <c r="C144" s="18"/>
      <c r="D144" s="19">
        <v>17362000</v>
      </c>
      <c r="E144" s="451"/>
      <c r="F144" s="15"/>
      <c r="G144" s="16"/>
      <c r="H144" s="97"/>
      <c r="I144" s="20">
        <f t="shared" si="17"/>
        <v>0</v>
      </c>
      <c r="J144" s="98">
        <f t="shared" si="18"/>
        <v>17362000</v>
      </c>
      <c r="K144" s="342"/>
    </row>
    <row r="145" spans="1:11" s="343" customFormat="1" ht="22.5" customHeight="1">
      <c r="A145" s="765" t="s">
        <v>335</v>
      </c>
      <c r="B145" s="766"/>
      <c r="C145" s="18"/>
      <c r="D145" s="19">
        <v>11194000</v>
      </c>
      <c r="E145" s="451"/>
      <c r="F145" s="15"/>
      <c r="G145" s="16"/>
      <c r="H145" s="97"/>
      <c r="I145" s="20">
        <f t="shared" si="17"/>
        <v>0</v>
      </c>
      <c r="J145" s="98">
        <f t="shared" si="18"/>
        <v>11194000</v>
      </c>
      <c r="K145" s="342"/>
    </row>
    <row r="146" spans="1:11" s="343" customFormat="1" ht="11.25" customHeight="1">
      <c r="A146" s="521" t="s">
        <v>276</v>
      </c>
      <c r="B146" s="522"/>
      <c r="C146" s="18">
        <v>355214</v>
      </c>
      <c r="D146" s="19"/>
      <c r="E146" s="451"/>
      <c r="F146" s="15"/>
      <c r="G146" s="16"/>
      <c r="H146" s="97"/>
      <c r="I146" s="20">
        <f t="shared" si="17"/>
        <v>0</v>
      </c>
      <c r="J146" s="98">
        <f t="shared" si="18"/>
        <v>355214</v>
      </c>
      <c r="K146" s="342"/>
    </row>
    <row r="147" spans="1:11" s="343" customFormat="1" ht="11.25" customHeight="1">
      <c r="A147" s="521" t="s">
        <v>379</v>
      </c>
      <c r="B147" s="522"/>
      <c r="C147" s="18">
        <v>70400</v>
      </c>
      <c r="D147" s="19"/>
      <c r="E147" s="451"/>
      <c r="F147" s="15"/>
      <c r="G147" s="16"/>
      <c r="H147" s="97"/>
      <c r="I147" s="20">
        <f t="shared" si="17"/>
        <v>0</v>
      </c>
      <c r="J147" s="98">
        <f t="shared" si="18"/>
        <v>70400</v>
      </c>
      <c r="K147" s="342"/>
    </row>
    <row r="148" spans="1:11" s="343" customFormat="1" ht="11.25" customHeight="1">
      <c r="A148" s="521" t="s">
        <v>380</v>
      </c>
      <c r="B148" s="522"/>
      <c r="C148" s="18">
        <v>99000</v>
      </c>
      <c r="D148" s="19"/>
      <c r="E148" s="451"/>
      <c r="F148" s="15"/>
      <c r="G148" s="16"/>
      <c r="H148" s="97"/>
      <c r="I148" s="20"/>
      <c r="J148" s="98">
        <f t="shared" si="18"/>
        <v>99000</v>
      </c>
      <c r="K148" s="342"/>
    </row>
    <row r="149" spans="1:11" s="343" customFormat="1" ht="11.25" customHeight="1">
      <c r="A149" s="521" t="s">
        <v>336</v>
      </c>
      <c r="B149" s="522"/>
      <c r="C149" s="18">
        <v>450000</v>
      </c>
      <c r="D149" s="19"/>
      <c r="E149" s="451"/>
      <c r="F149" s="15"/>
      <c r="G149" s="16"/>
      <c r="H149" s="97"/>
      <c r="I149" s="20"/>
      <c r="J149" s="98">
        <f t="shared" si="18"/>
        <v>450000</v>
      </c>
      <c r="K149" s="342"/>
    </row>
    <row r="150" spans="1:11" s="343" customFormat="1" ht="11.25" customHeight="1">
      <c r="A150" s="521" t="s">
        <v>337</v>
      </c>
      <c r="B150" s="522"/>
      <c r="C150" s="18">
        <v>110000</v>
      </c>
      <c r="D150" s="19"/>
      <c r="E150" s="451"/>
      <c r="F150" s="15"/>
      <c r="G150" s="16"/>
      <c r="H150" s="97"/>
      <c r="I150" s="20"/>
      <c r="J150" s="98">
        <f t="shared" si="18"/>
        <v>110000</v>
      </c>
      <c r="K150" s="342"/>
    </row>
    <row r="151" spans="1:11" s="343" customFormat="1" ht="11.25" customHeight="1">
      <c r="A151" s="521" t="s">
        <v>338</v>
      </c>
      <c r="B151" s="522"/>
      <c r="C151" s="18">
        <v>1350000</v>
      </c>
      <c r="D151" s="19"/>
      <c r="E151" s="451"/>
      <c r="F151" s="15"/>
      <c r="G151" s="16"/>
      <c r="H151" s="97"/>
      <c r="I151" s="20">
        <f t="shared" si="17"/>
        <v>0</v>
      </c>
      <c r="J151" s="98">
        <f t="shared" si="18"/>
        <v>1350000</v>
      </c>
      <c r="K151" s="342"/>
    </row>
    <row r="152" spans="1:11" s="343" customFormat="1" ht="11.25" customHeight="1">
      <c r="A152" s="521" t="s">
        <v>339</v>
      </c>
      <c r="B152" s="522"/>
      <c r="C152" s="18"/>
      <c r="D152" s="19"/>
      <c r="E152" s="19">
        <v>2000000</v>
      </c>
      <c r="F152" s="15"/>
      <c r="G152" s="16"/>
      <c r="H152" s="97"/>
      <c r="I152" s="20"/>
      <c r="J152" s="98">
        <f t="shared" si="18"/>
        <v>2000000</v>
      </c>
      <c r="K152" s="342"/>
    </row>
    <row r="153" spans="1:11" s="343" customFormat="1" ht="11.25" customHeight="1">
      <c r="A153" s="521" t="s">
        <v>340</v>
      </c>
      <c r="B153" s="522"/>
      <c r="C153" s="18">
        <v>90000</v>
      </c>
      <c r="D153" s="19"/>
      <c r="E153" s="451"/>
      <c r="F153" s="15"/>
      <c r="G153" s="16"/>
      <c r="H153" s="97"/>
      <c r="I153" s="20"/>
      <c r="J153" s="98">
        <f t="shared" si="18"/>
        <v>90000</v>
      </c>
      <c r="K153" s="342"/>
    </row>
    <row r="154" spans="1:11" s="343" customFormat="1" ht="11.25" customHeight="1">
      <c r="A154" s="521" t="s">
        <v>341</v>
      </c>
      <c r="B154" s="522"/>
      <c r="C154" s="18">
        <v>500000</v>
      </c>
      <c r="D154" s="19"/>
      <c r="E154" s="451"/>
      <c r="F154" s="15"/>
      <c r="G154" s="16"/>
      <c r="H154" s="97"/>
      <c r="I154" s="20">
        <f t="shared" si="17"/>
        <v>0</v>
      </c>
      <c r="J154" s="98">
        <f t="shared" si="18"/>
        <v>500000</v>
      </c>
      <c r="K154" s="342"/>
    </row>
    <row r="155" spans="1:11" s="343" customFormat="1" ht="11.25" customHeight="1">
      <c r="A155" s="521" t="s">
        <v>342</v>
      </c>
      <c r="B155" s="522"/>
      <c r="C155" s="18">
        <v>750000</v>
      </c>
      <c r="D155" s="19"/>
      <c r="E155" s="451"/>
      <c r="F155" s="15"/>
      <c r="G155" s="16"/>
      <c r="H155" s="97"/>
      <c r="I155" s="20">
        <f t="shared" si="17"/>
        <v>0</v>
      </c>
      <c r="J155" s="98">
        <f t="shared" si="18"/>
        <v>750000</v>
      </c>
      <c r="K155" s="342"/>
    </row>
    <row r="156" spans="1:11" s="119" customFormat="1" ht="11.25" customHeight="1">
      <c r="A156" s="414" t="s">
        <v>460</v>
      </c>
      <c r="B156" s="522"/>
      <c r="C156" s="18">
        <v>63800</v>
      </c>
      <c r="D156" s="19"/>
      <c r="E156" s="19"/>
      <c r="F156" s="15"/>
      <c r="G156" s="16"/>
      <c r="H156" s="97"/>
      <c r="I156" s="20">
        <f t="shared" si="17"/>
        <v>0</v>
      </c>
      <c r="J156" s="98">
        <f t="shared" si="18"/>
        <v>63800</v>
      </c>
      <c r="K156" s="118"/>
    </row>
    <row r="157" spans="1:11" s="119" customFormat="1" ht="11.25" customHeight="1" thickBot="1">
      <c r="A157" s="759" t="s">
        <v>106</v>
      </c>
      <c r="B157" s="760"/>
      <c r="C157" s="56">
        <f aca="true" t="shared" si="19" ref="C157:J157">SUM(C134:C156)</f>
        <v>31194763</v>
      </c>
      <c r="D157" s="60">
        <f t="shared" si="19"/>
        <v>50641300</v>
      </c>
      <c r="E157" s="60">
        <f t="shared" si="19"/>
        <v>2000000</v>
      </c>
      <c r="F157" s="57">
        <f t="shared" si="19"/>
        <v>0</v>
      </c>
      <c r="G157" s="58">
        <f t="shared" si="19"/>
        <v>0</v>
      </c>
      <c r="H157" s="58">
        <f t="shared" si="19"/>
        <v>0</v>
      </c>
      <c r="I157" s="59">
        <f t="shared" si="19"/>
        <v>0</v>
      </c>
      <c r="J157" s="56">
        <f t="shared" si="19"/>
        <v>83836063</v>
      </c>
      <c r="K157" s="118"/>
    </row>
    <row r="158" spans="1:11" s="90" customFormat="1" ht="13.5" thickBo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99"/>
    </row>
    <row r="159" spans="1:11" s="119" customFormat="1" ht="22.5" customHeight="1">
      <c r="A159" s="667" t="s">
        <v>210</v>
      </c>
      <c r="B159" s="668"/>
      <c r="C159" s="656" t="s">
        <v>53</v>
      </c>
      <c r="D159" s="656" t="s">
        <v>204</v>
      </c>
      <c r="E159" s="656" t="s">
        <v>205</v>
      </c>
      <c r="F159" s="112" t="s">
        <v>54</v>
      </c>
      <c r="G159" s="113" t="s">
        <v>55</v>
      </c>
      <c r="H159" s="660" t="s">
        <v>206</v>
      </c>
      <c r="I159" s="662" t="s">
        <v>56</v>
      </c>
      <c r="J159" s="656" t="s">
        <v>28</v>
      </c>
      <c r="K159" s="118"/>
    </row>
    <row r="160" spans="1:11" s="119" customFormat="1" ht="11.25" customHeight="1" thickBot="1">
      <c r="A160" s="669"/>
      <c r="B160" s="670"/>
      <c r="C160" s="657"/>
      <c r="D160" s="658"/>
      <c r="E160" s="659"/>
      <c r="F160" s="116" t="s">
        <v>207</v>
      </c>
      <c r="G160" s="117" t="s">
        <v>208</v>
      </c>
      <c r="H160" s="661"/>
      <c r="I160" s="581"/>
      <c r="J160" s="657"/>
      <c r="K160" s="118"/>
    </row>
    <row r="161" spans="1:11" s="119" customFormat="1" ht="11.25" customHeight="1">
      <c r="A161" s="568" t="s">
        <v>285</v>
      </c>
      <c r="B161" s="569"/>
      <c r="C161" s="457">
        <v>273000</v>
      </c>
      <c r="D161" s="19"/>
      <c r="E161" s="19"/>
      <c r="F161" s="15"/>
      <c r="G161" s="55"/>
      <c r="H161" s="97"/>
      <c r="I161" s="20">
        <f>SUM(F161:H161)</f>
        <v>0</v>
      </c>
      <c r="J161" s="98">
        <f>SUM(C161:E161,I161)</f>
        <v>273000</v>
      </c>
      <c r="K161" s="118"/>
    </row>
    <row r="162" spans="1:11" s="119" customFormat="1" ht="11.25" customHeight="1">
      <c r="A162" s="574" t="s">
        <v>343</v>
      </c>
      <c r="B162" s="575"/>
      <c r="C162" s="458">
        <v>473400</v>
      </c>
      <c r="D162" s="19"/>
      <c r="E162" s="19"/>
      <c r="F162" s="15"/>
      <c r="G162" s="55"/>
      <c r="H162" s="97"/>
      <c r="I162" s="20">
        <f aca="true" t="shared" si="20" ref="I162:I168">SUM(F162:H162)</f>
        <v>0</v>
      </c>
      <c r="J162" s="98">
        <f aca="true" t="shared" si="21" ref="J162:J168">SUM(C162:E162,I162)</f>
        <v>473400</v>
      </c>
      <c r="K162" s="118"/>
    </row>
    <row r="163" spans="1:11" s="119" customFormat="1" ht="11.25" customHeight="1">
      <c r="A163" s="574" t="s">
        <v>344</v>
      </c>
      <c r="B163" s="575"/>
      <c r="C163" s="458">
        <v>526310</v>
      </c>
      <c r="D163" s="19"/>
      <c r="E163" s="19">
        <v>123690</v>
      </c>
      <c r="F163" s="15"/>
      <c r="G163" s="16"/>
      <c r="H163" s="97"/>
      <c r="I163" s="20">
        <f t="shared" si="20"/>
        <v>0</v>
      </c>
      <c r="J163" s="98">
        <f t="shared" si="21"/>
        <v>650000</v>
      </c>
      <c r="K163" s="118"/>
    </row>
    <row r="164" spans="1:11" s="119" customFormat="1" ht="11.25" customHeight="1">
      <c r="A164" s="574" t="s">
        <v>345</v>
      </c>
      <c r="B164" s="575"/>
      <c r="C164" s="18">
        <v>2032530</v>
      </c>
      <c r="D164" s="19"/>
      <c r="E164" s="19"/>
      <c r="F164" s="15"/>
      <c r="G164" s="16"/>
      <c r="H164" s="97"/>
      <c r="I164" s="20">
        <f t="shared" si="20"/>
        <v>0</v>
      </c>
      <c r="J164" s="98">
        <f t="shared" si="21"/>
        <v>2032530</v>
      </c>
      <c r="K164" s="118"/>
    </row>
    <row r="165" spans="1:11" s="119" customFormat="1" ht="11.25" customHeight="1">
      <c r="A165" s="574" t="s">
        <v>346</v>
      </c>
      <c r="B165" s="575"/>
      <c r="C165" s="18">
        <v>100000</v>
      </c>
      <c r="D165" s="19"/>
      <c r="E165" s="19"/>
      <c r="F165" s="15"/>
      <c r="G165" s="16"/>
      <c r="H165" s="97"/>
      <c r="I165" s="20">
        <f t="shared" si="20"/>
        <v>0</v>
      </c>
      <c r="J165" s="98">
        <f t="shared" si="21"/>
        <v>100000</v>
      </c>
      <c r="K165" s="118"/>
    </row>
    <row r="166" spans="1:11" s="119" customFormat="1" ht="11.25" customHeight="1">
      <c r="A166" s="574" t="s">
        <v>347</v>
      </c>
      <c r="B166" s="575"/>
      <c r="C166" s="18">
        <v>110000</v>
      </c>
      <c r="D166" s="19"/>
      <c r="E166" s="19"/>
      <c r="F166" s="15"/>
      <c r="G166" s="16"/>
      <c r="H166" s="97">
        <v>700000</v>
      </c>
      <c r="I166" s="20">
        <f t="shared" si="20"/>
        <v>700000</v>
      </c>
      <c r="J166" s="98">
        <f t="shared" si="21"/>
        <v>810000</v>
      </c>
      <c r="K166" s="118"/>
    </row>
    <row r="167" spans="1:11" s="119" customFormat="1" ht="11.25" customHeight="1">
      <c r="A167" s="521" t="s">
        <v>462</v>
      </c>
      <c r="B167" s="415"/>
      <c r="C167" s="18"/>
      <c r="D167" s="19"/>
      <c r="E167" s="19"/>
      <c r="F167" s="15"/>
      <c r="G167" s="16"/>
      <c r="H167" s="97">
        <v>116640</v>
      </c>
      <c r="I167" s="20">
        <f t="shared" si="20"/>
        <v>116640</v>
      </c>
      <c r="J167" s="98">
        <f t="shared" si="21"/>
        <v>116640</v>
      </c>
      <c r="K167" s="118"/>
    </row>
    <row r="168" spans="1:11" s="119" customFormat="1" ht="11.25" customHeight="1">
      <c r="A168" s="414"/>
      <c r="B168" s="415"/>
      <c r="C168" s="18"/>
      <c r="D168" s="19"/>
      <c r="E168" s="19"/>
      <c r="F168" s="15"/>
      <c r="G168" s="16"/>
      <c r="H168" s="97"/>
      <c r="I168" s="20">
        <f t="shared" si="20"/>
        <v>0</v>
      </c>
      <c r="J168" s="98">
        <f t="shared" si="21"/>
        <v>0</v>
      </c>
      <c r="K168" s="118"/>
    </row>
    <row r="169" spans="1:11" s="119" customFormat="1" ht="11.25" customHeight="1" thickBot="1">
      <c r="A169" s="759" t="s">
        <v>211</v>
      </c>
      <c r="B169" s="760"/>
      <c r="C169" s="56">
        <f aca="true" t="shared" si="22" ref="C169:J169">SUM(C161:C168)</f>
        <v>3515240</v>
      </c>
      <c r="D169" s="56">
        <f t="shared" si="22"/>
        <v>0</v>
      </c>
      <c r="E169" s="56">
        <f t="shared" si="22"/>
        <v>123690</v>
      </c>
      <c r="F169" s="60">
        <f t="shared" si="22"/>
        <v>0</v>
      </c>
      <c r="G169" s="105">
        <f t="shared" si="22"/>
        <v>0</v>
      </c>
      <c r="H169" s="58">
        <f t="shared" si="22"/>
        <v>816640</v>
      </c>
      <c r="I169" s="61">
        <f t="shared" si="22"/>
        <v>816640</v>
      </c>
      <c r="J169" s="56">
        <f t="shared" si="22"/>
        <v>4455570</v>
      </c>
      <c r="K169" s="118"/>
    </row>
    <row r="170" spans="1:11" s="90" customFormat="1" ht="13.5" thickBot="1">
      <c r="A170" s="413"/>
      <c r="B170" s="413"/>
      <c r="C170" s="413"/>
      <c r="D170" s="413"/>
      <c r="E170" s="413"/>
      <c r="F170" s="413"/>
      <c r="G170" s="413"/>
      <c r="H170" s="413"/>
      <c r="I170" s="413"/>
      <c r="J170" s="413"/>
      <c r="K170" s="99"/>
    </row>
    <row r="171" spans="1:11" s="119" customFormat="1" ht="22.5" customHeight="1">
      <c r="A171" s="667" t="s">
        <v>28</v>
      </c>
      <c r="B171" s="668"/>
      <c r="C171" s="656" t="s">
        <v>53</v>
      </c>
      <c r="D171" s="656" t="s">
        <v>204</v>
      </c>
      <c r="E171" s="656" t="s">
        <v>205</v>
      </c>
      <c r="F171" s="112" t="s">
        <v>54</v>
      </c>
      <c r="G171" s="113" t="s">
        <v>55</v>
      </c>
      <c r="H171" s="660" t="s">
        <v>206</v>
      </c>
      <c r="I171" s="662" t="s">
        <v>56</v>
      </c>
      <c r="J171" s="656" t="s">
        <v>28</v>
      </c>
      <c r="K171" s="118"/>
    </row>
    <row r="172" spans="1:11" s="119" customFormat="1" ht="11.25" customHeight="1" thickBot="1">
      <c r="A172" s="763"/>
      <c r="B172" s="764"/>
      <c r="C172" s="657"/>
      <c r="D172" s="658"/>
      <c r="E172" s="659"/>
      <c r="F172" s="116" t="s">
        <v>207</v>
      </c>
      <c r="G172" s="117" t="s">
        <v>208</v>
      </c>
      <c r="H172" s="661"/>
      <c r="I172" s="581"/>
      <c r="J172" s="657"/>
      <c r="K172" s="118"/>
    </row>
    <row r="173" spans="1:11" s="119" customFormat="1" ht="11.25" customHeight="1" thickBot="1">
      <c r="A173" s="669"/>
      <c r="B173" s="670"/>
      <c r="C173" s="56">
        <f aca="true" t="shared" si="23" ref="C173:J173">SUM(C169,C157,C130)</f>
        <v>36090633</v>
      </c>
      <c r="D173" s="56">
        <f t="shared" si="23"/>
        <v>52641300</v>
      </c>
      <c r="E173" s="56">
        <f t="shared" si="23"/>
        <v>2123690</v>
      </c>
      <c r="F173" s="60">
        <f t="shared" si="23"/>
        <v>0</v>
      </c>
      <c r="G173" s="120">
        <f t="shared" si="23"/>
        <v>0</v>
      </c>
      <c r="H173" s="121">
        <f t="shared" si="23"/>
        <v>816640</v>
      </c>
      <c r="I173" s="122">
        <f t="shared" si="23"/>
        <v>816640</v>
      </c>
      <c r="J173" s="56">
        <f t="shared" si="23"/>
        <v>91672263</v>
      </c>
      <c r="K173" s="118"/>
    </row>
    <row r="174" spans="1:11" s="119" customFormat="1" ht="11.25" customHeight="1">
      <c r="A174" s="830" t="s">
        <v>461</v>
      </c>
      <c r="B174" s="830"/>
      <c r="C174" s="124"/>
      <c r="D174" s="124"/>
      <c r="E174" s="124"/>
      <c r="F174" s="124"/>
      <c r="G174" s="124"/>
      <c r="H174" s="124"/>
      <c r="I174" s="124"/>
      <c r="J174" s="124"/>
      <c r="K174" s="118"/>
    </row>
    <row r="175" spans="1:11" s="119" customFormat="1" ht="5.25" customHeight="1">
      <c r="A175" s="123"/>
      <c r="B175" s="123"/>
      <c r="C175" s="124"/>
      <c r="D175" s="124"/>
      <c r="E175" s="124"/>
      <c r="F175" s="124"/>
      <c r="G175" s="124"/>
      <c r="H175" s="124"/>
      <c r="I175" s="124"/>
      <c r="J175" s="124"/>
      <c r="K175" s="118"/>
    </row>
    <row r="176" spans="1:14" ht="17.25" customHeight="1" thickBot="1">
      <c r="A176" s="2" t="s">
        <v>244</v>
      </c>
      <c r="B176"/>
      <c r="C176"/>
      <c r="D176"/>
      <c r="E176"/>
      <c r="F176"/>
      <c r="G176"/>
      <c r="H176"/>
      <c r="I176"/>
      <c r="J176" s="87"/>
      <c r="K176"/>
      <c r="L176"/>
      <c r="M176"/>
      <c r="N176"/>
    </row>
    <row r="177" spans="1:9" s="17" customFormat="1" ht="11.25" customHeight="1">
      <c r="A177" s="29" t="s">
        <v>70</v>
      </c>
      <c r="B177" s="30" t="s">
        <v>71</v>
      </c>
      <c r="C177" s="29" t="s">
        <v>72</v>
      </c>
      <c r="D177" s="32" t="s">
        <v>73</v>
      </c>
      <c r="E177" s="32" t="s">
        <v>74</v>
      </c>
      <c r="F177" s="33" t="s">
        <v>75</v>
      </c>
      <c r="I177" s="89"/>
    </row>
    <row r="178" spans="1:9" s="17" customFormat="1" ht="11.25" customHeight="1">
      <c r="A178" s="34" t="s">
        <v>76</v>
      </c>
      <c r="B178" s="35" t="s">
        <v>77</v>
      </c>
      <c r="C178" s="34" t="s">
        <v>78</v>
      </c>
      <c r="D178" s="37" t="s">
        <v>383</v>
      </c>
      <c r="E178" s="37" t="s">
        <v>79</v>
      </c>
      <c r="F178" s="38" t="s">
        <v>77</v>
      </c>
      <c r="I178" s="89"/>
    </row>
    <row r="179" spans="1:9" s="17" customFormat="1" ht="11.25" customHeight="1" thickBot="1">
      <c r="A179" s="39"/>
      <c r="B179" s="40" t="s">
        <v>80</v>
      </c>
      <c r="C179" s="39" t="s">
        <v>81</v>
      </c>
      <c r="D179" s="42"/>
      <c r="E179" s="42" t="s">
        <v>384</v>
      </c>
      <c r="F179" s="43" t="s">
        <v>20</v>
      </c>
      <c r="I179" s="89"/>
    </row>
    <row r="180" spans="1:9" s="17" customFormat="1" ht="11.25" customHeight="1">
      <c r="A180" s="416">
        <v>1</v>
      </c>
      <c r="B180" s="417">
        <f>25484836/1000</f>
        <v>25484.836</v>
      </c>
      <c r="C180" s="453">
        <v>15</v>
      </c>
      <c r="D180" s="419">
        <v>4164.908</v>
      </c>
      <c r="E180" s="419">
        <f>3727670/1000</f>
        <v>3727.67</v>
      </c>
      <c r="F180" s="420">
        <v>17592.258</v>
      </c>
      <c r="I180" s="89"/>
    </row>
    <row r="181" spans="1:9" s="17" customFormat="1" ht="11.25" customHeight="1">
      <c r="A181" s="421" t="s">
        <v>82</v>
      </c>
      <c r="B181" s="422">
        <v>0</v>
      </c>
      <c r="C181" s="454">
        <v>0</v>
      </c>
      <c r="D181" s="424">
        <v>0</v>
      </c>
      <c r="E181" s="424">
        <v>0</v>
      </c>
      <c r="F181" s="420">
        <v>0</v>
      </c>
      <c r="I181" s="89"/>
    </row>
    <row r="182" spans="1:9" s="17" customFormat="1" ht="11.25" customHeight="1">
      <c r="A182" s="421">
        <v>2</v>
      </c>
      <c r="B182" s="422">
        <f>354693105/1000</f>
        <v>354693.105</v>
      </c>
      <c r="C182" s="454">
        <v>8</v>
      </c>
      <c r="D182" s="424">
        <v>34441.796</v>
      </c>
      <c r="E182" s="424">
        <f>28440444/1000</f>
        <v>28440.444</v>
      </c>
      <c r="F182" s="420">
        <v>291810.865</v>
      </c>
      <c r="I182" s="89"/>
    </row>
    <row r="183" spans="1:9" s="17" customFormat="1" ht="11.25" customHeight="1">
      <c r="A183" s="421">
        <v>3</v>
      </c>
      <c r="B183" s="422">
        <f>44661916/1000</f>
        <v>44661.916</v>
      </c>
      <c r="C183" s="454">
        <v>5</v>
      </c>
      <c r="D183" s="424">
        <v>3535.957</v>
      </c>
      <c r="E183" s="424">
        <f>2233236/1000</f>
        <v>2233.236</v>
      </c>
      <c r="F183" s="420">
        <v>38892.723</v>
      </c>
      <c r="I183" s="89"/>
    </row>
    <row r="184" spans="1:9" s="17" customFormat="1" ht="11.25" customHeight="1">
      <c r="A184" s="421">
        <v>4</v>
      </c>
      <c r="B184" s="422">
        <v>0</v>
      </c>
      <c r="C184" s="454">
        <v>2.5</v>
      </c>
      <c r="D184" s="424">
        <v>0</v>
      </c>
      <c r="E184" s="424">
        <v>0</v>
      </c>
      <c r="F184" s="420">
        <v>0</v>
      </c>
      <c r="I184" s="89"/>
    </row>
    <row r="185" spans="1:9" s="17" customFormat="1" ht="11.25" customHeight="1" thickBot="1">
      <c r="A185" s="421">
        <v>5</v>
      </c>
      <c r="B185" s="422">
        <f>53406620/1000</f>
        <v>53406.62</v>
      </c>
      <c r="C185" s="454">
        <v>1</v>
      </c>
      <c r="D185" s="424">
        <v>9501.68</v>
      </c>
      <c r="E185" s="424">
        <f>534168/1000</f>
        <v>534.168</v>
      </c>
      <c r="F185" s="420">
        <v>43370.772000000004</v>
      </c>
      <c r="I185" s="89"/>
    </row>
    <row r="186" spans="1:9" s="17" customFormat="1" ht="11.25" customHeight="1" thickBot="1">
      <c r="A186" s="452" t="s">
        <v>21</v>
      </c>
      <c r="B186" s="425">
        <v>478246477</v>
      </c>
      <c r="C186" s="452" t="s">
        <v>265</v>
      </c>
      <c r="D186" s="426">
        <f>SUM(D180:D185)</f>
        <v>51644.34100000001</v>
      </c>
      <c r="E186" s="426">
        <v>34935.518</v>
      </c>
      <c r="F186" s="427">
        <f>SUM(F180:F185)</f>
        <v>391666.618</v>
      </c>
      <c r="I186" s="89"/>
    </row>
    <row r="187" spans="1:20" s="9" customFormat="1" ht="0.75" customHeight="1">
      <c r="A187" s="12"/>
      <c r="B187" s="13"/>
      <c r="C187" s="13"/>
      <c r="D187" s="13"/>
      <c r="E187" s="13"/>
      <c r="F187" s="13"/>
      <c r="G187" s="13"/>
      <c r="H187" s="13"/>
      <c r="I187" s="13"/>
      <c r="J187" s="85"/>
      <c r="K187" s="3"/>
      <c r="L187" s="3"/>
      <c r="M187" s="3"/>
      <c r="N187"/>
      <c r="O187"/>
      <c r="P187"/>
      <c r="Q187"/>
      <c r="R187"/>
      <c r="S187"/>
      <c r="T187"/>
    </row>
    <row r="188" spans="1:20" s="9" customFormat="1" ht="17.25" customHeight="1" thickBot="1">
      <c r="A188" s="2" t="s">
        <v>245</v>
      </c>
      <c r="B188" s="6"/>
      <c r="C188" s="6"/>
      <c r="D188" s="6"/>
      <c r="E188" s="6"/>
      <c r="F188" s="6"/>
      <c r="G188" s="6"/>
      <c r="H188" s="6"/>
      <c r="I188" s="3"/>
      <c r="J188" s="85"/>
      <c r="K188" s="3"/>
      <c r="L188" s="3"/>
      <c r="M188" s="3"/>
      <c r="N188"/>
      <c r="O188"/>
      <c r="P188"/>
      <c r="Q188"/>
      <c r="R188"/>
      <c r="S188"/>
      <c r="T188"/>
    </row>
    <row r="189" spans="1:10" s="128" customFormat="1" ht="11.25" customHeight="1">
      <c r="A189" s="609" t="s">
        <v>221</v>
      </c>
      <c r="B189" s="610"/>
      <c r="C189" s="150" t="s">
        <v>45</v>
      </c>
      <c r="D189" s="127" t="s">
        <v>46</v>
      </c>
      <c r="F189" s="644" t="s">
        <v>238</v>
      </c>
      <c r="G189" s="645"/>
      <c r="H189" s="646"/>
      <c r="I189" s="150" t="s">
        <v>45</v>
      </c>
      <c r="J189" s="127" t="s">
        <v>46</v>
      </c>
    </row>
    <row r="190" spans="1:10" s="128" customFormat="1" ht="11.25" customHeight="1" thickBot="1">
      <c r="A190" s="611"/>
      <c r="B190" s="612"/>
      <c r="C190" s="151" t="s">
        <v>192</v>
      </c>
      <c r="D190" s="130" t="s">
        <v>297</v>
      </c>
      <c r="F190" s="647"/>
      <c r="G190" s="648"/>
      <c r="H190" s="649"/>
      <c r="I190" s="152" t="s">
        <v>192</v>
      </c>
      <c r="J190" s="153" t="s">
        <v>297</v>
      </c>
    </row>
    <row r="191" spans="1:10" s="128" customFormat="1" ht="11.25" customHeight="1" thickBot="1">
      <c r="A191" s="615" t="s">
        <v>57</v>
      </c>
      <c r="B191" s="616"/>
      <c r="C191" s="142">
        <v>28419.72</v>
      </c>
      <c r="D191" s="143">
        <f>C234</f>
        <v>47248.82949999999</v>
      </c>
      <c r="F191" s="623" t="s">
        <v>57</v>
      </c>
      <c r="G191" s="624"/>
      <c r="H191" s="625"/>
      <c r="I191" s="154">
        <v>4729.39</v>
      </c>
      <c r="J191" s="155">
        <f>I201</f>
        <v>4505.227519999986</v>
      </c>
    </row>
    <row r="192" spans="1:10" s="128" customFormat="1" ht="11.25" customHeight="1" thickBot="1">
      <c r="A192" s="613" t="s">
        <v>58</v>
      </c>
      <c r="B192" s="614"/>
      <c r="C192" s="148">
        <f>SUM(C193:C203)</f>
        <v>333952.379</v>
      </c>
      <c r="D192" s="149">
        <f>SUM(D193:D203)</f>
        <v>97293.458</v>
      </c>
      <c r="E192" s="133"/>
      <c r="F192" s="626" t="s">
        <v>58</v>
      </c>
      <c r="G192" s="627"/>
      <c r="H192" s="628"/>
      <c r="I192" s="148">
        <f>SUM(I193:I195)</f>
        <v>200347.979</v>
      </c>
      <c r="J192" s="149">
        <f>SUM(J193:J195)</f>
        <v>2500</v>
      </c>
    </row>
    <row r="193" spans="1:10" s="128" customFormat="1" ht="11.25" customHeight="1">
      <c r="A193" s="620" t="s">
        <v>59</v>
      </c>
      <c r="B193" s="622"/>
      <c r="C193" s="406">
        <v>29436.937</v>
      </c>
      <c r="D193" s="144">
        <f>E186</f>
        <v>34935.518</v>
      </c>
      <c r="F193" s="620" t="s">
        <v>239</v>
      </c>
      <c r="G193" s="621"/>
      <c r="H193" s="622"/>
      <c r="I193" s="407"/>
      <c r="J193" s="146"/>
    </row>
    <row r="194" spans="1:10" s="128" customFormat="1" ht="11.25" customHeight="1">
      <c r="A194" s="636" t="s">
        <v>6</v>
      </c>
      <c r="B194" s="637"/>
      <c r="C194" s="406">
        <v>240</v>
      </c>
      <c r="D194" s="132">
        <f>J96/1000</f>
        <v>8900</v>
      </c>
      <c r="E194" s="133"/>
      <c r="F194" s="633" t="s">
        <v>236</v>
      </c>
      <c r="G194" s="634"/>
      <c r="H194" s="635"/>
      <c r="I194" s="407">
        <v>197750</v>
      </c>
      <c r="J194" s="135"/>
    </row>
    <row r="195" spans="1:10" s="128" customFormat="1" ht="11.25" customHeight="1" thickBot="1">
      <c r="A195" s="636" t="s">
        <v>7</v>
      </c>
      <c r="B195" s="637"/>
      <c r="C195" s="406">
        <v>0</v>
      </c>
      <c r="D195" s="132"/>
      <c r="F195" s="630" t="s">
        <v>237</v>
      </c>
      <c r="G195" s="631"/>
      <c r="H195" s="632"/>
      <c r="I195" s="407">
        <v>2597.979</v>
      </c>
      <c r="J195" s="156">
        <v>2500</v>
      </c>
    </row>
    <row r="196" spans="1:10" s="128" customFormat="1" ht="11.25" customHeight="1" thickBot="1">
      <c r="A196" s="636" t="s">
        <v>8</v>
      </c>
      <c r="B196" s="637"/>
      <c r="C196" s="406">
        <v>0</v>
      </c>
      <c r="D196" s="132"/>
      <c r="F196" s="613" t="s">
        <v>60</v>
      </c>
      <c r="G196" s="629"/>
      <c r="H196" s="614"/>
      <c r="I196" s="148">
        <f>SUM(I197:I200)</f>
        <v>200572.14148000002</v>
      </c>
      <c r="J196" s="149">
        <f>SUM(J197:J200)</f>
        <v>4200</v>
      </c>
    </row>
    <row r="197" spans="1:10" s="128" customFormat="1" ht="11.25" customHeight="1">
      <c r="A197" s="636" t="s">
        <v>9</v>
      </c>
      <c r="B197" s="637"/>
      <c r="C197" s="406">
        <v>0</v>
      </c>
      <c r="D197" s="132"/>
      <c r="F197" s="620" t="s">
        <v>63</v>
      </c>
      <c r="G197" s="621"/>
      <c r="H197" s="622"/>
      <c r="I197" s="407">
        <v>2481.72148</v>
      </c>
      <c r="J197" s="146">
        <v>2200</v>
      </c>
    </row>
    <row r="198" spans="1:10" s="128" customFormat="1" ht="11.25" customHeight="1">
      <c r="A198" s="636" t="s">
        <v>10</v>
      </c>
      <c r="B198" s="637"/>
      <c r="C198" s="406">
        <v>600</v>
      </c>
      <c r="D198" s="132"/>
      <c r="F198" s="633" t="s">
        <v>64</v>
      </c>
      <c r="G198" s="634"/>
      <c r="H198" s="635"/>
      <c r="I198" s="407"/>
      <c r="J198" s="135"/>
    </row>
    <row r="199" spans="1:10" s="128" customFormat="1" ht="11.25" customHeight="1">
      <c r="A199" s="636" t="s">
        <v>11</v>
      </c>
      <c r="B199" s="637"/>
      <c r="C199" s="406">
        <v>24974.66</v>
      </c>
      <c r="D199" s="132">
        <f>J106/1000</f>
        <v>700</v>
      </c>
      <c r="E199" s="133"/>
      <c r="F199" s="633" t="s">
        <v>65</v>
      </c>
      <c r="G199" s="634"/>
      <c r="H199" s="635"/>
      <c r="I199" s="407">
        <v>198090.42</v>
      </c>
      <c r="J199" s="135">
        <v>2000</v>
      </c>
    </row>
    <row r="200" spans="1:10" s="128" customFormat="1" ht="11.25" customHeight="1" thickBot="1">
      <c r="A200" s="636" t="s">
        <v>465</v>
      </c>
      <c r="B200" s="637"/>
      <c r="C200" s="406"/>
      <c r="D200" s="132">
        <f>J108/1000</f>
        <v>116.64</v>
      </c>
      <c r="F200" s="630" t="s">
        <v>66</v>
      </c>
      <c r="G200" s="631"/>
      <c r="H200" s="632"/>
      <c r="I200" s="407"/>
      <c r="J200" s="156"/>
    </row>
    <row r="201" spans="1:10" s="128" customFormat="1" ht="11.25" customHeight="1" thickBot="1">
      <c r="A201" s="636" t="s">
        <v>292</v>
      </c>
      <c r="B201" s="637"/>
      <c r="C201" s="406">
        <v>80610.362</v>
      </c>
      <c r="D201" s="132">
        <f>J107/1000</f>
        <v>50641.3</v>
      </c>
      <c r="F201" s="613" t="s">
        <v>62</v>
      </c>
      <c r="G201" s="629"/>
      <c r="H201" s="614"/>
      <c r="I201" s="148">
        <f>SUM(I191+I192-I196)</f>
        <v>4505.227519999986</v>
      </c>
      <c r="J201" s="149">
        <f>SUM(J191+J192-J196)</f>
        <v>2805.227519999986</v>
      </c>
    </row>
    <row r="202" spans="1:6" s="128" customFormat="1" ht="11.25" customHeight="1" thickBot="1">
      <c r="A202" s="636" t="s">
        <v>37</v>
      </c>
      <c r="B202" s="637"/>
      <c r="C202" s="406">
        <v>0</v>
      </c>
      <c r="D202" s="132"/>
      <c r="F202" s="133"/>
    </row>
    <row r="203" spans="1:10" s="128" customFormat="1" ht="11.25" customHeight="1" thickBot="1">
      <c r="A203" s="654" t="s">
        <v>212</v>
      </c>
      <c r="B203" s="655"/>
      <c r="C203" s="406">
        <v>198090.42</v>
      </c>
      <c r="D203" s="145">
        <f>J199</f>
        <v>2000</v>
      </c>
      <c r="E203" s="134"/>
      <c r="F203" s="597" t="s">
        <v>240</v>
      </c>
      <c r="G203" s="598"/>
      <c r="H203" s="599"/>
      <c r="I203" s="160" t="s">
        <v>45</v>
      </c>
      <c r="J203" s="106" t="s">
        <v>46</v>
      </c>
    </row>
    <row r="204" spans="1:10" s="128" customFormat="1" ht="11.25" customHeight="1" thickBot="1">
      <c r="A204" s="613" t="s">
        <v>60</v>
      </c>
      <c r="B204" s="614"/>
      <c r="C204" s="148">
        <f>SUM(C205:C233)</f>
        <v>315123.26950000005</v>
      </c>
      <c r="D204" s="149">
        <f>SUM(D205:D233)</f>
        <v>113951.89460379972</v>
      </c>
      <c r="E204" s="136"/>
      <c r="F204" s="600"/>
      <c r="G204" s="601"/>
      <c r="H204" s="602"/>
      <c r="I204" s="161" t="s">
        <v>192</v>
      </c>
      <c r="J204" s="108" t="s">
        <v>297</v>
      </c>
    </row>
    <row r="205" spans="1:10" s="128" customFormat="1" ht="11.25" customHeight="1">
      <c r="A205" s="620" t="s">
        <v>213</v>
      </c>
      <c r="B205" s="622"/>
      <c r="C205" s="407">
        <v>907.03</v>
      </c>
      <c r="D205" s="146">
        <f>E157/1000</f>
        <v>2000</v>
      </c>
      <c r="E205" s="131"/>
      <c r="F205" s="617" t="s">
        <v>57</v>
      </c>
      <c r="G205" s="618"/>
      <c r="H205" s="619"/>
      <c r="I205" s="329">
        <v>129.09</v>
      </c>
      <c r="J205" s="157">
        <f>+I208</f>
        <v>129.09</v>
      </c>
    </row>
    <row r="206" spans="1:10" s="128" customFormat="1" ht="11.25" customHeight="1">
      <c r="A206" s="633" t="s">
        <v>222</v>
      </c>
      <c r="B206" s="635"/>
      <c r="C206" s="407">
        <v>0</v>
      </c>
      <c r="D206" s="135">
        <f>F157/1000</f>
        <v>0</v>
      </c>
      <c r="E206" s="131"/>
      <c r="F206" s="606" t="s">
        <v>58</v>
      </c>
      <c r="G206" s="607"/>
      <c r="H206" s="608"/>
      <c r="I206" s="163"/>
      <c r="J206" s="158"/>
    </row>
    <row r="207" spans="1:10" s="128" customFormat="1" ht="11.25" customHeight="1">
      <c r="A207" s="633" t="s">
        <v>223</v>
      </c>
      <c r="B207" s="635"/>
      <c r="C207" s="407">
        <v>0</v>
      </c>
      <c r="D207" s="135"/>
      <c r="E207" s="131"/>
      <c r="F207" s="606" t="s">
        <v>60</v>
      </c>
      <c r="G207" s="607"/>
      <c r="H207" s="608"/>
      <c r="I207" s="163"/>
      <c r="J207" s="158"/>
    </row>
    <row r="208" spans="1:10" s="128" customFormat="1" ht="11.25" customHeight="1" thickBot="1">
      <c r="A208" s="633" t="s">
        <v>224</v>
      </c>
      <c r="B208" s="635"/>
      <c r="C208" s="407">
        <v>0</v>
      </c>
      <c r="D208" s="137"/>
      <c r="E208" s="131"/>
      <c r="F208" s="603" t="s">
        <v>62</v>
      </c>
      <c r="G208" s="604"/>
      <c r="H208" s="605"/>
      <c r="I208" s="164">
        <f>+I205+I206-I207</f>
        <v>129.09</v>
      </c>
      <c r="J208" s="159">
        <f>SUM(J205+J206-J207)</f>
        <v>129.09</v>
      </c>
    </row>
    <row r="209" spans="1:6" s="128" customFormat="1" ht="11.25" customHeight="1" thickBot="1">
      <c r="A209" s="633" t="s">
        <v>225</v>
      </c>
      <c r="B209" s="635"/>
      <c r="C209" s="407">
        <v>197704.738</v>
      </c>
      <c r="D209" s="137"/>
      <c r="E209" s="131"/>
      <c r="F209" s="131"/>
    </row>
    <row r="210" spans="1:10" s="128" customFormat="1" ht="11.25" customHeight="1">
      <c r="A210" s="633" t="s">
        <v>226</v>
      </c>
      <c r="B210" s="635"/>
      <c r="C210" s="407">
        <v>0</v>
      </c>
      <c r="D210" s="137"/>
      <c r="E210" s="131"/>
      <c r="F210" s="582" t="s">
        <v>241</v>
      </c>
      <c r="G210" s="583"/>
      <c r="H210" s="584"/>
      <c r="I210" s="126" t="s">
        <v>45</v>
      </c>
      <c r="J210" s="127" t="s">
        <v>46</v>
      </c>
    </row>
    <row r="211" spans="1:10" s="128" customFormat="1" ht="11.25" customHeight="1" thickBot="1">
      <c r="A211" s="633" t="s">
        <v>293</v>
      </c>
      <c r="B211" s="635"/>
      <c r="C211" s="407">
        <v>385.682</v>
      </c>
      <c r="D211" s="137">
        <f>D157/1000</f>
        <v>50641.3</v>
      </c>
      <c r="E211" s="131"/>
      <c r="F211" s="585"/>
      <c r="G211" s="586"/>
      <c r="H211" s="587"/>
      <c r="I211" s="129" t="s">
        <v>192</v>
      </c>
      <c r="J211" s="130" t="s">
        <v>297</v>
      </c>
    </row>
    <row r="212" spans="1:10" s="128" customFormat="1" ht="11.25" customHeight="1">
      <c r="A212" s="633" t="s">
        <v>214</v>
      </c>
      <c r="B212" s="635"/>
      <c r="C212" s="407">
        <v>0</v>
      </c>
      <c r="D212" s="137">
        <f>C157/1000</f>
        <v>31194.763</v>
      </c>
      <c r="E212" s="136"/>
      <c r="F212" s="594" t="s">
        <v>57</v>
      </c>
      <c r="G212" s="595"/>
      <c r="H212" s="596"/>
      <c r="I212" s="165">
        <v>2525.79</v>
      </c>
      <c r="J212" s="166">
        <f>+I215</f>
        <v>1975.9752300000018</v>
      </c>
    </row>
    <row r="213" spans="1:10" s="128" customFormat="1" ht="11.25" customHeight="1">
      <c r="A213" s="633" t="s">
        <v>215</v>
      </c>
      <c r="B213" s="635"/>
      <c r="C213" s="407">
        <v>390.102</v>
      </c>
      <c r="D213" s="135">
        <f>E169/1000</f>
        <v>123.69</v>
      </c>
      <c r="E213" s="131"/>
      <c r="F213" s="591" t="s">
        <v>58</v>
      </c>
      <c r="G213" s="592"/>
      <c r="H213" s="593"/>
      <c r="I213" s="410">
        <v>7163.127280000001</v>
      </c>
      <c r="J213" s="168">
        <v>3600</v>
      </c>
    </row>
    <row r="214" spans="1:10" s="128" customFormat="1" ht="11.25" customHeight="1">
      <c r="A214" s="633" t="s">
        <v>227</v>
      </c>
      <c r="B214" s="635"/>
      <c r="C214" s="407">
        <v>0</v>
      </c>
      <c r="D214" s="135">
        <f>F169/1000</f>
        <v>0</v>
      </c>
      <c r="E214" s="131"/>
      <c r="F214" s="591" t="s">
        <v>60</v>
      </c>
      <c r="G214" s="592"/>
      <c r="H214" s="593"/>
      <c r="I214" s="409">
        <v>7712.94205</v>
      </c>
      <c r="J214" s="139">
        <v>4970</v>
      </c>
    </row>
    <row r="215" spans="1:10" s="128" customFormat="1" ht="11.25" customHeight="1" thickBot="1">
      <c r="A215" s="633" t="s">
        <v>228</v>
      </c>
      <c r="B215" s="635"/>
      <c r="C215" s="407">
        <v>0</v>
      </c>
      <c r="D215" s="135"/>
      <c r="E215" s="131"/>
      <c r="F215" s="588" t="s">
        <v>62</v>
      </c>
      <c r="G215" s="589"/>
      <c r="H215" s="590"/>
      <c r="I215" s="140">
        <f>+I212+I213-I214</f>
        <v>1975.9752300000018</v>
      </c>
      <c r="J215" s="141">
        <f>SUM(J212+J213-J214)</f>
        <v>605.9752300000018</v>
      </c>
    </row>
    <row r="216" spans="1:6" s="128" customFormat="1" ht="11.25" customHeight="1">
      <c r="A216" s="633" t="s">
        <v>229</v>
      </c>
      <c r="B216" s="635"/>
      <c r="C216" s="407">
        <v>0</v>
      </c>
      <c r="D216" s="137"/>
      <c r="E216" s="131"/>
      <c r="F216" s="131"/>
    </row>
    <row r="217" spans="1:6" s="128" customFormat="1" ht="11.25" customHeight="1">
      <c r="A217" s="633" t="s">
        <v>230</v>
      </c>
      <c r="B217" s="635"/>
      <c r="C217" s="407">
        <v>0</v>
      </c>
      <c r="D217" s="137"/>
      <c r="E217" s="131"/>
      <c r="F217" s="131"/>
    </row>
    <row r="218" spans="1:6" s="128" customFormat="1" ht="11.25" customHeight="1">
      <c r="A218" s="633" t="s">
        <v>231</v>
      </c>
      <c r="B218" s="635"/>
      <c r="C218" s="407">
        <v>406.904</v>
      </c>
      <c r="D218" s="137">
        <f>H166/1000</f>
        <v>700</v>
      </c>
      <c r="E218" s="131"/>
      <c r="F218" s="131"/>
    </row>
    <row r="219" spans="1:6" s="128" customFormat="1" ht="11.25" customHeight="1">
      <c r="A219" s="633" t="s">
        <v>232</v>
      </c>
      <c r="B219" s="635"/>
      <c r="C219" s="407">
        <v>600</v>
      </c>
      <c r="D219" s="137"/>
      <c r="E219" s="131"/>
      <c r="F219" s="131"/>
    </row>
    <row r="220" spans="1:6" s="128" customFormat="1" ht="11.25" customHeight="1">
      <c r="A220" s="633" t="s">
        <v>466</v>
      </c>
      <c r="B220" s="635"/>
      <c r="C220" s="407"/>
      <c r="D220" s="137">
        <f>H167/1000</f>
        <v>116.64</v>
      </c>
      <c r="E220" s="131"/>
      <c r="F220" s="131"/>
    </row>
    <row r="221" spans="1:6" s="128" customFormat="1" ht="11.25" customHeight="1">
      <c r="A221" s="633" t="s">
        <v>294</v>
      </c>
      <c r="B221" s="635"/>
      <c r="C221" s="407">
        <v>0</v>
      </c>
      <c r="D221" s="137">
        <f>D169/1000</f>
        <v>0</v>
      </c>
      <c r="E221" s="131"/>
      <c r="F221" s="131"/>
    </row>
    <row r="222" spans="1:6" s="128" customFormat="1" ht="11.25" customHeight="1">
      <c r="A222" s="633" t="s">
        <v>216</v>
      </c>
      <c r="B222" s="635"/>
      <c r="C222" s="407">
        <v>717.44</v>
      </c>
      <c r="D222" s="137">
        <f>C169/1000</f>
        <v>3515.24</v>
      </c>
      <c r="E222" s="131"/>
      <c r="F222" s="131"/>
    </row>
    <row r="223" spans="1:6" s="128" customFormat="1" ht="11.25" customHeight="1">
      <c r="A223" s="633" t="s">
        <v>217</v>
      </c>
      <c r="B223" s="635"/>
      <c r="C223" s="407">
        <v>5261.0115</v>
      </c>
      <c r="D223" s="137">
        <f>E130/1000</f>
        <v>0</v>
      </c>
      <c r="E223" s="131"/>
      <c r="F223" s="131"/>
    </row>
    <row r="224" spans="1:6" s="128" customFormat="1" ht="11.25" customHeight="1">
      <c r="A224" s="633" t="s">
        <v>233</v>
      </c>
      <c r="B224" s="635"/>
      <c r="C224" s="407">
        <v>240</v>
      </c>
      <c r="D224" s="137">
        <f>F130/1000</f>
        <v>0</v>
      </c>
      <c r="E224" s="131"/>
      <c r="F224" s="131"/>
    </row>
    <row r="225" spans="1:6" s="128" customFormat="1" ht="11.25" customHeight="1">
      <c r="A225" s="633" t="s">
        <v>234</v>
      </c>
      <c r="B225" s="635"/>
      <c r="C225" s="407">
        <v>0</v>
      </c>
      <c r="D225" s="139"/>
      <c r="E225" s="131"/>
      <c r="F225" s="131"/>
    </row>
    <row r="226" spans="1:6" s="128" customFormat="1" ht="11.25" customHeight="1">
      <c r="A226" s="633" t="s">
        <v>17</v>
      </c>
      <c r="B226" s="635"/>
      <c r="C226" s="407">
        <v>0</v>
      </c>
      <c r="D226" s="135"/>
      <c r="E226" s="131"/>
      <c r="F226" s="131"/>
    </row>
    <row r="227" spans="1:6" s="128" customFormat="1" ht="11.25" customHeight="1">
      <c r="A227" s="633" t="s">
        <v>18</v>
      </c>
      <c r="B227" s="635"/>
      <c r="C227" s="407">
        <v>0</v>
      </c>
      <c r="D227" s="135"/>
      <c r="E227" s="131"/>
      <c r="F227" s="131"/>
    </row>
    <row r="228" spans="1:6" s="128" customFormat="1" ht="11.25" customHeight="1">
      <c r="A228" s="633" t="s">
        <v>19</v>
      </c>
      <c r="B228" s="635"/>
      <c r="C228" s="407">
        <v>12500</v>
      </c>
      <c r="D228" s="135"/>
      <c r="E228" s="131"/>
      <c r="F228" s="131"/>
    </row>
    <row r="229" spans="1:6" s="128" customFormat="1" ht="11.25" customHeight="1">
      <c r="A229" s="633" t="s">
        <v>295</v>
      </c>
      <c r="B229" s="635"/>
      <c r="C229" s="407">
        <v>80610.362</v>
      </c>
      <c r="D229" s="135">
        <f>D130/1000</f>
        <v>2000</v>
      </c>
      <c r="E229" s="131"/>
      <c r="F229" s="131"/>
    </row>
    <row r="230" spans="1:6" s="128" customFormat="1" ht="11.25" customHeight="1">
      <c r="A230" s="633" t="s">
        <v>218</v>
      </c>
      <c r="B230" s="635"/>
      <c r="C230" s="407">
        <v>15400</v>
      </c>
      <c r="D230" s="135">
        <f>C130/1000</f>
        <v>1380.63</v>
      </c>
      <c r="E230" s="131"/>
      <c r="F230" s="131"/>
    </row>
    <row r="231" spans="1:6" s="128" customFormat="1" ht="11.25" customHeight="1">
      <c r="A231" s="652" t="s">
        <v>61</v>
      </c>
      <c r="B231" s="653"/>
      <c r="C231" s="407">
        <v>0</v>
      </c>
      <c r="D231" s="135"/>
      <c r="E231" s="347"/>
      <c r="F231" s="131"/>
    </row>
    <row r="232" spans="1:6" s="128" customFormat="1" ht="11.25" customHeight="1">
      <c r="A232" s="652" t="s">
        <v>219</v>
      </c>
      <c r="B232" s="653"/>
      <c r="C232" s="407">
        <v>0</v>
      </c>
      <c r="D232" s="135">
        <f>-H90</f>
        <v>22279.631603799717</v>
      </c>
      <c r="E232" s="133"/>
      <c r="F232" s="131"/>
    </row>
    <row r="233" spans="1:20" s="9" customFormat="1" ht="12" customHeight="1" thickBot="1">
      <c r="A233" s="650" t="s">
        <v>220</v>
      </c>
      <c r="B233" s="651"/>
      <c r="C233" s="408">
        <v>0</v>
      </c>
      <c r="D233" s="147"/>
      <c r="E233" s="6"/>
      <c r="F233" s="6"/>
      <c r="G233" s="6"/>
      <c r="H233" s="6"/>
      <c r="I233" s="3"/>
      <c r="J233" s="85"/>
      <c r="K233" s="3"/>
      <c r="L233" s="3"/>
      <c r="M233" s="3"/>
      <c r="N233"/>
      <c r="O233"/>
      <c r="P233"/>
      <c r="Q233"/>
      <c r="R233"/>
      <c r="S233"/>
      <c r="T233"/>
    </row>
    <row r="234" spans="1:14" ht="11.25" customHeight="1" thickBot="1">
      <c r="A234" s="613" t="s">
        <v>62</v>
      </c>
      <c r="B234" s="614"/>
      <c r="C234" s="148">
        <f>SUM(C191+C192-C204)</f>
        <v>47248.82949999999</v>
      </c>
      <c r="D234" s="149">
        <f>SUM(D191+D192-D204)</f>
        <v>30590.392896200254</v>
      </c>
      <c r="M234"/>
      <c r="N234"/>
    </row>
    <row r="235" spans="1:14" ht="6" customHeight="1">
      <c r="A235" s="2"/>
      <c r="J235" s="3"/>
      <c r="K235" s="85"/>
      <c r="N235"/>
    </row>
    <row r="236" spans="1:14" ht="15" customHeight="1" thickBot="1">
      <c r="A236" s="26" t="s">
        <v>83</v>
      </c>
      <c r="B236" s="27"/>
      <c r="C236" s="27"/>
      <c r="D236" s="3"/>
      <c r="J236" s="3"/>
      <c r="K236" s="85"/>
      <c r="N236"/>
    </row>
    <row r="237" spans="1:14" ht="11.25" customHeight="1">
      <c r="A237" s="638" t="s">
        <v>40</v>
      </c>
      <c r="B237" s="828"/>
      <c r="C237" s="31" t="s">
        <v>45</v>
      </c>
      <c r="D237" s="23" t="s">
        <v>46</v>
      </c>
      <c r="J237" s="3"/>
      <c r="K237" s="85"/>
      <c r="N237"/>
    </row>
    <row r="238" spans="1:14" ht="13.5" thickBot="1">
      <c r="A238" s="640"/>
      <c r="B238" s="829"/>
      <c r="C238" s="41">
        <v>2010</v>
      </c>
      <c r="D238" s="25">
        <v>2011</v>
      </c>
      <c r="M238"/>
      <c r="N238"/>
    </row>
    <row r="239" spans="1:14" s="411" customFormat="1" ht="13.5" thickBot="1">
      <c r="A239" s="642" t="s">
        <v>235</v>
      </c>
      <c r="B239" s="643"/>
      <c r="C239" s="337">
        <v>1169.25</v>
      </c>
      <c r="D239" s="330">
        <v>1181.73</v>
      </c>
      <c r="E239" s="3"/>
      <c r="F239" s="3"/>
      <c r="G239" s="3"/>
      <c r="H239" s="3"/>
      <c r="I239" s="3"/>
      <c r="J239" s="85"/>
      <c r="K239" s="3"/>
      <c r="L239" s="3"/>
      <c r="M239" s="3"/>
      <c r="N239" s="3"/>
    </row>
    <row r="240" spans="1:10" s="54" customFormat="1" ht="12.75">
      <c r="A240" s="3"/>
      <c r="B240" s="6"/>
      <c r="C240" s="6"/>
      <c r="D240" s="3"/>
      <c r="J240" s="96"/>
    </row>
    <row r="241" spans="1:10" s="54" customFormat="1" ht="15.75" thickBot="1">
      <c r="A241" s="495" t="s">
        <v>455</v>
      </c>
      <c r="B241" s="6"/>
      <c r="C241" s="6"/>
      <c r="D241" s="6"/>
      <c r="J241" s="96"/>
    </row>
    <row r="242" spans="1:10" s="54" customFormat="1" ht="33.75">
      <c r="A242" s="465" t="s">
        <v>385</v>
      </c>
      <c r="B242" s="466" t="s">
        <v>386</v>
      </c>
      <c r="C242" s="466" t="s">
        <v>431</v>
      </c>
      <c r="D242" s="467" t="s">
        <v>432</v>
      </c>
      <c r="J242" s="96"/>
    </row>
    <row r="243" spans="1:10" s="54" customFormat="1" ht="22.5">
      <c r="A243" s="471">
        <v>1</v>
      </c>
      <c r="B243" s="489" t="s">
        <v>433</v>
      </c>
      <c r="C243" s="490">
        <v>1705034.48</v>
      </c>
      <c r="D243" s="491">
        <v>210000</v>
      </c>
      <c r="J243" s="96"/>
    </row>
    <row r="244" spans="1:10" s="54" customFormat="1" ht="11.25">
      <c r="A244" s="471">
        <v>2</v>
      </c>
      <c r="B244" s="489" t="s">
        <v>434</v>
      </c>
      <c r="C244" s="490"/>
      <c r="D244" s="491">
        <v>1700000</v>
      </c>
      <c r="J244" s="96"/>
    </row>
    <row r="245" spans="1:10" s="54" customFormat="1" ht="22.5">
      <c r="A245" s="471">
        <v>3</v>
      </c>
      <c r="B245" s="489" t="s">
        <v>435</v>
      </c>
      <c r="C245" s="490"/>
      <c r="D245" s="491">
        <v>70000</v>
      </c>
      <c r="J245" s="96"/>
    </row>
    <row r="246" spans="1:10" s="54" customFormat="1" ht="11.25">
      <c r="A246" s="471">
        <v>4</v>
      </c>
      <c r="B246" s="489" t="s">
        <v>436</v>
      </c>
      <c r="C246" s="490"/>
      <c r="D246" s="491">
        <v>60000</v>
      </c>
      <c r="J246" s="96"/>
    </row>
    <row r="247" spans="1:10" s="54" customFormat="1" ht="11.25">
      <c r="A247" s="471">
        <v>5</v>
      </c>
      <c r="B247" s="489" t="s">
        <v>437</v>
      </c>
      <c r="C247" s="490"/>
      <c r="D247" s="491">
        <v>350000</v>
      </c>
      <c r="J247" s="96"/>
    </row>
    <row r="248" spans="1:10" s="54" customFormat="1" ht="11.25">
      <c r="A248" s="471">
        <v>6</v>
      </c>
      <c r="B248" s="489" t="s">
        <v>438</v>
      </c>
      <c r="C248" s="490"/>
      <c r="D248" s="491">
        <v>3000000</v>
      </c>
      <c r="J248" s="96"/>
    </row>
    <row r="249" spans="1:10" s="54" customFormat="1" ht="11.25">
      <c r="A249" s="471">
        <v>7</v>
      </c>
      <c r="B249" s="489" t="s">
        <v>439</v>
      </c>
      <c r="C249" s="490"/>
      <c r="D249" s="491">
        <v>125000</v>
      </c>
      <c r="J249" s="96"/>
    </row>
    <row r="250" spans="1:10" s="54" customFormat="1" ht="11.25">
      <c r="A250" s="471">
        <v>8</v>
      </c>
      <c r="B250" s="489" t="s">
        <v>440</v>
      </c>
      <c r="C250" s="490"/>
      <c r="D250" s="491">
        <v>55000</v>
      </c>
      <c r="J250" s="96"/>
    </row>
    <row r="251" spans="1:10" s="54" customFormat="1" ht="22.5">
      <c r="A251" s="471">
        <v>9</v>
      </c>
      <c r="B251" s="489" t="s">
        <v>441</v>
      </c>
      <c r="C251" s="490"/>
      <c r="D251" s="491">
        <v>250000</v>
      </c>
      <c r="J251" s="96"/>
    </row>
    <row r="252" spans="1:10" s="54" customFormat="1" ht="22.5">
      <c r="A252" s="471">
        <v>10</v>
      </c>
      <c r="B252" s="489" t="s">
        <v>442</v>
      </c>
      <c r="C252" s="490"/>
      <c r="D252" s="491">
        <v>70000</v>
      </c>
      <c r="J252" s="96"/>
    </row>
    <row r="253" spans="1:10" s="54" customFormat="1" ht="22.5">
      <c r="A253" s="471">
        <v>11</v>
      </c>
      <c r="B253" s="489" t="s">
        <v>441</v>
      </c>
      <c r="C253" s="490"/>
      <c r="D253" s="491">
        <v>250000</v>
      </c>
      <c r="J253" s="96"/>
    </row>
    <row r="254" spans="1:10" s="54" customFormat="1" ht="22.5">
      <c r="A254" s="471">
        <v>12</v>
      </c>
      <c r="B254" s="489" t="s">
        <v>442</v>
      </c>
      <c r="C254" s="490"/>
      <c r="D254" s="491">
        <v>70000</v>
      </c>
      <c r="J254" s="96"/>
    </row>
    <row r="255" spans="1:10" s="54" customFormat="1" ht="11.25">
      <c r="A255" s="471">
        <v>13</v>
      </c>
      <c r="B255" s="489" t="s">
        <v>443</v>
      </c>
      <c r="C255" s="490"/>
      <c r="D255" s="491">
        <v>80000</v>
      </c>
      <c r="J255" s="96"/>
    </row>
    <row r="256" spans="1:10" s="54" customFormat="1" ht="22.5">
      <c r="A256" s="471">
        <v>14</v>
      </c>
      <c r="B256" s="489" t="s">
        <v>444</v>
      </c>
      <c r="C256" s="490"/>
      <c r="D256" s="491">
        <v>350000</v>
      </c>
      <c r="J256" s="96"/>
    </row>
    <row r="257" spans="1:10" s="54" customFormat="1" ht="11.25">
      <c r="A257" s="471">
        <v>15</v>
      </c>
      <c r="B257" s="489" t="s">
        <v>445</v>
      </c>
      <c r="C257" s="490"/>
      <c r="D257" s="491">
        <v>350000</v>
      </c>
      <c r="J257" s="96"/>
    </row>
    <row r="258" spans="1:10" s="54" customFormat="1" ht="11.25">
      <c r="A258" s="471">
        <v>16</v>
      </c>
      <c r="B258" s="489" t="s">
        <v>446</v>
      </c>
      <c r="C258" s="490"/>
      <c r="D258" s="491">
        <v>1200000</v>
      </c>
      <c r="J258" s="96"/>
    </row>
    <row r="259" spans="1:10" s="498" customFormat="1" ht="11.25" customHeight="1">
      <c r="A259" s="471">
        <v>17</v>
      </c>
      <c r="B259" s="489" t="s">
        <v>447</v>
      </c>
      <c r="C259" s="490"/>
      <c r="D259" s="491">
        <v>200000</v>
      </c>
      <c r="J259" s="499"/>
    </row>
    <row r="260" spans="1:10" s="54" customFormat="1" ht="11.25">
      <c r="A260" s="471">
        <v>18</v>
      </c>
      <c r="B260" s="489" t="s">
        <v>448</v>
      </c>
      <c r="C260" s="490"/>
      <c r="D260" s="491">
        <v>200000</v>
      </c>
      <c r="J260" s="96"/>
    </row>
    <row r="261" spans="1:10" s="496" customFormat="1" ht="11.25">
      <c r="A261" s="767" t="s">
        <v>398</v>
      </c>
      <c r="B261" s="768"/>
      <c r="C261" s="497">
        <f>SUM(C243:C260)</f>
        <v>1705034.48</v>
      </c>
      <c r="D261" s="506">
        <f>SUM(D243:D260)</f>
        <v>8590000</v>
      </c>
      <c r="J261" s="500"/>
    </row>
    <row r="262" spans="1:10" s="54" customFormat="1" ht="11.25">
      <c r="A262" s="223"/>
      <c r="B262" s="507"/>
      <c r="C262" s="507"/>
      <c r="D262" s="508"/>
      <c r="J262" s="96"/>
    </row>
    <row r="263" spans="1:10" s="54" customFormat="1" ht="33.75">
      <c r="A263" s="471" t="s">
        <v>399</v>
      </c>
      <c r="B263" s="472" t="s">
        <v>400</v>
      </c>
      <c r="C263" s="472" t="s">
        <v>431</v>
      </c>
      <c r="D263" s="473" t="s">
        <v>432</v>
      </c>
      <c r="J263" s="96"/>
    </row>
    <row r="264" spans="1:10" s="54" customFormat="1" ht="11.25">
      <c r="A264" s="471">
        <v>1</v>
      </c>
      <c r="B264" s="489" t="s">
        <v>449</v>
      </c>
      <c r="C264" s="502">
        <v>13589433.38</v>
      </c>
      <c r="D264" s="491">
        <v>2500000</v>
      </c>
      <c r="J264" s="96"/>
    </row>
    <row r="265" spans="1:10" s="54" customFormat="1" ht="11.25">
      <c r="A265" s="471">
        <v>2</v>
      </c>
      <c r="B265" s="489" t="s">
        <v>450</v>
      </c>
      <c r="C265" s="502"/>
      <c r="D265" s="491">
        <v>80000</v>
      </c>
      <c r="J265" s="96"/>
    </row>
    <row r="266" spans="1:10" s="54" customFormat="1" ht="22.5">
      <c r="A266" s="471">
        <v>3</v>
      </c>
      <c r="B266" s="489" t="s">
        <v>451</v>
      </c>
      <c r="C266" s="502"/>
      <c r="D266" s="491">
        <v>250000</v>
      </c>
      <c r="J266" s="96"/>
    </row>
    <row r="267" spans="1:10" s="498" customFormat="1" ht="14.25" customHeight="1">
      <c r="A267" s="471">
        <v>4</v>
      </c>
      <c r="B267" s="489" t="s">
        <v>452</v>
      </c>
      <c r="C267" s="502"/>
      <c r="D267" s="491">
        <v>100000</v>
      </c>
      <c r="J267" s="499"/>
    </row>
    <row r="268" spans="1:10" s="54" customFormat="1" ht="11.25">
      <c r="A268" s="471">
        <v>5</v>
      </c>
      <c r="B268" s="489" t="s">
        <v>453</v>
      </c>
      <c r="C268" s="502"/>
      <c r="D268" s="491">
        <v>1000000</v>
      </c>
      <c r="J268" s="96"/>
    </row>
    <row r="269" spans="1:10" s="54" customFormat="1" ht="11.25">
      <c r="A269" s="767" t="s">
        <v>406</v>
      </c>
      <c r="B269" s="768"/>
      <c r="C269" s="503">
        <f>SUM(C264:C268)</f>
        <v>13589433.38</v>
      </c>
      <c r="D269" s="506">
        <f>SUM(D264:D268)</f>
        <v>3930000</v>
      </c>
      <c r="J269" s="96"/>
    </row>
    <row r="270" spans="1:10" s="54" customFormat="1" ht="11.25">
      <c r="A270" s="223"/>
      <c r="B270" s="507"/>
      <c r="C270" s="507"/>
      <c r="D270" s="509"/>
      <c r="J270" s="96"/>
    </row>
    <row r="271" spans="1:10" s="498" customFormat="1" ht="34.5" customHeight="1">
      <c r="A271" s="471" t="s">
        <v>399</v>
      </c>
      <c r="B271" s="472" t="s">
        <v>407</v>
      </c>
      <c r="C271" s="472" t="s">
        <v>431</v>
      </c>
      <c r="D271" s="473" t="s">
        <v>432</v>
      </c>
      <c r="J271" s="499"/>
    </row>
    <row r="272" spans="1:10" s="54" customFormat="1" ht="11.25">
      <c r="A272" s="510">
        <v>1</v>
      </c>
      <c r="B272" s="489" t="s">
        <v>454</v>
      </c>
      <c r="C272" s="490">
        <v>2210022.71</v>
      </c>
      <c r="D272" s="491">
        <v>115000</v>
      </c>
      <c r="J272" s="96"/>
    </row>
    <row r="273" spans="1:10" s="54" customFormat="1" ht="11.25">
      <c r="A273" s="767" t="s">
        <v>415</v>
      </c>
      <c r="B273" s="768"/>
      <c r="C273" s="497">
        <f>SUM(C272)</f>
        <v>2210022.71</v>
      </c>
      <c r="D273" s="506">
        <f>SUM(D272)</f>
        <v>115000</v>
      </c>
      <c r="J273" s="96"/>
    </row>
    <row r="274" spans="1:10" s="54" customFormat="1" ht="11.25">
      <c r="A274" s="223"/>
      <c r="B274" s="507"/>
      <c r="C274" s="507"/>
      <c r="D274" s="508"/>
      <c r="J274" s="96"/>
    </row>
    <row r="275" spans="1:10" s="498" customFormat="1" ht="36" customHeight="1">
      <c r="A275" s="471" t="s">
        <v>385</v>
      </c>
      <c r="B275" s="472" t="s">
        <v>416</v>
      </c>
      <c r="C275" s="472" t="s">
        <v>431</v>
      </c>
      <c r="D275" s="473" t="s">
        <v>432</v>
      </c>
      <c r="J275" s="499"/>
    </row>
    <row r="276" spans="1:10" s="54" customFormat="1" ht="11.25">
      <c r="A276" s="471">
        <v>1</v>
      </c>
      <c r="B276" s="489"/>
      <c r="C276" s="489">
        <v>5297.22</v>
      </c>
      <c r="D276" s="511"/>
      <c r="J276" s="96"/>
    </row>
    <row r="277" spans="1:10" s="54" customFormat="1" ht="11.25">
      <c r="A277" s="767" t="s">
        <v>419</v>
      </c>
      <c r="B277" s="768"/>
      <c r="C277" s="501">
        <f>SUM(C276)</f>
        <v>5297.22</v>
      </c>
      <c r="D277" s="512">
        <f>SUM(D276)</f>
        <v>0</v>
      </c>
      <c r="J277" s="96"/>
    </row>
    <row r="278" spans="1:10" s="54" customFormat="1" ht="11.25">
      <c r="A278" s="223"/>
      <c r="B278" s="507"/>
      <c r="C278" s="507"/>
      <c r="D278" s="508"/>
      <c r="J278" s="96"/>
    </row>
    <row r="279" spans="1:10" s="498" customFormat="1" ht="32.25" customHeight="1">
      <c r="A279" s="471" t="s">
        <v>385</v>
      </c>
      <c r="B279" s="472" t="s">
        <v>420</v>
      </c>
      <c r="C279" s="472" t="s">
        <v>431</v>
      </c>
      <c r="D279" s="473" t="s">
        <v>432</v>
      </c>
      <c r="J279" s="499"/>
    </row>
    <row r="280" spans="1:10" s="498" customFormat="1" ht="11.25" customHeight="1">
      <c r="A280" s="471">
        <v>1</v>
      </c>
      <c r="B280" s="489"/>
      <c r="C280" s="490">
        <v>35432.99</v>
      </c>
      <c r="D280" s="511"/>
      <c r="J280" s="499"/>
    </row>
    <row r="281" spans="1:10" s="496" customFormat="1" ht="11.25">
      <c r="A281" s="767" t="s">
        <v>456</v>
      </c>
      <c r="B281" s="768"/>
      <c r="C281" s="497">
        <f>SUM(C280)</f>
        <v>35432.99</v>
      </c>
      <c r="D281" s="512">
        <f>SUM(D280)</f>
        <v>0</v>
      </c>
      <c r="J281" s="500"/>
    </row>
    <row r="282" spans="1:10" s="54" customFormat="1" ht="11.25">
      <c r="A282" s="513"/>
      <c r="B282" s="504"/>
      <c r="C282" s="505"/>
      <c r="D282" s="514"/>
      <c r="J282" s="96"/>
    </row>
    <row r="283" spans="1:10" s="54" customFormat="1" ht="33.75">
      <c r="A283" s="471" t="s">
        <v>385</v>
      </c>
      <c r="B283" s="472" t="s">
        <v>423</v>
      </c>
      <c r="C283" s="472" t="s">
        <v>431</v>
      </c>
      <c r="D283" s="473" t="s">
        <v>432</v>
      </c>
      <c r="J283" s="96"/>
    </row>
    <row r="284" spans="1:10" s="54" customFormat="1" ht="11.25">
      <c r="A284" s="471">
        <v>1</v>
      </c>
      <c r="B284" s="489" t="s">
        <v>424</v>
      </c>
      <c r="C284" s="490">
        <f>SUM(C261,C277)</f>
        <v>1710331.7</v>
      </c>
      <c r="D284" s="491">
        <f>SUM(D261,D277)</f>
        <v>8590000</v>
      </c>
      <c r="J284" s="96"/>
    </row>
    <row r="285" spans="1:10" s="498" customFormat="1" ht="22.5">
      <c r="A285" s="471">
        <v>2</v>
      </c>
      <c r="B285" s="489" t="s">
        <v>425</v>
      </c>
      <c r="C285" s="490">
        <f>SUM(C269)</f>
        <v>13589433.38</v>
      </c>
      <c r="D285" s="491">
        <f>SUM(D269)</f>
        <v>3930000</v>
      </c>
      <c r="J285" s="499"/>
    </row>
    <row r="286" spans="1:10" s="54" customFormat="1" ht="11.25">
      <c r="A286" s="471">
        <v>3</v>
      </c>
      <c r="B286" s="489" t="s">
        <v>426</v>
      </c>
      <c r="C286" s="490">
        <f>SUM(C273,C281)</f>
        <v>2245455.7</v>
      </c>
      <c r="D286" s="491">
        <f>SUM(D273,D281)</f>
        <v>115000</v>
      </c>
      <c r="J286" s="96"/>
    </row>
    <row r="287" spans="1:10" s="54" customFormat="1" ht="12" thickBot="1">
      <c r="A287" s="515" t="s">
        <v>427</v>
      </c>
      <c r="B287" s="516"/>
      <c r="C287" s="517">
        <f>SUM(C284:C286)</f>
        <v>17545220.78</v>
      </c>
      <c r="D287" s="518">
        <f>SUM(D284:D286)</f>
        <v>12635000</v>
      </c>
      <c r="J287" s="96"/>
    </row>
    <row r="288" s="54" customFormat="1" ht="11.25">
      <c r="J288" s="96"/>
    </row>
    <row r="289" s="54" customFormat="1" ht="11.25">
      <c r="J289" s="96"/>
    </row>
    <row r="290" s="54" customFormat="1" ht="11.25">
      <c r="J290" s="96"/>
    </row>
    <row r="291" s="54" customFormat="1" ht="11.25">
      <c r="J291" s="96"/>
    </row>
    <row r="292" s="54" customFormat="1" ht="11.25">
      <c r="J292" s="96"/>
    </row>
    <row r="293" s="54" customFormat="1" ht="11.25">
      <c r="J293" s="96"/>
    </row>
    <row r="294" s="54" customFormat="1" ht="11.25">
      <c r="J294" s="96"/>
    </row>
    <row r="295" s="54" customFormat="1" ht="11.25">
      <c r="J295" s="96"/>
    </row>
    <row r="296" s="54" customFormat="1" ht="11.25">
      <c r="J296" s="96"/>
    </row>
    <row r="297" s="54" customFormat="1" ht="11.25">
      <c r="J297" s="96"/>
    </row>
    <row r="298" s="54" customFormat="1" ht="11.25">
      <c r="J298" s="96"/>
    </row>
    <row r="299" spans="1:4" ht="12.75">
      <c r="A299" s="54"/>
      <c r="B299" s="54"/>
      <c r="C299" s="54"/>
      <c r="D299" s="54"/>
    </row>
    <row r="300" spans="1:4" ht="12.75">
      <c r="A300" s="54"/>
      <c r="B300" s="54"/>
      <c r="C300" s="54"/>
      <c r="D300" s="54"/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3" name="Oblast1"/>
    <protectedRange password="A131" sqref="C191 C193:D203 D207 D209:D210 D225 D227:D228 D231:D233 D215 C205:C233 D217:D220" name="Oblast1_2"/>
    <protectedRange password="A131" sqref="I191 I193:J195 I197:J200" name="Oblast1_3"/>
    <protectedRange password="A131" sqref="I205:I207" name="Oblast1_4"/>
    <protectedRange password="A131" sqref="I212:I214 J213:J214" name="Oblast1_5"/>
  </protectedRanges>
  <mergeCells count="210">
    <mergeCell ref="A166:B166"/>
    <mergeCell ref="A165:B165"/>
    <mergeCell ref="A164:B164"/>
    <mergeCell ref="A174:B174"/>
    <mergeCell ref="A169:B169"/>
    <mergeCell ref="F210:H211"/>
    <mergeCell ref="F215:H215"/>
    <mergeCell ref="F214:H214"/>
    <mergeCell ref="F213:H213"/>
    <mergeCell ref="F212:H212"/>
    <mergeCell ref="F203:H204"/>
    <mergeCell ref="F208:H208"/>
    <mergeCell ref="F207:H207"/>
    <mergeCell ref="F206:H206"/>
    <mergeCell ref="F205:H205"/>
    <mergeCell ref="F193:H193"/>
    <mergeCell ref="F191:H191"/>
    <mergeCell ref="F192:H192"/>
    <mergeCell ref="F197:H197"/>
    <mergeCell ref="F196:H196"/>
    <mergeCell ref="F195:H195"/>
    <mergeCell ref="F194:H194"/>
    <mergeCell ref="A237:B238"/>
    <mergeCell ref="A239:B239"/>
    <mergeCell ref="F189:H190"/>
    <mergeCell ref="F201:H201"/>
    <mergeCell ref="F200:H200"/>
    <mergeCell ref="F199:H199"/>
    <mergeCell ref="F198:H198"/>
    <mergeCell ref="A226:B226"/>
    <mergeCell ref="A225:B225"/>
    <mergeCell ref="A224:B224"/>
    <mergeCell ref="A189:B190"/>
    <mergeCell ref="A192:B192"/>
    <mergeCell ref="A191:B191"/>
    <mergeCell ref="A234:B234"/>
    <mergeCell ref="A233:B233"/>
    <mergeCell ref="A232:B232"/>
    <mergeCell ref="A231:B231"/>
    <mergeCell ref="A230:B230"/>
    <mergeCell ref="A229:B229"/>
    <mergeCell ref="A228:B228"/>
    <mergeCell ref="A227:B227"/>
    <mergeCell ref="A196:B196"/>
    <mergeCell ref="A195:B195"/>
    <mergeCell ref="A194:B194"/>
    <mergeCell ref="A205:B205"/>
    <mergeCell ref="A204:B204"/>
    <mergeCell ref="A203:B203"/>
    <mergeCell ref="A202:B202"/>
    <mergeCell ref="A209:B209"/>
    <mergeCell ref="A208:B208"/>
    <mergeCell ref="A193:B193"/>
    <mergeCell ref="A201:B201"/>
    <mergeCell ref="A199:B199"/>
    <mergeCell ref="A198:B198"/>
    <mergeCell ref="A197:B197"/>
    <mergeCell ref="A200:B200"/>
    <mergeCell ref="A223:B223"/>
    <mergeCell ref="A222:B222"/>
    <mergeCell ref="A221:B221"/>
    <mergeCell ref="A219:B219"/>
    <mergeCell ref="A220:B220"/>
    <mergeCell ref="A218:B218"/>
    <mergeCell ref="A217:B217"/>
    <mergeCell ref="A216:B216"/>
    <mergeCell ref="A215:B215"/>
    <mergeCell ref="A207:B207"/>
    <mergeCell ref="A206:B206"/>
    <mergeCell ref="A213:B213"/>
    <mergeCell ref="A212:B212"/>
    <mergeCell ref="A211:B211"/>
    <mergeCell ref="A210:B210"/>
    <mergeCell ref="H171:H172"/>
    <mergeCell ref="I171:I172"/>
    <mergeCell ref="J171:J172"/>
    <mergeCell ref="A124:B125"/>
    <mergeCell ref="A130:B130"/>
    <mergeCell ref="A132:B133"/>
    <mergeCell ref="A157:B157"/>
    <mergeCell ref="C171:C172"/>
    <mergeCell ref="D171:D172"/>
    <mergeCell ref="A163:B163"/>
    <mergeCell ref="E171:E172"/>
    <mergeCell ref="E159:E160"/>
    <mergeCell ref="C159:C160"/>
    <mergeCell ref="D159:D160"/>
    <mergeCell ref="H159:H160"/>
    <mergeCell ref="I159:I160"/>
    <mergeCell ref="J159:J160"/>
    <mergeCell ref="I124:I125"/>
    <mergeCell ref="J124:J125"/>
    <mergeCell ref="I132:I133"/>
    <mergeCell ref="J132:J133"/>
    <mergeCell ref="C132:C133"/>
    <mergeCell ref="D132:D133"/>
    <mergeCell ref="E132:E133"/>
    <mergeCell ref="H132:H133"/>
    <mergeCell ref="A121:B121"/>
    <mergeCell ref="A120:B120"/>
    <mergeCell ref="A119:B119"/>
    <mergeCell ref="A127:B127"/>
    <mergeCell ref="A126:B126"/>
    <mergeCell ref="A105:B105"/>
    <mergeCell ref="A100:B100"/>
    <mergeCell ref="A99:B99"/>
    <mergeCell ref="A98:B98"/>
    <mergeCell ref="A104:B104"/>
    <mergeCell ref="A103:B103"/>
    <mergeCell ref="A109:B109"/>
    <mergeCell ref="A108:B108"/>
    <mergeCell ref="A107:B107"/>
    <mergeCell ref="A106:B106"/>
    <mergeCell ref="A88:B88"/>
    <mergeCell ref="A89:B89"/>
    <mergeCell ref="A90:B90"/>
    <mergeCell ref="A102:B102"/>
    <mergeCell ref="A101:B101"/>
    <mergeCell ref="A96:B96"/>
    <mergeCell ref="A95:B95"/>
    <mergeCell ref="A94:B94"/>
    <mergeCell ref="A97:B97"/>
    <mergeCell ref="A83:B83"/>
    <mergeCell ref="A84:B84"/>
    <mergeCell ref="A85:A86"/>
    <mergeCell ref="A87:B87"/>
    <mergeCell ref="A79:B79"/>
    <mergeCell ref="A80:B80"/>
    <mergeCell ref="A81:B81"/>
    <mergeCell ref="A82:B82"/>
    <mergeCell ref="A74:B74"/>
    <mergeCell ref="A75:A76"/>
    <mergeCell ref="A77:B77"/>
    <mergeCell ref="A78:B78"/>
    <mergeCell ref="A64:A66"/>
    <mergeCell ref="A67:B67"/>
    <mergeCell ref="A68:A72"/>
    <mergeCell ref="A73:B73"/>
    <mergeCell ref="A60:B60"/>
    <mergeCell ref="A61:B61"/>
    <mergeCell ref="A62:B62"/>
    <mergeCell ref="A63:B63"/>
    <mergeCell ref="A56:B56"/>
    <mergeCell ref="A57:B57"/>
    <mergeCell ref="A58:B58"/>
    <mergeCell ref="A59:B59"/>
    <mergeCell ref="A51:B51"/>
    <mergeCell ref="A52:A53"/>
    <mergeCell ref="A54:B54"/>
    <mergeCell ref="A55:B55"/>
    <mergeCell ref="A42:B42"/>
    <mergeCell ref="A43:A46"/>
    <mergeCell ref="A47:B47"/>
    <mergeCell ref="A48:A50"/>
    <mergeCell ref="A29:A32"/>
    <mergeCell ref="A33:B33"/>
    <mergeCell ref="A34:A40"/>
    <mergeCell ref="A41:B41"/>
    <mergeCell ref="A25:B25"/>
    <mergeCell ref="A26:B26"/>
    <mergeCell ref="A27:B27"/>
    <mergeCell ref="A28:B28"/>
    <mergeCell ref="A20:B20"/>
    <mergeCell ref="A22:B22"/>
    <mergeCell ref="A23:B23"/>
    <mergeCell ref="A24:B24"/>
    <mergeCell ref="F4:H4"/>
    <mergeCell ref="J5:J6"/>
    <mergeCell ref="C92:C93"/>
    <mergeCell ref="H5:H6"/>
    <mergeCell ref="E5:E6"/>
    <mergeCell ref="I4:J4"/>
    <mergeCell ref="I5:I6"/>
    <mergeCell ref="C4:E4"/>
    <mergeCell ref="G92:G93"/>
    <mergeCell ref="H92:H93"/>
    <mergeCell ref="A13:B13"/>
    <mergeCell ref="A14:B14"/>
    <mergeCell ref="A15:A16"/>
    <mergeCell ref="A118:C118"/>
    <mergeCell ref="A113:B113"/>
    <mergeCell ref="A112:B112"/>
    <mergeCell ref="A114:B114"/>
    <mergeCell ref="A17:B17"/>
    <mergeCell ref="A18:B18"/>
    <mergeCell ref="A19:B19"/>
    <mergeCell ref="A4:B6"/>
    <mergeCell ref="A7:B7"/>
    <mergeCell ref="A8:B8"/>
    <mergeCell ref="A9:A12"/>
    <mergeCell ref="I92:I93"/>
    <mergeCell ref="J92:J93"/>
    <mergeCell ref="A161:B161"/>
    <mergeCell ref="C124:C125"/>
    <mergeCell ref="D124:D125"/>
    <mergeCell ref="H124:H125"/>
    <mergeCell ref="E124:E125"/>
    <mergeCell ref="A111:B111"/>
    <mergeCell ref="A110:B110"/>
    <mergeCell ref="A92:B93"/>
    <mergeCell ref="A145:B145"/>
    <mergeCell ref="A281:B281"/>
    <mergeCell ref="A261:B261"/>
    <mergeCell ref="A269:B269"/>
    <mergeCell ref="A273:B273"/>
    <mergeCell ref="A277:B277"/>
    <mergeCell ref="A214:B214"/>
    <mergeCell ref="A162:B162"/>
    <mergeCell ref="A159:B160"/>
    <mergeCell ref="A171:B173"/>
  </mergeCells>
  <printOptions horizontalCentered="1"/>
  <pageMargins left="0.17" right="0.17" top="0.28" bottom="0.36" header="0.17" footer="0.17"/>
  <pageSetup horizontalDpi="600" verticalDpi="600" orientation="portrait" paperSize="9" scale="67" r:id="rId1"/>
  <headerFooter alignWithMargins="0">
    <oddFooter>&amp;C&amp;8Stránka &amp;P z &amp;N</oddFooter>
  </headerFooter>
  <rowBreaks count="3" manualBreakCount="3">
    <brk id="90" max="9" man="1"/>
    <brk id="187" max="9" man="1"/>
    <brk id="2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2011-06-02T10:22:03Z</cp:lastPrinted>
  <dcterms:created xsi:type="dcterms:W3CDTF">2005-04-12T20:05:51Z</dcterms:created>
  <dcterms:modified xsi:type="dcterms:W3CDTF">2011-06-02T10:22:13Z</dcterms:modified>
  <cp:category/>
  <cp:version/>
  <cp:contentType/>
  <cp:contentStatus/>
</cp:coreProperties>
</file>