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900" tabRatio="775" activeTab="0"/>
  </bookViews>
  <sheets>
    <sheet name="fin. plán 2011" sheetId="1" r:id="rId1"/>
    <sheet name="DÚSP Černovice" sheetId="2" r:id="rId2"/>
    <sheet name="ÚSP Zboží" sheetId="3" r:id="rId3"/>
    <sheet name="USP Ledeč nad Sázavou" sheetId="4" r:id="rId4"/>
    <sheet name="ÚSP Lidmaň" sheetId="5" r:id="rId5"/>
    <sheet name="ÚSP Věž" sheetId="6" r:id="rId6"/>
    <sheet name="ÚSP Těchobuz" sheetId="7" r:id="rId7"/>
    <sheet name="Domov bez zámku" sheetId="8" r:id="rId8"/>
    <sheet name="ÚSP Nové Syrovice" sheetId="9" r:id="rId9"/>
    <sheet name="ÚSP Křižanov" sheetId="10" r:id="rId10"/>
    <sheet name="DS M.Curierových" sheetId="11" r:id="rId11"/>
    <sheet name="DS Třebíč Koutkova" sheetId="12" r:id="rId12"/>
    <sheet name="DS Náměšť nad Os" sheetId="13" r:id="rId13"/>
    <sheet name="Psych.Jihl." sheetId="14" r:id="rId14"/>
    <sheet name="DS Mitrov" sheetId="15" r:id="rId15"/>
    <sheet name="DS Velké Meziříčí" sheetId="16" r:id="rId16"/>
    <sheet name="DS Havlíčkův Brod" sheetId="17" r:id="rId17"/>
    <sheet name="DD Humpolec" sheetId="18" r:id="rId18"/>
    <sheet name="DD Proseč u Pošné" sheetId="19" r:id="rId19"/>
    <sheet name="DD Onšov" sheetId="20" r:id="rId20"/>
    <sheet name="DD Proseč Obořiště" sheetId="21" r:id="rId21"/>
    <sheet name="DD Ždírec" sheetId="22" r:id="rId22"/>
  </sheets>
  <externalReferences>
    <externalReference r:id="rId25"/>
    <externalReference r:id="rId26"/>
  </externalReferences>
  <definedNames>
    <definedName name="_454">#REF!</definedName>
    <definedName name="_455">#REF!</definedName>
    <definedName name="_459">#REF!</definedName>
    <definedName name="_463">#REF!</definedName>
    <definedName name="_464">#REF!</definedName>
    <definedName name="_465">#REF!</definedName>
    <definedName name="_48">#REF!</definedName>
    <definedName name="_49">#REF!</definedName>
    <definedName name="_53">#REF!</definedName>
    <definedName name="_55">#REF!</definedName>
    <definedName name="_57">#REF!</definedName>
    <definedName name="_59">#REF!</definedName>
    <definedName name="_690">#REF!</definedName>
    <definedName name="_691">#REF!</definedName>
    <definedName name="_695">#REF!</definedName>
    <definedName name="_697">#REF!</definedName>
    <definedName name="_699">#REF!</definedName>
    <definedName name="_701">#REF!</definedName>
    <definedName name="_875">#REF!</definedName>
    <definedName name="_876">#REF!</definedName>
    <definedName name="_880">#REF!</definedName>
    <definedName name="_882">#REF!</definedName>
    <definedName name="_884">#REF!</definedName>
    <definedName name="_886">#REF!</definedName>
    <definedName name="_xlnm.Print_Area" localSheetId="17">'DD Humpolec'!$A$1:$N$105</definedName>
    <definedName name="_xlnm.Print_Area" localSheetId="19">'DD Onšov'!$A$1:$N$98</definedName>
    <definedName name="_xlnm.Print_Area" localSheetId="20">'DD Proseč Obořiště'!$A$1:$N$98</definedName>
    <definedName name="_xlnm.Print_Area" localSheetId="18">'DD Proseč u Pošné'!$A$1:$N$98</definedName>
    <definedName name="_xlnm.Print_Area" localSheetId="21">'DD Ždírec'!$A$1:$N$98</definedName>
    <definedName name="_xlnm.Print_Area" localSheetId="7">'Domov bez zámku'!$A$1:$N$98</definedName>
    <definedName name="_xlnm.Print_Area" localSheetId="16">'DS Havlíčkův Brod'!$A$1:$N$98</definedName>
    <definedName name="_xlnm.Print_Area" localSheetId="10">'DS M.Curierových'!$A$1:$N$98</definedName>
    <definedName name="_xlnm.Print_Area" localSheetId="14">'DS Mitrov'!$A$1:$N$100</definedName>
    <definedName name="_xlnm.Print_Area" localSheetId="12">'DS Náměšť nad Os'!$A$1:$N$98</definedName>
    <definedName name="_xlnm.Print_Area" localSheetId="11">'DS Třebíč Koutkova'!$A$1:$N$98</definedName>
    <definedName name="_xlnm.Print_Area" localSheetId="15">'DS Velké Meziříčí'!$A$1:$N$98</definedName>
    <definedName name="_xlnm.Print_Area" localSheetId="1">'DÚSP Černovice'!$A$1:$N$98</definedName>
    <definedName name="_xlnm.Print_Area" localSheetId="0">'fin. plán 2011'!$A$1:$Y$120</definedName>
    <definedName name="_xlnm.Print_Area" localSheetId="13">'Psych.Jihl.'!$A$1:$N$98</definedName>
    <definedName name="_xlnm.Print_Area" localSheetId="9">'ÚSP Křižanov'!$A$1:$N$99</definedName>
    <definedName name="_xlnm.Print_Area" localSheetId="3">'USP Ledeč nad Sázavou'!$A$1:$N$99</definedName>
    <definedName name="_xlnm.Print_Area" localSheetId="8">'ÚSP Nové Syrovice'!$A$1:$N$98</definedName>
    <definedName name="_xlnm.Print_Area" localSheetId="6">'ÚSP Těchobuz'!$A$1:$N$98</definedName>
    <definedName name="_xlnm.Print_Area" localSheetId="5">'ÚSP Věž'!$A$1:$N$98</definedName>
    <definedName name="_xlnm.Print_Area" localSheetId="2">'ÚSP Zboží'!$A$1:$N$97</definedName>
  </definedNames>
  <calcPr fullCalcOnLoad="1"/>
</workbook>
</file>

<file path=xl/sharedStrings.xml><?xml version="1.0" encoding="utf-8"?>
<sst xmlns="http://schemas.openxmlformats.org/spreadsheetml/2006/main" count="3427" uniqueCount="341">
  <si>
    <t>DS Havlíčkův Brod</t>
  </si>
  <si>
    <t>DS Velké Meziříčí</t>
  </si>
  <si>
    <t>/ v tis. Kč/</t>
  </si>
  <si>
    <t>DS Třebíč Koutkova-Kubešova</t>
  </si>
  <si>
    <t>Celkem DD</t>
  </si>
  <si>
    <t>Celkem ÚSP</t>
  </si>
  <si>
    <t>Celkem zařízení (DD + ÚSP +        Psychocentrum)</t>
  </si>
  <si>
    <t>DS Náměšt nad Oslavou</t>
  </si>
  <si>
    <t>DSNáměšt nad Oslavou</t>
  </si>
  <si>
    <t>DS Třebíč Manž. Curieových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</si>
  <si>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</si>
  <si>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</si>
  <si>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</si>
  <si>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</si>
  <si>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</si>
  <si>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</si>
  <si>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</si>
  <si>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Hospodářský výsledek</t>
  </si>
  <si>
    <t>Nerozdělený zisk, ztráta minulých let k 31.12.</t>
  </si>
  <si>
    <t>v tis.Kč</t>
  </si>
  <si>
    <t>Další investice:</t>
  </si>
  <si>
    <t>Investiční výdaje ISPROFIN</t>
  </si>
  <si>
    <t xml:space="preserve">   z toho stavby</t>
  </si>
  <si>
    <t>Limit mzdových prostředků</t>
  </si>
  <si>
    <t>Limit</t>
  </si>
  <si>
    <t>Skutečnost</t>
  </si>
  <si>
    <t>Přepočtený počet zaměstnanců</t>
  </si>
  <si>
    <t>Počty lůžek</t>
  </si>
  <si>
    <t>rok</t>
  </si>
  <si>
    <t>Plán</t>
  </si>
  <si>
    <t>kapacita</t>
  </si>
  <si>
    <t>Pořizovací cena majetku</t>
  </si>
  <si>
    <t>celkem</t>
  </si>
  <si>
    <t>z toho odpisová skupina: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</si>
  <si>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</si>
  <si>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</si>
  <si>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</si>
  <si>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</si>
  <si>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</si>
  <si>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</si>
  <si>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</si>
  <si>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</si>
  <si>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</si>
  <si>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Fondy v tis. Kč</t>
  </si>
  <si>
    <t xml:space="preserve">          investiční fond</t>
  </si>
  <si>
    <t>Neinvest. výdaje ISPROFIN</t>
  </si>
  <si>
    <t>/v tis. Kč/</t>
  </si>
  <si>
    <t>DD Ždírec</t>
  </si>
  <si>
    <t>DD Onšov</t>
  </si>
  <si>
    <t>DD Proseč Obořiště</t>
  </si>
  <si>
    <t>DD Proseč u  Pošné</t>
  </si>
  <si>
    <t>DD Humpolec</t>
  </si>
  <si>
    <t>Průměr</t>
  </si>
  <si>
    <t>ÚSP Lidmaň</t>
  </si>
  <si>
    <t>ÚSP Zboží</t>
  </si>
  <si>
    <t>ÚSP Věž</t>
  </si>
  <si>
    <t>ÚSP Křižanov</t>
  </si>
  <si>
    <t>ÚSP Nové Syrovice</t>
  </si>
  <si>
    <t>DÚSP Černovice</t>
  </si>
  <si>
    <t>ÚSP Ledeč nad Sázavou</t>
  </si>
  <si>
    <t>Psychocentrum</t>
  </si>
  <si>
    <t>DS Mitrov</t>
  </si>
  <si>
    <t>x</t>
  </si>
  <si>
    <t>Bankovní a účetní stav peněžních fondů</t>
  </si>
  <si>
    <t>Rozdíl 2010 - 2009</t>
  </si>
  <si>
    <t>Výnosy z prodeje služeb /úč.602/</t>
  </si>
  <si>
    <t>- úhrady od obyvatel</t>
  </si>
  <si>
    <t>- příspěvek na péči</t>
  </si>
  <si>
    <t>- fakultativní služby</t>
  </si>
  <si>
    <t>- příjmy od zdravotní pojišťovny</t>
  </si>
  <si>
    <t>- obědy</t>
  </si>
  <si>
    <t>- ostatní tržby</t>
  </si>
  <si>
    <t>Výnosy z prodaného zboží /úč.604/</t>
  </si>
  <si>
    <t>Aktivace dl. hmotného majetku /úč.624/</t>
  </si>
  <si>
    <t>Ostatní výnosy /sesk. 64/</t>
  </si>
  <si>
    <t>- zúčtování fondů</t>
  </si>
  <si>
    <t>Výnosy z prodeje DNM /úč.645/</t>
  </si>
  <si>
    <t>Výnosy z prodeje DHM /úč.646/</t>
  </si>
  <si>
    <t>Výnosy z dl. fin. majetku /uč.665/</t>
  </si>
  <si>
    <t>Výnosy z prodeje materiálu /úč.644/</t>
  </si>
  <si>
    <t>Výnosy z nároků na prostředky: /sesk. 67/</t>
  </si>
  <si>
    <t>- KrÚ</t>
  </si>
  <si>
    <t>- MPSV</t>
  </si>
  <si>
    <t>- dotace z ÚP</t>
  </si>
  <si>
    <t>VÝNOSY CELKEM</t>
  </si>
  <si>
    <t>Spotřeba materiálu /úč.501/</t>
  </si>
  <si>
    <t>- potraviny</t>
  </si>
  <si>
    <t>- PHM</t>
  </si>
  <si>
    <t>- DDH majetek</t>
  </si>
  <si>
    <t>- všeobecný materiál</t>
  </si>
  <si>
    <t>- ostatní náklady</t>
  </si>
  <si>
    <t>Spotřeba energie celkem</t>
  </si>
  <si>
    <t>- el.energie</t>
  </si>
  <si>
    <t>- plyn</t>
  </si>
  <si>
    <t>- pevná paliva</t>
  </si>
  <si>
    <t>- ostatní</t>
  </si>
  <si>
    <t>- voda</t>
  </si>
  <si>
    <t>Prodané zboží /úč.504/</t>
  </si>
  <si>
    <t>Opravy a udržování /úč. 511/</t>
  </si>
  <si>
    <t>Cestovné /úč.512/</t>
  </si>
  <si>
    <t>Náklady na reprezentaci /úč.513/</t>
  </si>
  <si>
    <t>Ostatní služby /518/</t>
  </si>
  <si>
    <t>- služby spojů</t>
  </si>
  <si>
    <t>- nájemné</t>
  </si>
  <si>
    <t>- ostatní služby</t>
  </si>
  <si>
    <t>Osobní náklady /sesk. 52/</t>
  </si>
  <si>
    <t>- mzdové náklady /521/</t>
  </si>
  <si>
    <t xml:space="preserve">      v tom platy zaměstnanců</t>
  </si>
  <si>
    <t xml:space="preserve">               OON</t>
  </si>
  <si>
    <t xml:space="preserve">              soc.pojištění /524-528/</t>
  </si>
  <si>
    <t>Daň silniční /úč.531/</t>
  </si>
  <si>
    <t>Jiné daně  a popl. /538/</t>
  </si>
  <si>
    <t>Ostatní náklady /sesk.54/</t>
  </si>
  <si>
    <t>- smluvní pokuty</t>
  </si>
  <si>
    <t>Odpisy /551/</t>
  </si>
  <si>
    <t>Prodaný materiál /úč.544/</t>
  </si>
  <si>
    <t>Daň z příjmů /591/</t>
  </si>
  <si>
    <t>NÁKLADY CELKEM</t>
  </si>
  <si>
    <t>- jiné</t>
  </si>
  <si>
    <t>Účetní stav 2009</t>
  </si>
  <si>
    <t>Stav k 1.1.2010</t>
  </si>
  <si>
    <t>Stav k 31.12.2010</t>
  </si>
  <si>
    <t>/v Kč/</t>
  </si>
  <si>
    <t>Diagnostický ústav sociální péče Černovice</t>
  </si>
  <si>
    <t>Ústav sociální péče Zboží</t>
  </si>
  <si>
    <t>Ústav sociální péče Ledeč nad Sázavou</t>
  </si>
  <si>
    <t>Ústav sociální péče Lidmaň</t>
  </si>
  <si>
    <t>Ústav sociální péče Nové Syrovice</t>
  </si>
  <si>
    <t>Ústav sociální péče Křižanov</t>
  </si>
  <si>
    <t>Domov pro seniory Náměšť nad Oslavou</t>
  </si>
  <si>
    <t>Domov pro seniory Mitrov</t>
  </si>
  <si>
    <t>Domov pro seniory Velké Meziříčí</t>
  </si>
  <si>
    <t>Domov pro seniory Havlíčkův Brod</t>
  </si>
  <si>
    <t>Domov důchodců Humpolec</t>
  </si>
  <si>
    <t>Domov důchodců Proseč u Pošné</t>
  </si>
  <si>
    <t>Domov důchodců Onšov</t>
  </si>
  <si>
    <t>Domov důchodců Proseč Obořiště</t>
  </si>
  <si>
    <t>Domov důchodců Ždírec</t>
  </si>
  <si>
    <t>Ústav sociální péče pro dospělé Věž</t>
  </si>
  <si>
    <t>Ústav sociální péče pro mentálně postižené Těchobuz</t>
  </si>
  <si>
    <t>Počet stran: 23</t>
  </si>
  <si>
    <t>v tis. Kč</t>
  </si>
  <si>
    <t>Finanční plán 2011</t>
  </si>
  <si>
    <t>2009</t>
  </si>
  <si>
    <t>Návrh na rok 2011</t>
  </si>
  <si>
    <t>Rozdíl 2011 - 2010</t>
  </si>
  <si>
    <t>Pracovníci, lůžka a limit prostředků na platy 2011</t>
  </si>
  <si>
    <t>Finanční plán výnosů a nákladů na rok 2011</t>
  </si>
  <si>
    <t>Prodaný materiál/úč.544</t>
  </si>
  <si>
    <t>Ostatní fin. Náklady /569/</t>
  </si>
  <si>
    <t>Plán čerpání investičního fondu 2011</t>
  </si>
  <si>
    <t>Plán oprav  dlouhodobého majetku  2011</t>
  </si>
  <si>
    <t>Odpisový plán na rok 2011</t>
  </si>
  <si>
    <t>Oprávky k 1.1.2011</t>
  </si>
  <si>
    <t>Účetní odpisy na rok 2011</t>
  </si>
  <si>
    <t>Zůstatková cena k 31.12.2011</t>
  </si>
  <si>
    <t>Zůstatek účtu k 1.1.2010</t>
  </si>
  <si>
    <t>Zůstatek účtu k 31.12.2010</t>
  </si>
  <si>
    <t>Stav k 1.1.2011</t>
  </si>
  <si>
    <t>Plán 2011</t>
  </si>
  <si>
    <t>Stav k 31.12.2011</t>
  </si>
  <si>
    <t>- jiné ESF</t>
  </si>
  <si>
    <t>Bankovní poplatky /úč.569/</t>
  </si>
  <si>
    <t>Výnosy z prodeje služeb /úč.602,609/</t>
  </si>
  <si>
    <t xml:space="preserve">- obědy </t>
  </si>
  <si>
    <t>Domov bez zámku</t>
  </si>
  <si>
    <t>Domov pro seniory Třebíč - Manž. Curieových</t>
  </si>
  <si>
    <t>Domov pro seniory Třebíč, Koutkova - Kubešova</t>
  </si>
  <si>
    <t xml:space="preserve">- jiné         OP LZZ krizová pomoc IC </t>
  </si>
  <si>
    <t>Psychocentrum - MRP kraje Vysočina</t>
  </si>
  <si>
    <t>Plán nákladů a výnosů 2011</t>
  </si>
  <si>
    <t>Plán nákladů a výnosů 2011/ lůžka</t>
  </si>
  <si>
    <t>Počet lůžek za rok 2011:</t>
  </si>
  <si>
    <t>Síťová barevná tiskárna a kopírka</t>
  </si>
  <si>
    <t>Keramická pec</t>
  </si>
  <si>
    <t>Rekonstrukce střech 3 chatek Lipno</t>
  </si>
  <si>
    <t>Varný kotel 150 l</t>
  </si>
  <si>
    <t>Odvod do rozpočtu zřizovatele</t>
  </si>
  <si>
    <t>Opravy a údržba budov</t>
  </si>
  <si>
    <t>Opravy a údržba motorových vozidel</t>
  </si>
  <si>
    <t>odvod do rozpočtu zřizovatele</t>
  </si>
  <si>
    <t>myčka nádobí</t>
  </si>
  <si>
    <t>malování pokojů</t>
  </si>
  <si>
    <t>oprava a údržba parku / mostek, svedení potoka/</t>
  </si>
  <si>
    <t>automobilů</t>
  </si>
  <si>
    <t>budov  a pozemků</t>
  </si>
  <si>
    <t>technologie</t>
  </si>
  <si>
    <t>Dorozumívací zřízení do výtahů 4x</t>
  </si>
  <si>
    <t>Modernizace ovládacího zařízení v kotelně</t>
  </si>
  <si>
    <t>Opravy střechy a okapů</t>
  </si>
  <si>
    <t>Opravy výtahů</t>
  </si>
  <si>
    <t>Opava bojleru</t>
  </si>
  <si>
    <t>Nátěr dveří</t>
  </si>
  <si>
    <t>Oprava a servis kotelny</t>
  </si>
  <si>
    <t>Oprava na budově ÚSP</t>
  </si>
  <si>
    <t>Oprava střech na ústavu a v táboře</t>
  </si>
  <si>
    <t>Oprava aut</t>
  </si>
  <si>
    <t>Rezerva</t>
  </si>
  <si>
    <t>Schodišťová plošina</t>
  </si>
  <si>
    <t>Oprava HM - rozvod vody</t>
  </si>
  <si>
    <t>Opravy auta</t>
  </si>
  <si>
    <t>Opavy zařízení</t>
  </si>
  <si>
    <t>Opravy majetku</t>
  </si>
  <si>
    <t>Přístupová komunikace v dílně</t>
  </si>
  <si>
    <t>Výměna dlažby - příjezdová komunikace</t>
  </si>
  <si>
    <t>Práce instalatérské</t>
  </si>
  <si>
    <t>Práce truhlářské</t>
  </si>
  <si>
    <t>Práce malířské</t>
  </si>
  <si>
    <t>Práce elektroinstalatérské</t>
  </si>
  <si>
    <t>Opava strojů a přístrojů</t>
  </si>
  <si>
    <t>Opava autoparku</t>
  </si>
  <si>
    <t>Opravy a udržování majetku</t>
  </si>
  <si>
    <t>Osobní automobil</t>
  </si>
  <si>
    <t>Pračka</t>
  </si>
  <si>
    <t>Opravy a údržba strojního zařízení</t>
  </si>
  <si>
    <t>Ostatní drobné opravy do výše stanovené v náj. sml.</t>
  </si>
  <si>
    <t>Rehabilitační stroj</t>
  </si>
  <si>
    <t>Přístřešky na auta</t>
  </si>
  <si>
    <t>Sekačka</t>
  </si>
  <si>
    <t>Běžné opravy</t>
  </si>
  <si>
    <t>Snoozel room</t>
  </si>
  <si>
    <t>Systém na přihl. a odhl. stravy</t>
  </si>
  <si>
    <t>Pánev stravovací provoz</t>
  </si>
  <si>
    <t>Chladící skříň velká</t>
  </si>
  <si>
    <t>Chladící skříň menší 2 ks</t>
  </si>
  <si>
    <t>Myčka nádobí</t>
  </si>
  <si>
    <t>Běžné provozní opavy</t>
  </si>
  <si>
    <t>Opravy výtah, kotelna</t>
  </si>
  <si>
    <t>Opravy kuchyně</t>
  </si>
  <si>
    <t>Opravy prádelna</t>
  </si>
  <si>
    <t>Laser (přístroj + laserová sprcha)</t>
  </si>
  <si>
    <t>Signalizace pohybu</t>
  </si>
  <si>
    <t>Revize EPS, výtahů,kotelny, el. zařízení</t>
  </si>
  <si>
    <t>Malování kuchyně, vzduchotechnika</t>
  </si>
  <si>
    <t>Oprava západní části fasády - technická část DS</t>
  </si>
  <si>
    <t>¨200</t>
  </si>
  <si>
    <t>Výsledek hospodaření</t>
  </si>
  <si>
    <t>Náklady (bez odpisů)</t>
  </si>
  <si>
    <t>Rekonstrukce výtahu</t>
  </si>
  <si>
    <t>Rekonstrukce pokojů - soc. zařízení</t>
  </si>
  <si>
    <t>Plyn. Kotel kuchyň</t>
  </si>
  <si>
    <t>Oprava a zaizolování terasy Kubešova</t>
  </si>
  <si>
    <t>Oprava vzduchotechniky</t>
  </si>
  <si>
    <t>Myčka podložních mís</t>
  </si>
  <si>
    <t>Zvedák</t>
  </si>
  <si>
    <t>Výměna podlahy ve výdejně jídel</t>
  </si>
  <si>
    <t xml:space="preserve">Malování </t>
  </si>
  <si>
    <t>Drobné opravy</t>
  </si>
  <si>
    <t>Malování</t>
  </si>
  <si>
    <t>Opravy PC a vybavení JI</t>
  </si>
  <si>
    <t>Opravy PC a vybavení ZR</t>
  </si>
  <si>
    <t>Opravy PC a vybavení TR</t>
  </si>
  <si>
    <t>Údržba aut</t>
  </si>
  <si>
    <t>Údržba budovy JI</t>
  </si>
  <si>
    <t>Koupací lůžko</t>
  </si>
  <si>
    <t>Podkop na UNC</t>
  </si>
  <si>
    <t>Oprava zábradlí na nájezdu do budovy pavilonu</t>
  </si>
  <si>
    <t>Oprava vjezdu do Slunečnice II.</t>
  </si>
  <si>
    <t>Oprava veřejného osvětlení</t>
  </si>
  <si>
    <t>Oprava stropu ve skladu brambor a zeleniny</t>
  </si>
  <si>
    <t>Oprava vodovodních stoupaček na pavilonu</t>
  </si>
  <si>
    <t>Oprava sociáního zařízení - zámek přízemí</t>
  </si>
  <si>
    <t>Oprava oplocení vedle příjezdové brány</t>
  </si>
  <si>
    <t>Oprava terasu vedle příjezdové brány</t>
  </si>
  <si>
    <t>Ostatní běžné provozní opravy</t>
  </si>
  <si>
    <t>Běžná oprava a údržba</t>
  </si>
  <si>
    <t>Ostatní drobné opravy</t>
  </si>
  <si>
    <t>Zvedací vana v případě havárie</t>
  </si>
  <si>
    <t>Myčka mís v případě havárie</t>
  </si>
  <si>
    <t>Drtička na podložní mísy v případě havárie</t>
  </si>
  <si>
    <t>Myčka nádobí v případě havárie</t>
  </si>
  <si>
    <t>Plynový kotel v případě havárie</t>
  </si>
  <si>
    <t>Pračky v případě havárie</t>
  </si>
  <si>
    <t>Automobil z bazaru v případě neprojití TK</t>
  </si>
  <si>
    <t>Instalace 2 ks požárních dveří (požadavek HZS)</t>
  </si>
  <si>
    <t>Oprava rozvodů TUV a ohřívače</t>
  </si>
  <si>
    <t>Oprava kanalizace a rozvodů vody</t>
  </si>
  <si>
    <t>Malby, nátěry</t>
  </si>
  <si>
    <t>Revize a servis kotlů a plynových zařízení</t>
  </si>
  <si>
    <t>Opravy automobil</t>
  </si>
  <si>
    <t>Opravy prádelenské techniky</t>
  </si>
  <si>
    <t>Opravy střech</t>
  </si>
  <si>
    <t>Údržba zeleně, sadové úpravy</t>
  </si>
  <si>
    <t>Čištění kanalizace</t>
  </si>
  <si>
    <t xml:space="preserve">Opavy a údržba podlah </t>
  </si>
  <si>
    <t>Oprava hromosvodů</t>
  </si>
  <si>
    <t>Automobil</t>
  </si>
  <si>
    <t>Sprchovací panel</t>
  </si>
  <si>
    <t>Sprchovací lůžko</t>
  </si>
  <si>
    <t>Stavební (malování..)</t>
  </si>
  <si>
    <t>Strojní (pračky..)</t>
  </si>
  <si>
    <t>Autopark</t>
  </si>
  <si>
    <t>Opravy - koupelna</t>
  </si>
  <si>
    <t>Konvektomat</t>
  </si>
  <si>
    <t>Opravy 3 pokojů (umyvadla, podlahy)</t>
  </si>
  <si>
    <t>Běžné opravy majektu</t>
  </si>
  <si>
    <t>oprava 3 pokojů (umyvadla, podlahy, bílení)</t>
  </si>
  <si>
    <t>Přístupové chodníky (zámkové dlažba)</t>
  </si>
  <si>
    <t>Orientační systém</t>
  </si>
  <si>
    <t>Signalizace (budova Hájovny)</t>
  </si>
  <si>
    <t>Altán zahradní</t>
  </si>
  <si>
    <t>Pračka (16 kg)</t>
  </si>
  <si>
    <t>Bezbariérovost kanceláře</t>
  </si>
  <si>
    <t>Oprava vodoinstalace (budova zámku)</t>
  </si>
  <si>
    <t xml:space="preserve">Běžná oprava a údržba </t>
  </si>
  <si>
    <t>Účetní stav 2010</t>
  </si>
  <si>
    <t>Opravy odpadů a obkladů ve stávajících sprchách</t>
  </si>
  <si>
    <t>Oprava zařízení (pračky, kopírky, počítače, zahr. tech.)</t>
  </si>
  <si>
    <t>Strojní vybavení dílny pro klienty</t>
  </si>
  <si>
    <t>Oprava výtahů</t>
  </si>
  <si>
    <t>Opravy strojího zařízení</t>
  </si>
  <si>
    <t>Opravy a udržování budovy</t>
  </si>
  <si>
    <t>Opravy a údržba služ. vozidel</t>
  </si>
  <si>
    <t>Opravy nem. majektu - malování, podlahy</t>
  </si>
  <si>
    <t>Opravy nem. Majetku - inv. Fond</t>
  </si>
  <si>
    <t>Opravy strojů a zařízení</t>
  </si>
  <si>
    <t>Opravy elektroinstalace kuchyně</t>
  </si>
  <si>
    <t>Výměna osvětlení technická část DS - jídelna, prád. chodby</t>
  </si>
  <si>
    <t>Výměna PVC na pokojích klientů</t>
  </si>
  <si>
    <t>Oprava dveří evakuačních výtahů Koutkova</t>
  </si>
  <si>
    <t>Oprava regulace UT</t>
  </si>
  <si>
    <t>Oprava nájezdu do budovy pavilonu</t>
  </si>
  <si>
    <t>Oprava WC Bř</t>
  </si>
  <si>
    <t>Zřízení EPS do zimní zahrady</t>
  </si>
  <si>
    <t>Rekonstrukce ubytovny na nadstandart. pokoje</t>
  </si>
  <si>
    <t>Instalace sněhových zábran na střechy Mách. i Luž. ul.</t>
  </si>
  <si>
    <t>Opravy kuchyňských zařízení</t>
  </si>
  <si>
    <t>Revize a servis výtahů vč. oprav</t>
  </si>
  <si>
    <t>Běžné opravy a údržba</t>
  </si>
  <si>
    <t>Oprava sesterny, 1 pokoje (umyvadla, bílení)</t>
  </si>
  <si>
    <t xml:space="preserve">Oprava plotu </t>
  </si>
  <si>
    <t>ÚSP Těchobuz</t>
  </si>
  <si>
    <t>Přípravný panel k EPS</t>
  </si>
  <si>
    <t>*) schváleno usnesením č. 0513/07/2010/ZK</t>
  </si>
  <si>
    <t>*) Investiční transfer (500 tis. Kč) schváleno usnesením č. 0513/07/2010/ZK</t>
  </si>
  <si>
    <t>Tvorba*)</t>
  </si>
  <si>
    <t>vícemístné vozidlo*)</t>
  </si>
  <si>
    <t>osobní auto vícemístné*)</t>
  </si>
  <si>
    <t xml:space="preserve">drobná údržba a havárie </t>
  </si>
  <si>
    <t>malování</t>
  </si>
  <si>
    <t>RK-15-2011-50, př. 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</si>
</sst>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[$-1010409]###\ ###\ ##0.00"/>
    <numFmt numFmtId="179" formatCode="#,##0.000"/>
    <numFmt numFmtId="180" formatCode="[$-1010409]General"/>
    <numFmt numFmtId="181" formatCode="#,##0.0_ ;[Red]\-#,##0.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6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2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2" borderId="20" xfId="20" applyFont="1" applyFill="1" applyBorder="1" applyAlignment="1">
      <alignment horizontal="center" vertical="center"/>
      <protection/>
    </xf>
    <xf numFmtId="0" fontId="3" fillId="2" borderId="21" xfId="20" applyFont="1" applyFill="1" applyBorder="1" applyAlignment="1">
      <alignment horizontal="center" vertical="center"/>
      <protection/>
    </xf>
    <xf numFmtId="3" fontId="3" fillId="0" borderId="22" xfId="20" applyNumberFormat="1" applyFont="1" applyBorder="1" applyAlignment="1">
      <alignment horizontal="center" vertical="center"/>
      <protection/>
    </xf>
    <xf numFmtId="3" fontId="3" fillId="0" borderId="23" xfId="20" applyNumberFormat="1" applyFont="1" applyBorder="1" applyAlignment="1">
      <alignment horizontal="right" vertical="center"/>
      <protection/>
    </xf>
    <xf numFmtId="3" fontId="3" fillId="0" borderId="24" xfId="20" applyNumberFormat="1" applyFont="1" applyBorder="1" applyAlignment="1">
      <alignment horizontal="right" vertical="center"/>
      <protection/>
    </xf>
    <xf numFmtId="3" fontId="7" fillId="0" borderId="25" xfId="20" applyNumberFormat="1" applyFont="1" applyBorder="1" applyAlignment="1">
      <alignment horizontal="right" vertical="center"/>
      <protection/>
    </xf>
    <xf numFmtId="3" fontId="7" fillId="0" borderId="24" xfId="20" applyNumberFormat="1" applyFont="1" applyBorder="1" applyAlignment="1">
      <alignment horizontal="right" vertical="center"/>
      <protection/>
    </xf>
    <xf numFmtId="1" fontId="7" fillId="0" borderId="26" xfId="0" applyNumberFormat="1" applyFont="1" applyBorder="1" applyAlignment="1">
      <alignment/>
    </xf>
    <xf numFmtId="3" fontId="3" fillId="0" borderId="21" xfId="20" applyNumberFormat="1" applyFont="1" applyBorder="1" applyAlignment="1">
      <alignment horizontal="right" vertical="center"/>
      <protection/>
    </xf>
    <xf numFmtId="3" fontId="3" fillId="0" borderId="0" xfId="0" applyNumberFormat="1" applyFont="1" applyFill="1" applyBorder="1" applyAlignment="1">
      <alignment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3" fontId="3" fillId="0" borderId="3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40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2" borderId="4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1" fontId="3" fillId="0" borderId="4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3" fontId="3" fillId="3" borderId="46" xfId="0" applyNumberFormat="1" applyFont="1" applyFill="1" applyBorder="1" applyAlignment="1">
      <alignment horizontal="right" vertical="center"/>
    </xf>
    <xf numFmtId="167" fontId="7" fillId="3" borderId="46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/>
    </xf>
    <xf numFmtId="0" fontId="7" fillId="3" borderId="50" xfId="0" applyFont="1" applyFill="1" applyBorder="1" applyAlignment="1">
      <alignment horizontal="left" vertical="center" wrapText="1"/>
    </xf>
    <xf numFmtId="3" fontId="7" fillId="0" borderId="52" xfId="0" applyNumberFormat="1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3" borderId="4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5" fillId="2" borderId="4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right" vertical="center"/>
    </xf>
    <xf numFmtId="1" fontId="4" fillId="0" borderId="43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" fontId="4" fillId="0" borderId="4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right"/>
    </xf>
    <xf numFmtId="3" fontId="9" fillId="0" borderId="56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58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9" fillId="0" borderId="5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7" fillId="2" borderId="42" xfId="0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32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right"/>
    </xf>
    <xf numFmtId="3" fontId="9" fillId="4" borderId="10" xfId="0" applyNumberFormat="1" applyFont="1" applyFill="1" applyBorder="1" applyAlignment="1">
      <alignment/>
    </xf>
    <xf numFmtId="2" fontId="9" fillId="4" borderId="4" xfId="0" applyNumberFormat="1" applyFont="1" applyFill="1" applyBorder="1" applyAlignment="1">
      <alignment/>
    </xf>
    <xf numFmtId="3" fontId="9" fillId="4" borderId="60" xfId="0" applyNumberFormat="1" applyFont="1" applyFill="1" applyBorder="1" applyAlignment="1">
      <alignment/>
    </xf>
    <xf numFmtId="2" fontId="9" fillId="4" borderId="13" xfId="0" applyNumberFormat="1" applyFont="1" applyFill="1" applyBorder="1" applyAlignment="1">
      <alignment/>
    </xf>
    <xf numFmtId="3" fontId="9" fillId="4" borderId="56" xfId="0" applyNumberFormat="1" applyFont="1" applyFill="1" applyBorder="1" applyAlignment="1">
      <alignment/>
    </xf>
    <xf numFmtId="175" fontId="9" fillId="4" borderId="4" xfId="0" applyNumberFormat="1" applyFont="1" applyFill="1" applyBorder="1" applyAlignment="1">
      <alignment/>
    </xf>
    <xf numFmtId="3" fontId="9" fillId="4" borderId="57" xfId="0" applyNumberFormat="1" applyFont="1" applyFill="1" applyBorder="1" applyAlignment="1">
      <alignment/>
    </xf>
    <xf numFmtId="175" fontId="9" fillId="4" borderId="13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 horizontal="right"/>
    </xf>
    <xf numFmtId="3" fontId="9" fillId="0" borderId="61" xfId="0" applyNumberFormat="1" applyFont="1" applyFill="1" applyBorder="1" applyAlignment="1">
      <alignment horizontal="right"/>
    </xf>
    <xf numFmtId="3" fontId="9" fillId="4" borderId="34" xfId="0" applyNumberFormat="1" applyFont="1" applyFill="1" applyBorder="1" applyAlignment="1">
      <alignment/>
    </xf>
    <xf numFmtId="2" fontId="9" fillId="4" borderId="36" xfId="0" applyNumberFormat="1" applyFont="1" applyFill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5" borderId="4" xfId="0" applyNumberFormat="1" applyFont="1" applyFill="1" applyBorder="1" applyAlignment="1">
      <alignment/>
    </xf>
    <xf numFmtId="3" fontId="9" fillId="4" borderId="62" xfId="0" applyNumberFormat="1" applyFont="1" applyFill="1" applyBorder="1" applyAlignment="1">
      <alignment/>
    </xf>
    <xf numFmtId="175" fontId="9" fillId="4" borderId="36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 horizontal="right"/>
    </xf>
    <xf numFmtId="3" fontId="9" fillId="5" borderId="13" xfId="0" applyNumberFormat="1" applyFont="1" applyFill="1" applyBorder="1" applyAlignment="1">
      <alignment/>
    </xf>
    <xf numFmtId="3" fontId="9" fillId="2" borderId="63" xfId="0" applyNumberFormat="1" applyFont="1" applyFill="1" applyBorder="1" applyAlignment="1">
      <alignment horizontal="right"/>
    </xf>
    <xf numFmtId="3" fontId="9" fillId="2" borderId="64" xfId="0" applyNumberFormat="1" applyFont="1" applyFill="1" applyBorder="1" applyAlignment="1">
      <alignment horizontal="right"/>
    </xf>
    <xf numFmtId="3" fontId="9" fillId="2" borderId="63" xfId="0" applyNumberFormat="1" applyFont="1" applyFill="1" applyBorder="1" applyAlignment="1">
      <alignment/>
    </xf>
    <xf numFmtId="2" fontId="9" fillId="2" borderId="19" xfId="0" applyNumberFormat="1" applyFont="1" applyFill="1" applyBorder="1" applyAlignment="1">
      <alignment/>
    </xf>
    <xf numFmtId="3" fontId="9" fillId="2" borderId="65" xfId="0" applyNumberFormat="1" applyFont="1" applyFill="1" applyBorder="1" applyAlignment="1">
      <alignment/>
    </xf>
    <xf numFmtId="3" fontId="9" fillId="2" borderId="66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175" fontId="9" fillId="2" borderId="19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9" fillId="4" borderId="43" xfId="0" applyNumberFormat="1" applyFont="1" applyFill="1" applyBorder="1" applyAlignment="1">
      <alignment/>
    </xf>
    <xf numFmtId="2" fontId="9" fillId="4" borderId="3" xfId="0" applyNumberFormat="1" applyFont="1" applyFill="1" applyBorder="1" applyAlignment="1">
      <alignment/>
    </xf>
    <xf numFmtId="3" fontId="9" fillId="0" borderId="67" xfId="0" applyNumberFormat="1" applyFont="1" applyBorder="1" applyAlignment="1">
      <alignment/>
    </xf>
    <xf numFmtId="3" fontId="9" fillId="0" borderId="68" xfId="0" applyNumberFormat="1" applyFont="1" applyBorder="1" applyAlignment="1">
      <alignment/>
    </xf>
    <xf numFmtId="3" fontId="9" fillId="5" borderId="3" xfId="0" applyNumberFormat="1" applyFont="1" applyFill="1" applyBorder="1" applyAlignment="1">
      <alignment/>
    </xf>
    <xf numFmtId="3" fontId="9" fillId="4" borderId="67" xfId="0" applyNumberFormat="1" applyFont="1" applyFill="1" applyBorder="1" applyAlignment="1">
      <alignment/>
    </xf>
    <xf numFmtId="175" fontId="9" fillId="4" borderId="3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4" borderId="10" xfId="0" applyNumberFormat="1" applyFont="1" applyFill="1" applyBorder="1" applyAlignment="1">
      <alignment/>
    </xf>
    <xf numFmtId="2" fontId="9" fillId="4" borderId="4" xfId="0" applyNumberFormat="1" applyFont="1" applyFill="1" applyBorder="1" applyAlignment="1">
      <alignment/>
    </xf>
    <xf numFmtId="3" fontId="9" fillId="4" borderId="56" xfId="0" applyNumberFormat="1" applyFont="1" applyFill="1" applyBorder="1" applyAlignment="1">
      <alignment/>
    </xf>
    <xf numFmtId="175" fontId="9" fillId="4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4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right" vertical="center"/>
    </xf>
    <xf numFmtId="1" fontId="3" fillId="0" borderId="69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1" fontId="3" fillId="0" borderId="42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right"/>
    </xf>
    <xf numFmtId="3" fontId="7" fillId="0" borderId="61" xfId="0" applyNumberFormat="1" applyFont="1" applyFill="1" applyBorder="1" applyAlignment="1">
      <alignment horizontal="right"/>
    </xf>
    <xf numFmtId="3" fontId="7" fillId="4" borderId="34" xfId="0" applyNumberFormat="1" applyFont="1" applyFill="1" applyBorder="1" applyAlignment="1">
      <alignment/>
    </xf>
    <xf numFmtId="2" fontId="7" fillId="4" borderId="36" xfId="0" applyNumberFormat="1" applyFont="1" applyFill="1" applyBorder="1" applyAlignment="1">
      <alignment/>
    </xf>
    <xf numFmtId="3" fontId="7" fillId="0" borderId="56" xfId="0" applyNumberFormat="1" applyFont="1" applyBorder="1" applyAlignment="1">
      <alignment/>
    </xf>
    <xf numFmtId="3" fontId="7" fillId="5" borderId="4" xfId="0" applyNumberFormat="1" applyFont="1" applyFill="1" applyBorder="1" applyAlignment="1">
      <alignment/>
    </xf>
    <xf numFmtId="3" fontId="7" fillId="4" borderId="62" xfId="0" applyNumberFormat="1" applyFont="1" applyFill="1" applyBorder="1" applyAlignment="1">
      <alignment/>
    </xf>
    <xf numFmtId="175" fontId="7" fillId="4" borderId="36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/>
    </xf>
    <xf numFmtId="2" fontId="7" fillId="4" borderId="4" xfId="0" applyNumberFormat="1" applyFont="1" applyFill="1" applyBorder="1" applyAlignment="1">
      <alignment/>
    </xf>
    <xf numFmtId="3" fontId="7" fillId="4" borderId="56" xfId="0" applyNumberFormat="1" applyFont="1" applyFill="1" applyBorder="1" applyAlignment="1">
      <alignment/>
    </xf>
    <xf numFmtId="175" fontId="7" fillId="4" borderId="4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 horizontal="right"/>
    </xf>
    <xf numFmtId="3" fontId="7" fillId="0" borderId="59" xfId="0" applyNumberFormat="1" applyFont="1" applyFill="1" applyBorder="1" applyAlignment="1">
      <alignment horizontal="right"/>
    </xf>
    <xf numFmtId="3" fontId="7" fillId="4" borderId="60" xfId="0" applyNumberFormat="1" applyFont="1" applyFill="1" applyBorder="1" applyAlignment="1">
      <alignment/>
    </xf>
    <xf numFmtId="2" fontId="7" fillId="4" borderId="13" xfId="0" applyNumberFormat="1" applyFont="1" applyFill="1" applyBorder="1" applyAlignment="1">
      <alignment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5" borderId="13" xfId="0" applyNumberFormat="1" applyFont="1" applyFill="1" applyBorder="1" applyAlignment="1">
      <alignment/>
    </xf>
    <xf numFmtId="3" fontId="7" fillId="4" borderId="57" xfId="0" applyNumberFormat="1" applyFont="1" applyFill="1" applyBorder="1" applyAlignment="1">
      <alignment/>
    </xf>
    <xf numFmtId="175" fontId="7" fillId="4" borderId="13" xfId="0" applyNumberFormat="1" applyFont="1" applyFill="1" applyBorder="1" applyAlignment="1">
      <alignment/>
    </xf>
    <xf numFmtId="3" fontId="7" fillId="2" borderId="63" xfId="0" applyNumberFormat="1" applyFont="1" applyFill="1" applyBorder="1" applyAlignment="1">
      <alignment horizontal="right"/>
    </xf>
    <xf numFmtId="3" fontId="7" fillId="2" borderId="64" xfId="0" applyNumberFormat="1" applyFont="1" applyFill="1" applyBorder="1" applyAlignment="1">
      <alignment horizontal="right"/>
    </xf>
    <xf numFmtId="3" fontId="7" fillId="2" borderId="63" xfId="0" applyNumberFormat="1" applyFont="1" applyFill="1" applyBorder="1" applyAlignment="1">
      <alignment/>
    </xf>
    <xf numFmtId="2" fontId="7" fillId="2" borderId="19" xfId="0" applyNumberFormat="1" applyFont="1" applyFill="1" applyBorder="1" applyAlignment="1">
      <alignment/>
    </xf>
    <xf numFmtId="3" fontId="7" fillId="2" borderId="65" xfId="0" applyNumberFormat="1" applyFont="1" applyFill="1" applyBorder="1" applyAlignment="1">
      <alignment/>
    </xf>
    <xf numFmtId="3" fontId="7" fillId="2" borderId="66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175" fontId="7" fillId="2" borderId="19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4" borderId="43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3" fontId="7" fillId="0" borderId="67" xfId="0" applyNumberFormat="1" applyFont="1" applyBorder="1" applyAlignment="1">
      <alignment/>
    </xf>
    <xf numFmtId="3" fontId="7" fillId="0" borderId="68" xfId="0" applyNumberFormat="1" applyFont="1" applyBorder="1" applyAlignment="1">
      <alignment/>
    </xf>
    <xf numFmtId="3" fontId="7" fillId="5" borderId="3" xfId="0" applyNumberFormat="1" applyFont="1" applyFill="1" applyBorder="1" applyAlignment="1">
      <alignment/>
    </xf>
    <xf numFmtId="3" fontId="7" fillId="4" borderId="67" xfId="0" applyNumberFormat="1" applyFont="1" applyFill="1" applyBorder="1" applyAlignment="1">
      <alignment/>
    </xf>
    <xf numFmtId="175" fontId="7" fillId="4" borderId="3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3" fontId="3" fillId="2" borderId="26" xfId="0" applyNumberFormat="1" applyFont="1" applyFill="1" applyBorder="1" applyAlignment="1">
      <alignment vertical="center"/>
    </xf>
    <xf numFmtId="3" fontId="3" fillId="0" borderId="72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7" fontId="7" fillId="0" borderId="23" xfId="0" applyNumberFormat="1" applyFont="1" applyBorder="1" applyAlignment="1">
      <alignment/>
    </xf>
    <xf numFmtId="167" fontId="5" fillId="0" borderId="23" xfId="0" applyNumberFormat="1" applyFont="1" applyBorder="1" applyAlignment="1">
      <alignment/>
    </xf>
    <xf numFmtId="3" fontId="7" fillId="0" borderId="21" xfId="20" applyNumberFormat="1" applyFont="1" applyBorder="1" applyAlignment="1">
      <alignment horizontal="right" vertical="center"/>
      <protection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 horizontal="right"/>
    </xf>
    <xf numFmtId="0" fontId="7" fillId="3" borderId="75" xfId="0" applyFont="1" applyFill="1" applyBorder="1" applyAlignment="1">
      <alignment horizontal="center" textRotation="90" wrapText="1"/>
    </xf>
    <xf numFmtId="0" fontId="7" fillId="3" borderId="76" xfId="0" applyFont="1" applyFill="1" applyBorder="1" applyAlignment="1">
      <alignment horizontal="center" textRotation="90" wrapText="1"/>
    </xf>
    <xf numFmtId="0" fontId="7" fillId="3" borderId="77" xfId="0" applyFont="1" applyFill="1" applyBorder="1" applyAlignment="1">
      <alignment horizontal="center" textRotation="90" wrapText="1"/>
    </xf>
    <xf numFmtId="0" fontId="7" fillId="3" borderId="78" xfId="0" applyFont="1" applyFill="1" applyBorder="1" applyAlignment="1">
      <alignment horizontal="center" textRotation="90" wrapText="1"/>
    </xf>
    <xf numFmtId="0" fontId="7" fillId="3" borderId="79" xfId="0" applyFont="1" applyFill="1" applyBorder="1" applyAlignment="1">
      <alignment horizontal="center" textRotation="90" wrapText="1"/>
    </xf>
    <xf numFmtId="49" fontId="7" fillId="0" borderId="80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/>
    </xf>
    <xf numFmtId="3" fontId="7" fillId="0" borderId="82" xfId="0" applyNumberFormat="1" applyFont="1" applyFill="1" applyBorder="1" applyAlignment="1">
      <alignment/>
    </xf>
    <xf numFmtId="3" fontId="3" fillId="5" borderId="82" xfId="0" applyNumberFormat="1" applyFont="1" applyFill="1" applyBorder="1" applyAlignment="1">
      <alignment/>
    </xf>
    <xf numFmtId="3" fontId="7" fillId="0" borderId="82" xfId="0" applyNumberFormat="1" applyFont="1" applyFill="1" applyBorder="1" applyAlignment="1">
      <alignment/>
    </xf>
    <xf numFmtId="3" fontId="7" fillId="0" borderId="82" xfId="0" applyNumberFormat="1" applyFont="1" applyBorder="1" applyAlignment="1">
      <alignment vertical="center" wrapText="1"/>
    </xf>
    <xf numFmtId="3" fontId="3" fillId="6" borderId="72" xfId="0" applyNumberFormat="1" applyFont="1" applyFill="1" applyBorder="1" applyAlignment="1">
      <alignment/>
    </xf>
    <xf numFmtId="49" fontId="7" fillId="0" borderId="83" xfId="0" applyNumberFormat="1" applyFont="1" applyFill="1" applyBorder="1" applyAlignment="1">
      <alignment horizontal="left"/>
    </xf>
    <xf numFmtId="3" fontId="7" fillId="0" borderId="84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3" fillId="5" borderId="46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6" xfId="0" applyNumberFormat="1" applyFont="1" applyBorder="1" applyAlignment="1">
      <alignment vertical="center" wrapText="1"/>
    </xf>
    <xf numFmtId="3" fontId="3" fillId="6" borderId="2" xfId="0" applyNumberFormat="1" applyFont="1" applyFill="1" applyBorder="1" applyAlignment="1">
      <alignment/>
    </xf>
    <xf numFmtId="49" fontId="7" fillId="0" borderId="83" xfId="0" applyNumberFormat="1" applyFont="1" applyFill="1" applyBorder="1" applyAlignment="1">
      <alignment/>
    </xf>
    <xf numFmtId="49" fontId="7" fillId="0" borderId="85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3" fillId="5" borderId="87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7" fillId="0" borderId="87" xfId="0" applyNumberFormat="1" applyFont="1" applyBorder="1" applyAlignment="1">
      <alignment vertical="center" wrapText="1"/>
    </xf>
    <xf numFmtId="3" fontId="3" fillId="6" borderId="1" xfId="0" applyNumberFormat="1" applyFont="1" applyFill="1" applyBorder="1" applyAlignment="1">
      <alignment/>
    </xf>
    <xf numFmtId="49" fontId="3" fillId="3" borderId="50" xfId="0" applyNumberFormat="1" applyFont="1" applyFill="1" applyBorder="1" applyAlignment="1">
      <alignment horizontal="left"/>
    </xf>
    <xf numFmtId="3" fontId="7" fillId="3" borderId="88" xfId="0" applyNumberFormat="1" applyFont="1" applyFill="1" applyBorder="1" applyAlignment="1">
      <alignment/>
    </xf>
    <xf numFmtId="3" fontId="7" fillId="3" borderId="89" xfId="0" applyNumberFormat="1" applyFont="1" applyFill="1" applyBorder="1" applyAlignment="1">
      <alignment/>
    </xf>
    <xf numFmtId="3" fontId="3" fillId="3" borderId="89" xfId="0" applyNumberFormat="1" applyFont="1" applyFill="1" applyBorder="1" applyAlignment="1">
      <alignment/>
    </xf>
    <xf numFmtId="3" fontId="7" fillId="3" borderId="89" xfId="0" applyNumberFormat="1" applyFont="1" applyFill="1" applyBorder="1" applyAlignment="1">
      <alignment/>
    </xf>
    <xf numFmtId="3" fontId="7" fillId="3" borderId="89" xfId="0" applyNumberFormat="1" applyFont="1" applyFill="1" applyBorder="1" applyAlignment="1">
      <alignment vertical="center" wrapText="1"/>
    </xf>
    <xf numFmtId="3" fontId="3" fillId="3" borderId="90" xfId="0" applyNumberFormat="1" applyFont="1" applyFill="1" applyBorder="1" applyAlignment="1">
      <alignment/>
    </xf>
    <xf numFmtId="49" fontId="7" fillId="0" borderId="91" xfId="0" applyNumberFormat="1" applyFont="1" applyFill="1" applyBorder="1" applyAlignment="1">
      <alignment horizontal="left"/>
    </xf>
    <xf numFmtId="3" fontId="7" fillId="0" borderId="92" xfId="0" applyNumberFormat="1" applyFont="1" applyFill="1" applyBorder="1" applyAlignment="1">
      <alignment/>
    </xf>
    <xf numFmtId="3" fontId="7" fillId="0" borderId="93" xfId="0" applyNumberFormat="1" applyFont="1" applyFill="1" applyBorder="1" applyAlignment="1">
      <alignment/>
    </xf>
    <xf numFmtId="3" fontId="3" fillId="5" borderId="93" xfId="0" applyNumberFormat="1" applyFont="1" applyFill="1" applyBorder="1" applyAlignment="1">
      <alignment/>
    </xf>
    <xf numFmtId="3" fontId="7" fillId="0" borderId="93" xfId="0" applyNumberFormat="1" applyFont="1" applyFill="1" applyBorder="1" applyAlignment="1">
      <alignment/>
    </xf>
    <xf numFmtId="3" fontId="7" fillId="0" borderId="93" xfId="0" applyNumberFormat="1" applyFont="1" applyBorder="1" applyAlignment="1">
      <alignment vertical="center" wrapText="1"/>
    </xf>
    <xf numFmtId="3" fontId="3" fillId="6" borderId="94" xfId="0" applyNumberFormat="1" applyFont="1" applyFill="1" applyBorder="1" applyAlignment="1">
      <alignment/>
    </xf>
    <xf numFmtId="49" fontId="7" fillId="0" borderId="95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3" fontId="7" fillId="0" borderId="96" xfId="0" applyNumberFormat="1" applyFont="1" applyFill="1" applyBorder="1" applyAlignment="1">
      <alignment/>
    </xf>
    <xf numFmtId="3" fontId="7" fillId="3" borderId="97" xfId="0" applyNumberFormat="1" applyFont="1" applyFill="1" applyBorder="1" applyAlignment="1">
      <alignment/>
    </xf>
    <xf numFmtId="3" fontId="7" fillId="3" borderId="51" xfId="0" applyNumberFormat="1" applyFont="1" applyFill="1" applyBorder="1" applyAlignment="1">
      <alignment/>
    </xf>
    <xf numFmtId="3" fontId="7" fillId="3" borderId="9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/>
    </xf>
    <xf numFmtId="3" fontId="3" fillId="4" borderId="89" xfId="0" applyNumberFormat="1" applyFont="1" applyFill="1" applyBorder="1" applyAlignment="1">
      <alignment/>
    </xf>
    <xf numFmtId="3" fontId="3" fillId="4" borderId="89" xfId="0" applyNumberFormat="1" applyFont="1" applyFill="1" applyBorder="1" applyAlignment="1">
      <alignment/>
    </xf>
    <xf numFmtId="3" fontId="3" fillId="4" borderId="89" xfId="0" applyNumberFormat="1" applyFont="1" applyFill="1" applyBorder="1" applyAlignment="1">
      <alignment vertical="center" wrapText="1"/>
    </xf>
    <xf numFmtId="3" fontId="3" fillId="4" borderId="9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7" fillId="0" borderId="99" xfId="0" applyNumberFormat="1" applyFont="1" applyBorder="1" applyAlignment="1">
      <alignment/>
    </xf>
    <xf numFmtId="1" fontId="7" fillId="0" borderId="75" xfId="0" applyNumberFormat="1" applyFont="1" applyBorder="1" applyAlignment="1">
      <alignment/>
    </xf>
    <xf numFmtId="1" fontId="7" fillId="0" borderId="76" xfId="0" applyNumberFormat="1" applyFont="1" applyBorder="1" applyAlignment="1">
      <alignment/>
    </xf>
    <xf numFmtId="1" fontId="3" fillId="5" borderId="77" xfId="0" applyNumberFormat="1" applyFont="1" applyFill="1" applyBorder="1" applyAlignment="1">
      <alignment/>
    </xf>
    <xf numFmtId="0" fontId="7" fillId="0" borderId="76" xfId="0" applyFont="1" applyBorder="1" applyAlignment="1">
      <alignment/>
    </xf>
    <xf numFmtId="3" fontId="3" fillId="5" borderId="100" xfId="0" applyNumberFormat="1" applyFont="1" applyFill="1" applyBorder="1" applyAlignment="1">
      <alignment/>
    </xf>
    <xf numFmtId="3" fontId="3" fillId="6" borderId="101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167" fontId="7" fillId="0" borderId="81" xfId="0" applyNumberFormat="1" applyFont="1" applyFill="1" applyBorder="1" applyAlignment="1">
      <alignment/>
    </xf>
    <xf numFmtId="167" fontId="7" fillId="0" borderId="82" xfId="0" applyNumberFormat="1" applyFont="1" applyFill="1" applyBorder="1" applyAlignment="1">
      <alignment/>
    </xf>
    <xf numFmtId="167" fontId="7" fillId="0" borderId="102" xfId="0" applyNumberFormat="1" applyFont="1" applyFill="1" applyBorder="1" applyAlignment="1">
      <alignment/>
    </xf>
    <xf numFmtId="167" fontId="3" fillId="5" borderId="100" xfId="0" applyNumberFormat="1" applyFont="1" applyFill="1" applyBorder="1" applyAlignment="1">
      <alignment/>
    </xf>
    <xf numFmtId="167" fontId="7" fillId="0" borderId="103" xfId="0" applyNumberFormat="1" applyFont="1" applyFill="1" applyBorder="1" applyAlignment="1">
      <alignment/>
    </xf>
    <xf numFmtId="167" fontId="3" fillId="5" borderId="72" xfId="0" applyNumberFormat="1" applyFont="1" applyFill="1" applyBorder="1" applyAlignment="1">
      <alignment/>
    </xf>
    <xf numFmtId="167" fontId="7" fillId="0" borderId="84" xfId="0" applyNumberFormat="1" applyFont="1" applyFill="1" applyBorder="1" applyAlignment="1">
      <alignment/>
    </xf>
    <xf numFmtId="167" fontId="7" fillId="0" borderId="46" xfId="0" applyNumberFormat="1" applyFont="1" applyFill="1" applyBorder="1" applyAlignment="1">
      <alignment/>
    </xf>
    <xf numFmtId="167" fontId="7" fillId="0" borderId="95" xfId="0" applyNumberFormat="1" applyFont="1" applyFill="1" applyBorder="1" applyAlignment="1">
      <alignment/>
    </xf>
    <xf numFmtId="167" fontId="3" fillId="5" borderId="104" xfId="0" applyNumberFormat="1" applyFont="1" applyFill="1" applyBorder="1" applyAlignment="1">
      <alignment/>
    </xf>
    <xf numFmtId="167" fontId="7" fillId="0" borderId="105" xfId="0" applyNumberFormat="1" applyFont="1" applyFill="1" applyBorder="1" applyAlignment="1">
      <alignment/>
    </xf>
    <xf numFmtId="167" fontId="3" fillId="5" borderId="2" xfId="0" applyNumberFormat="1" applyFont="1" applyFill="1" applyBorder="1" applyAlignment="1">
      <alignment/>
    </xf>
    <xf numFmtId="167" fontId="7" fillId="0" borderId="86" xfId="0" applyNumberFormat="1" applyFont="1" applyFill="1" applyBorder="1" applyAlignment="1">
      <alignment/>
    </xf>
    <xf numFmtId="167" fontId="7" fillId="0" borderId="87" xfId="0" applyNumberFormat="1" applyFont="1" applyFill="1" applyBorder="1" applyAlignment="1">
      <alignment/>
    </xf>
    <xf numFmtId="167" fontId="7" fillId="0" borderId="44" xfId="0" applyNumberFormat="1" applyFont="1" applyFill="1" applyBorder="1" applyAlignment="1">
      <alignment/>
    </xf>
    <xf numFmtId="167" fontId="3" fillId="5" borderId="106" xfId="0" applyNumberFormat="1" applyFont="1" applyFill="1" applyBorder="1" applyAlignment="1">
      <alignment/>
    </xf>
    <xf numFmtId="167" fontId="7" fillId="0" borderId="107" xfId="0" applyNumberFormat="1" applyFont="1" applyFill="1" applyBorder="1" applyAlignment="1">
      <alignment/>
    </xf>
    <xf numFmtId="167" fontId="3" fillId="5" borderId="1" xfId="0" applyNumberFormat="1" applyFont="1" applyFill="1" applyBorder="1" applyAlignment="1">
      <alignment/>
    </xf>
    <xf numFmtId="167" fontId="3" fillId="3" borderId="88" xfId="0" applyNumberFormat="1" applyFont="1" applyFill="1" applyBorder="1" applyAlignment="1">
      <alignment/>
    </xf>
    <xf numFmtId="167" fontId="3" fillId="3" borderId="89" xfId="0" applyNumberFormat="1" applyFont="1" applyFill="1" applyBorder="1" applyAlignment="1">
      <alignment/>
    </xf>
    <xf numFmtId="167" fontId="3" fillId="3" borderId="97" xfId="0" applyNumberFormat="1" applyFont="1" applyFill="1" applyBorder="1" applyAlignment="1">
      <alignment/>
    </xf>
    <xf numFmtId="167" fontId="3" fillId="3" borderId="51" xfId="0" applyNumberFormat="1" applyFont="1" applyFill="1" applyBorder="1" applyAlignment="1">
      <alignment/>
    </xf>
    <xf numFmtId="167" fontId="3" fillId="3" borderId="98" xfId="0" applyNumberFormat="1" applyFont="1" applyFill="1" applyBorder="1" applyAlignment="1">
      <alignment/>
    </xf>
    <xf numFmtId="167" fontId="3" fillId="3" borderId="90" xfId="0" applyNumberFormat="1" applyFont="1" applyFill="1" applyBorder="1" applyAlignment="1">
      <alignment/>
    </xf>
    <xf numFmtId="167" fontId="7" fillId="0" borderId="92" xfId="0" applyNumberFormat="1" applyFont="1" applyFill="1" applyBorder="1" applyAlignment="1">
      <alignment/>
    </xf>
    <xf numFmtId="167" fontId="7" fillId="0" borderId="93" xfId="0" applyNumberFormat="1" applyFont="1" applyFill="1" applyBorder="1" applyAlignment="1">
      <alignment/>
    </xf>
    <xf numFmtId="167" fontId="7" fillId="0" borderId="91" xfId="0" applyNumberFormat="1" applyFont="1" applyFill="1" applyBorder="1" applyAlignment="1">
      <alignment/>
    </xf>
    <xf numFmtId="167" fontId="3" fillId="5" borderId="108" xfId="0" applyNumberFormat="1" applyFont="1" applyFill="1" applyBorder="1" applyAlignment="1">
      <alignment/>
    </xf>
    <xf numFmtId="167" fontId="7" fillId="0" borderId="109" xfId="0" applyNumberFormat="1" applyFont="1" applyFill="1" applyBorder="1" applyAlignment="1">
      <alignment/>
    </xf>
    <xf numFmtId="167" fontId="3" fillId="5" borderId="94" xfId="0" applyNumberFormat="1" applyFont="1" applyFill="1" applyBorder="1" applyAlignment="1">
      <alignment/>
    </xf>
    <xf numFmtId="0" fontId="7" fillId="7" borderId="98" xfId="0" applyFont="1" applyFill="1" applyBorder="1" applyAlignment="1">
      <alignment/>
    </xf>
    <xf numFmtId="0" fontId="7" fillId="7" borderId="90" xfId="0" applyFont="1" applyFill="1" applyBorder="1" applyAlignment="1">
      <alignment/>
    </xf>
    <xf numFmtId="49" fontId="3" fillId="3" borderId="110" xfId="0" applyNumberFormat="1" applyFont="1" applyFill="1" applyBorder="1" applyAlignment="1">
      <alignment horizontal="left"/>
    </xf>
    <xf numFmtId="167" fontId="3" fillId="3" borderId="78" xfId="0" applyNumberFormat="1" applyFont="1" applyFill="1" applyBorder="1" applyAlignment="1">
      <alignment/>
    </xf>
    <xf numFmtId="167" fontId="3" fillId="3" borderId="75" xfId="0" applyNumberFormat="1" applyFont="1" applyFill="1" applyBorder="1" applyAlignment="1">
      <alignment/>
    </xf>
    <xf numFmtId="167" fontId="3" fillId="3" borderId="76" xfId="0" applyNumberFormat="1" applyFont="1" applyFill="1" applyBorder="1" applyAlignment="1">
      <alignment/>
    </xf>
    <xf numFmtId="167" fontId="3" fillId="3" borderId="77" xfId="0" applyNumberFormat="1" applyFont="1" applyFill="1" applyBorder="1" applyAlignment="1">
      <alignment/>
    </xf>
    <xf numFmtId="167" fontId="3" fillId="3" borderId="99" xfId="0" applyNumberFormat="1" applyFont="1" applyFill="1" applyBorder="1" applyAlignment="1">
      <alignment/>
    </xf>
    <xf numFmtId="167" fontId="3" fillId="3" borderId="79" xfId="0" applyNumberFormat="1" applyFont="1" applyFill="1" applyBorder="1" applyAlignment="1">
      <alignment/>
    </xf>
    <xf numFmtId="167" fontId="7" fillId="0" borderId="0" xfId="0" applyNumberFormat="1" applyFont="1" applyAlignment="1">
      <alignment/>
    </xf>
    <xf numFmtId="0" fontId="3" fillId="3" borderId="88" xfId="0" applyFont="1" applyFill="1" applyBorder="1" applyAlignment="1">
      <alignment/>
    </xf>
    <xf numFmtId="167" fontId="3" fillId="0" borderId="89" xfId="0" applyNumberFormat="1" applyFont="1" applyFill="1" applyBorder="1" applyAlignment="1">
      <alignment/>
    </xf>
    <xf numFmtId="167" fontId="3" fillId="5" borderId="89" xfId="0" applyNumberFormat="1" applyFont="1" applyFill="1" applyBorder="1" applyAlignment="1">
      <alignment/>
    </xf>
    <xf numFmtId="167" fontId="3" fillId="5" borderId="9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32" xfId="0" applyNumberFormat="1" applyFont="1" applyFill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7" fillId="0" borderId="111" xfId="0" applyFont="1" applyBorder="1" applyAlignment="1">
      <alignment/>
    </xf>
    <xf numFmtId="0" fontId="7" fillId="0" borderId="112" xfId="0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3" fillId="0" borderId="113" xfId="0" applyNumberFormat="1" applyFont="1" applyBorder="1" applyAlignment="1">
      <alignment horizontal="left"/>
    </xf>
    <xf numFmtId="3" fontId="7" fillId="0" borderId="43" xfId="0" applyNumberFormat="1" applyFont="1" applyBorder="1" applyAlignment="1">
      <alignment horizontal="left"/>
    </xf>
    <xf numFmtId="3" fontId="7" fillId="0" borderId="84" xfId="0" applyNumberFormat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/>
    </xf>
    <xf numFmtId="49" fontId="7" fillId="0" borderId="38" xfId="0" applyNumberFormat="1" applyFont="1" applyFill="1" applyBorder="1" applyAlignment="1">
      <alignment horizontal="left"/>
    </xf>
    <xf numFmtId="49" fontId="7" fillId="0" borderId="114" xfId="0" applyNumberFormat="1" applyFont="1" applyFill="1" applyBorder="1" applyAlignment="1">
      <alignment/>
    </xf>
    <xf numFmtId="49" fontId="3" fillId="2" borderId="115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 horizontal="left"/>
    </xf>
    <xf numFmtId="0" fontId="3" fillId="3" borderId="110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83" xfId="0" applyFont="1" applyFill="1" applyBorder="1" applyAlignment="1">
      <alignment horizontal="center" vertical="center"/>
    </xf>
    <xf numFmtId="0" fontId="3" fillId="3" borderId="118" xfId="0" applyFont="1" applyFill="1" applyBorder="1" applyAlignment="1">
      <alignment horizontal="center" vertical="center"/>
    </xf>
    <xf numFmtId="49" fontId="7" fillId="0" borderId="119" xfId="0" applyNumberFormat="1" applyFont="1" applyFill="1" applyBorder="1" applyAlignment="1">
      <alignment/>
    </xf>
    <xf numFmtId="0" fontId="3" fillId="2" borderId="99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left"/>
    </xf>
    <xf numFmtId="49" fontId="3" fillId="3" borderId="38" xfId="0" applyNumberFormat="1" applyFont="1" applyFill="1" applyBorder="1" applyAlignment="1">
      <alignment horizontal="left"/>
    </xf>
    <xf numFmtId="0" fontId="3" fillId="2" borderId="63" xfId="0" applyFont="1" applyFill="1" applyBorder="1" applyAlignment="1">
      <alignment vertical="center"/>
    </xf>
    <xf numFmtId="3" fontId="3" fillId="2" borderId="120" xfId="0" applyNumberFormat="1" applyFont="1" applyFill="1" applyBorder="1" applyAlignment="1">
      <alignment horizontal="left" vertical="center"/>
    </xf>
    <xf numFmtId="0" fontId="7" fillId="0" borderId="1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3" fillId="2" borderId="122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0" fontId="3" fillId="2" borderId="122" xfId="20" applyFont="1" applyFill="1" applyBorder="1" applyAlignment="1">
      <alignment horizontal="center" vertical="center"/>
      <protection/>
    </xf>
    <xf numFmtId="0" fontId="3" fillId="2" borderId="123" xfId="20" applyFont="1" applyFill="1" applyBorder="1" applyAlignment="1">
      <alignment horizontal="center" vertical="center" wrapText="1"/>
      <protection/>
    </xf>
    <xf numFmtId="0" fontId="3" fillId="2" borderId="42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124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3" fillId="2" borderId="81" xfId="0" applyNumberFormat="1" applyFont="1" applyFill="1" applyBorder="1" applyAlignment="1">
      <alignment horizontal="left" vertical="center"/>
    </xf>
    <xf numFmtId="0" fontId="7" fillId="0" borderId="82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46" xfId="0" applyFont="1" applyBorder="1" applyAlignment="1">
      <alignment/>
    </xf>
    <xf numFmtId="3" fontId="3" fillId="2" borderId="7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63" xfId="0" applyNumberFormat="1" applyFont="1" applyFill="1" applyBorder="1" applyAlignment="1">
      <alignment horizontal="left" vertical="center"/>
    </xf>
    <xf numFmtId="0" fontId="3" fillId="2" borderId="115" xfId="20" applyFont="1" applyFill="1" applyBorder="1" applyAlignment="1">
      <alignment horizontal="center" vertical="center"/>
      <protection/>
    </xf>
    <xf numFmtId="0" fontId="3" fillId="2" borderId="64" xfId="20" applyFont="1" applyFill="1" applyBorder="1" applyAlignment="1">
      <alignment horizontal="center" vertical="center" wrapText="1"/>
      <protection/>
    </xf>
    <xf numFmtId="0" fontId="3" fillId="2" borderId="122" xfId="0" applyFont="1" applyFill="1" applyBorder="1" applyAlignment="1">
      <alignment horizontal="center" vertical="center"/>
    </xf>
    <xf numFmtId="0" fontId="3" fillId="2" borderId="115" xfId="0" applyFont="1" applyFill="1" applyBorder="1" applyAlignment="1">
      <alignment horizontal="center" vertical="center" wrapText="1"/>
    </xf>
    <xf numFmtId="0" fontId="3" fillId="2" borderId="122" xfId="0" applyFont="1" applyFill="1" applyBorder="1" applyAlignment="1">
      <alignment horizontal="center"/>
    </xf>
    <xf numFmtId="0" fontId="3" fillId="2" borderId="124" xfId="0" applyFont="1" applyFill="1" applyBorder="1" applyAlignment="1">
      <alignment horizontal="center" vertical="center" wrapText="1"/>
    </xf>
    <xf numFmtId="0" fontId="3" fillId="2" borderId="123" xfId="0" applyFont="1" applyFill="1" applyBorder="1" applyAlignment="1">
      <alignment horizontal="center" vertical="center" wrapText="1"/>
    </xf>
    <xf numFmtId="3" fontId="7" fillId="0" borderId="83" xfId="0" applyNumberFormat="1" applyFont="1" applyFill="1" applyBorder="1" applyAlignment="1">
      <alignment horizontal="left" vertical="center" wrapText="1"/>
    </xf>
    <xf numFmtId="0" fontId="7" fillId="0" borderId="105" xfId="0" applyFont="1" applyFill="1" applyBorder="1" applyAlignment="1">
      <alignment wrapText="1"/>
    </xf>
    <xf numFmtId="3" fontId="7" fillId="0" borderId="84" xfId="0" applyNumberFormat="1" applyFont="1" applyBorder="1" applyAlignment="1">
      <alignment horizontal="left"/>
    </xf>
    <xf numFmtId="3" fontId="7" fillId="0" borderId="46" xfId="0" applyNumberFormat="1" applyFont="1" applyBorder="1" applyAlignment="1">
      <alignment horizontal="left"/>
    </xf>
    <xf numFmtId="0" fontId="3" fillId="2" borderId="27" xfId="0" applyFont="1" applyFill="1" applyBorder="1" applyAlignment="1">
      <alignment vertical="center"/>
    </xf>
    <xf numFmtId="3" fontId="7" fillId="0" borderId="120" xfId="0" applyNumberFormat="1" applyFont="1" applyBorder="1" applyAlignment="1">
      <alignment horizontal="left" wrapText="1"/>
    </xf>
    <xf numFmtId="3" fontId="7" fillId="0" borderId="121" xfId="0" applyNumberFormat="1" applyFont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left"/>
    </xf>
    <xf numFmtId="49" fontId="9" fillId="0" borderId="39" xfId="0" applyNumberFormat="1" applyFont="1" applyFill="1" applyBorder="1" applyAlignment="1">
      <alignment horizontal="left"/>
    </xf>
    <xf numFmtId="49" fontId="9" fillId="0" borderId="125" xfId="0" applyNumberFormat="1" applyFont="1" applyFill="1" applyBorder="1" applyAlignment="1">
      <alignment horizontal="left"/>
    </xf>
    <xf numFmtId="49" fontId="9" fillId="0" borderId="23" xfId="0" applyNumberFormat="1" applyFont="1" applyFill="1" applyBorder="1" applyAlignment="1">
      <alignment horizontal="left"/>
    </xf>
    <xf numFmtId="49" fontId="9" fillId="0" borderId="126" xfId="0" applyNumberFormat="1" applyFont="1" applyFill="1" applyBorder="1" applyAlignment="1">
      <alignment horizontal="left"/>
    </xf>
    <xf numFmtId="49" fontId="9" fillId="0" borderId="127" xfId="0" applyNumberFormat="1" applyFont="1" applyFill="1" applyBorder="1" applyAlignment="1">
      <alignment horizontal="left"/>
    </xf>
    <xf numFmtId="49" fontId="8" fillId="3" borderId="38" xfId="0" applyNumberFormat="1" applyFont="1" applyFill="1" applyBorder="1" applyAlignment="1">
      <alignment horizontal="left"/>
    </xf>
    <xf numFmtId="49" fontId="8" fillId="3" borderId="39" xfId="0" applyNumberFormat="1" applyFont="1" applyFill="1" applyBorder="1" applyAlignment="1">
      <alignment horizontal="left"/>
    </xf>
    <xf numFmtId="49" fontId="8" fillId="3" borderId="128" xfId="0" applyNumberFormat="1" applyFont="1" applyFill="1" applyBorder="1" applyAlignment="1">
      <alignment horizontal="left"/>
    </xf>
    <xf numFmtId="49" fontId="8" fillId="3" borderId="61" xfId="0" applyNumberFormat="1" applyFont="1" applyFill="1" applyBorder="1" applyAlignment="1">
      <alignment horizontal="left"/>
    </xf>
    <xf numFmtId="49" fontId="8" fillId="3" borderId="33" xfId="0" applyNumberFormat="1" applyFont="1" applyFill="1" applyBorder="1" applyAlignment="1">
      <alignment horizontal="left"/>
    </xf>
    <xf numFmtId="49" fontId="8" fillId="3" borderId="129" xfId="0" applyNumberFormat="1" applyFont="1" applyFill="1" applyBorder="1" applyAlignment="1">
      <alignment horizontal="left"/>
    </xf>
    <xf numFmtId="49" fontId="9" fillId="0" borderId="61" xfId="0" applyNumberFormat="1" applyFont="1" applyFill="1" applyBorder="1" applyAlignment="1">
      <alignment horizontal="left"/>
    </xf>
    <xf numFmtId="49" fontId="9" fillId="0" borderId="33" xfId="0" applyNumberFormat="1" applyFont="1" applyFill="1" applyBorder="1" applyAlignment="1">
      <alignment horizontal="left"/>
    </xf>
    <xf numFmtId="49" fontId="9" fillId="0" borderId="130" xfId="0" applyNumberFormat="1" applyFont="1" applyFill="1" applyBorder="1" applyAlignment="1">
      <alignment horizontal="left"/>
    </xf>
    <xf numFmtId="49" fontId="9" fillId="0" borderId="40" xfId="0" applyNumberFormat="1" applyFont="1" applyFill="1" applyBorder="1" applyAlignment="1">
      <alignment/>
    </xf>
    <xf numFmtId="49" fontId="9" fillId="0" borderId="39" xfId="0" applyNumberFormat="1" applyFont="1" applyFill="1" applyBorder="1" applyAlignment="1">
      <alignment/>
    </xf>
    <xf numFmtId="49" fontId="9" fillId="0" borderId="125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/>
    </xf>
    <xf numFmtId="49" fontId="9" fillId="0" borderId="126" xfId="0" applyNumberFormat="1" applyFont="1" applyFill="1" applyBorder="1" applyAlignment="1">
      <alignment/>
    </xf>
    <xf numFmtId="49" fontId="9" fillId="0" borderId="127" xfId="0" applyNumberFormat="1" applyFont="1" applyFill="1" applyBorder="1" applyAlignment="1">
      <alignment/>
    </xf>
    <xf numFmtId="49" fontId="8" fillId="2" borderId="115" xfId="0" applyNumberFormat="1" applyFont="1" applyFill="1" applyBorder="1" applyAlignment="1">
      <alignment horizontal="left"/>
    </xf>
    <xf numFmtId="49" fontId="8" fillId="2" borderId="131" xfId="0" applyNumberFormat="1" applyFont="1" applyFill="1" applyBorder="1" applyAlignment="1">
      <alignment horizontal="left"/>
    </xf>
    <xf numFmtId="49" fontId="8" fillId="2" borderId="123" xfId="0" applyNumberFormat="1" applyFont="1" applyFill="1" applyBorder="1" applyAlignment="1">
      <alignment horizontal="left"/>
    </xf>
    <xf numFmtId="49" fontId="9" fillId="0" borderId="40" xfId="0" applyNumberFormat="1" applyFont="1" applyFill="1" applyBorder="1" applyAlignment="1">
      <alignment horizontal="left"/>
    </xf>
    <xf numFmtId="3" fontId="3" fillId="2" borderId="132" xfId="0" applyNumberFormat="1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3" fillId="3" borderId="133" xfId="0" applyFont="1" applyFill="1" applyBorder="1" applyAlignment="1">
      <alignment horizontal="center" vertical="center"/>
    </xf>
    <xf numFmtId="0" fontId="3" fillId="3" borderId="134" xfId="0" applyFont="1" applyFill="1" applyBorder="1" applyAlignment="1">
      <alignment horizontal="center" vertical="center"/>
    </xf>
    <xf numFmtId="0" fontId="3" fillId="3" borderId="135" xfId="0" applyFont="1" applyFill="1" applyBorder="1" applyAlignment="1">
      <alignment horizontal="center" vertical="center"/>
    </xf>
    <xf numFmtId="0" fontId="3" fillId="3" borderId="13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137" xfId="0" applyFont="1" applyFill="1" applyBorder="1" applyAlignment="1">
      <alignment horizontal="center" vertical="center"/>
    </xf>
    <xf numFmtId="0" fontId="3" fillId="3" borderId="138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139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140" xfId="0" applyFont="1" applyFill="1" applyBorder="1" applyAlignment="1">
      <alignment horizontal="center" vertical="center"/>
    </xf>
    <xf numFmtId="0" fontId="3" fillId="3" borderId="141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142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49" fontId="9" fillId="0" borderId="119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/>
    </xf>
    <xf numFmtId="49" fontId="9" fillId="0" borderId="130" xfId="0" applyNumberFormat="1" applyFont="1" applyFill="1" applyBorder="1" applyAlignment="1">
      <alignment/>
    </xf>
    <xf numFmtId="3" fontId="7" fillId="0" borderId="143" xfId="0" applyNumberFormat="1" applyFont="1" applyBorder="1" applyAlignment="1">
      <alignment horizontal="left" wrapText="1"/>
    </xf>
    <xf numFmtId="3" fontId="7" fillId="0" borderId="144" xfId="0" applyNumberFormat="1" applyFont="1" applyBorder="1" applyAlignment="1">
      <alignment horizontal="left" wrapText="1"/>
    </xf>
    <xf numFmtId="3" fontId="7" fillId="0" borderId="84" xfId="0" applyNumberFormat="1" applyFont="1" applyBorder="1" applyAlignment="1">
      <alignment horizontal="left" wrapText="1"/>
    </xf>
    <xf numFmtId="3" fontId="7" fillId="0" borderId="46" xfId="0" applyNumberFormat="1" applyFont="1" applyBorder="1" applyAlignment="1">
      <alignment horizontal="left" wrapText="1"/>
    </xf>
    <xf numFmtId="3" fontId="3" fillId="2" borderId="145" xfId="0" applyNumberFormat="1" applyFont="1" applyFill="1" applyBorder="1" applyAlignment="1">
      <alignment horizontal="left" vertical="center"/>
    </xf>
    <xf numFmtId="3" fontId="7" fillId="0" borderId="81" xfId="0" applyNumberFormat="1" applyFont="1" applyBorder="1" applyAlignment="1">
      <alignment horizontal="left"/>
    </xf>
    <xf numFmtId="3" fontId="7" fillId="0" borderId="82" xfId="0" applyNumberFormat="1" applyFont="1" applyBorder="1" applyAlignment="1">
      <alignment horizontal="left"/>
    </xf>
    <xf numFmtId="49" fontId="9" fillId="0" borderId="59" xfId="0" applyNumberFormat="1" applyFont="1" applyFill="1" applyBorder="1" applyAlignment="1">
      <alignment horizontal="left"/>
    </xf>
    <xf numFmtId="49" fontId="9" fillId="0" borderId="114" xfId="0" applyNumberFormat="1" applyFont="1" applyFill="1" applyBorder="1" applyAlignment="1">
      <alignment/>
    </xf>
    <xf numFmtId="49" fontId="9" fillId="0" borderId="32" xfId="0" applyNumberFormat="1" applyFont="1" applyFill="1" applyBorder="1" applyAlignment="1">
      <alignment horizontal="left"/>
    </xf>
    <xf numFmtId="3" fontId="7" fillId="0" borderId="23" xfId="0" applyNumberFormat="1" applyFont="1" applyBorder="1" applyAlignment="1">
      <alignment horizontal="center"/>
    </xf>
    <xf numFmtId="3" fontId="7" fillId="0" borderId="127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3" fontId="7" fillId="0" borderId="130" xfId="0" applyNumberFormat="1" applyFont="1" applyBorder="1" applyAlignment="1">
      <alignment horizontal="center"/>
    </xf>
    <xf numFmtId="3" fontId="4" fillId="2" borderId="122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7" fillId="0" borderId="40" xfId="0" applyNumberFormat="1" applyFont="1" applyBorder="1" applyAlignment="1">
      <alignment horizontal="left" wrapText="1"/>
    </xf>
    <xf numFmtId="3" fontId="7" fillId="0" borderId="39" xfId="0" applyNumberFormat="1" applyFont="1" applyBorder="1" applyAlignment="1">
      <alignment horizontal="left" wrapText="1"/>
    </xf>
    <xf numFmtId="3" fontId="7" fillId="0" borderId="56" xfId="0" applyNumberFormat="1" applyFont="1" applyBorder="1" applyAlignment="1">
      <alignment horizontal="left" wrapText="1"/>
    </xf>
    <xf numFmtId="3" fontId="7" fillId="0" borderId="120" xfId="0" applyNumberFormat="1" applyFont="1" applyBorder="1" applyAlignment="1">
      <alignment horizontal="left"/>
    </xf>
    <xf numFmtId="3" fontId="7" fillId="0" borderId="121" xfId="0" applyNumberFormat="1" applyFont="1" applyBorder="1" applyAlignment="1">
      <alignment horizontal="left"/>
    </xf>
    <xf numFmtId="3" fontId="3" fillId="2" borderId="122" xfId="0" applyNumberFormat="1" applyFont="1" applyFill="1" applyBorder="1" applyAlignment="1">
      <alignment horizontal="center" vertical="center"/>
    </xf>
    <xf numFmtId="3" fontId="7" fillId="0" borderId="21" xfId="0" applyNumberFormat="1" applyFont="1" applyBorder="1" applyAlignment="1">
      <alignment/>
    </xf>
    <xf numFmtId="0" fontId="3" fillId="2" borderId="21" xfId="0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hondlova\Local%20Settings\Temporary%20Internet%20Files\OLKF\1%20K&#218;%20Finan&#269;n&#237;%20pl&#225;n%202011-n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n&#269;n&#237;%20pl&#225;n%202011-%20nov&#233;%20odpi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. plán 2011"/>
      <sheetName val="odpisy 2011"/>
      <sheetName val="fondy"/>
      <sheetName val="Investice, opravy"/>
      <sheetName val="Ostatní údaje"/>
    </sheetNames>
    <sheetDataSet>
      <sheetData sheetId="1">
        <row r="9">
          <cell r="E9">
            <v>195768</v>
          </cell>
        </row>
        <row r="10">
          <cell r="E10">
            <v>643034</v>
          </cell>
        </row>
        <row r="11">
          <cell r="E11">
            <v>103704</v>
          </cell>
        </row>
        <row r="12">
          <cell r="E12">
            <v>346212</v>
          </cell>
        </row>
        <row r="13">
          <cell r="E13">
            <v>1141464</v>
          </cell>
        </row>
        <row r="15">
          <cell r="B15">
            <v>149846028.9</v>
          </cell>
          <cell r="D15">
            <v>39755525.47</v>
          </cell>
          <cell r="E15">
            <v>2430182</v>
          </cell>
          <cell r="F15">
            <v>107660321.16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. plán 2011"/>
      <sheetName val="odpisy 2011"/>
      <sheetName val="fondy"/>
      <sheetName val="Investice, opravy"/>
      <sheetName val="Ostatní údaje"/>
    </sheetNames>
    <sheetDataSet>
      <sheetData sheetId="1">
        <row r="9">
          <cell r="E9">
            <v>242</v>
          </cell>
        </row>
        <row r="10">
          <cell r="E10">
            <v>433</v>
          </cell>
        </row>
        <row r="11">
          <cell r="E11">
            <v>5</v>
          </cell>
        </row>
        <row r="12">
          <cell r="E12">
            <v>29</v>
          </cell>
        </row>
        <row r="13">
          <cell r="E13">
            <v>358</v>
          </cell>
        </row>
        <row r="14">
          <cell r="E14">
            <v>2023</v>
          </cell>
        </row>
        <row r="15">
          <cell r="B15">
            <v>87229</v>
          </cell>
          <cell r="D15">
            <v>3852</v>
          </cell>
          <cell r="E15">
            <v>3090</v>
          </cell>
          <cell r="F15">
            <v>80287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view="pageBreakPreview" zoomScale="70" zoomScaleNormal="70" zoomScaleSheetLayoutView="7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2" sqref="Y2"/>
    </sheetView>
  </sheetViews>
  <sheetFormatPr defaultColWidth="9.00390625" defaultRowHeight="12.75"/>
  <cols>
    <col min="1" max="1" width="50.375" style="6" customWidth="1"/>
    <col min="2" max="2" width="13.75390625" style="6" customWidth="1"/>
    <col min="3" max="3" width="11.25390625" style="6" customWidth="1"/>
    <col min="4" max="4" width="9.375" style="6" bestFit="1" customWidth="1"/>
    <col min="5" max="5" width="10.125" style="6" customWidth="1"/>
    <col min="6" max="6" width="10.875" style="6" bestFit="1" customWidth="1"/>
    <col min="7" max="7" width="9.75390625" style="6" bestFit="1" customWidth="1"/>
    <col min="8" max="8" width="10.125" style="6" bestFit="1" customWidth="1"/>
    <col min="9" max="9" width="14.75390625" style="6" bestFit="1" customWidth="1"/>
    <col min="10" max="10" width="11.25390625" style="6" customWidth="1"/>
    <col min="11" max="11" width="10.00390625" style="6" bestFit="1" customWidth="1"/>
    <col min="12" max="12" width="12.375" style="6" customWidth="1"/>
    <col min="13" max="13" width="12.625" style="6" customWidth="1"/>
    <col min="14" max="14" width="14.75390625" style="6" bestFit="1" customWidth="1"/>
    <col min="15" max="20" width="9.625" style="6" bestFit="1" customWidth="1"/>
    <col min="21" max="21" width="12.875" style="6" customWidth="1"/>
    <col min="22" max="22" width="10.375" style="6" customWidth="1"/>
    <col min="23" max="23" width="11.75390625" style="6" customWidth="1"/>
    <col min="24" max="24" width="11.875" style="6" customWidth="1"/>
    <col min="25" max="25" width="13.125" style="6" customWidth="1"/>
    <col min="26" max="16384" width="9.125" style="6" customWidth="1"/>
  </cols>
  <sheetData>
    <row r="1" ht="15">
      <c r="Y1" s="514" t="s">
        <v>340</v>
      </c>
    </row>
    <row r="2" ht="15">
      <c r="Y2" s="514" t="s">
        <v>140</v>
      </c>
    </row>
    <row r="3" spans="1:25" ht="15.75" thickBot="1">
      <c r="A3" s="102" t="s">
        <v>170</v>
      </c>
      <c r="L3" s="150"/>
      <c r="Y3" s="150" t="s">
        <v>2</v>
      </c>
    </row>
    <row r="4" spans="1:25" ht="101.25" customHeight="1" thickBot="1">
      <c r="A4" s="103" t="s">
        <v>142</v>
      </c>
      <c r="B4" s="264" t="s">
        <v>0</v>
      </c>
      <c r="C4" s="264" t="s">
        <v>47</v>
      </c>
      <c r="D4" s="264" t="s">
        <v>48</v>
      </c>
      <c r="E4" s="264" t="s">
        <v>49</v>
      </c>
      <c r="F4" s="264" t="s">
        <v>50</v>
      </c>
      <c r="G4" s="264" t="s">
        <v>51</v>
      </c>
      <c r="H4" s="264" t="s">
        <v>3</v>
      </c>
      <c r="I4" s="264" t="s">
        <v>9</v>
      </c>
      <c r="J4" s="264" t="s">
        <v>7</v>
      </c>
      <c r="K4" s="264" t="s">
        <v>61</v>
      </c>
      <c r="L4" s="265" t="s">
        <v>1</v>
      </c>
      <c r="M4" s="266" t="s">
        <v>4</v>
      </c>
      <c r="N4" s="267" t="s">
        <v>53</v>
      </c>
      <c r="O4" s="264" t="s">
        <v>54</v>
      </c>
      <c r="P4" s="264" t="s">
        <v>165</v>
      </c>
      <c r="Q4" s="264" t="s">
        <v>55</v>
      </c>
      <c r="R4" s="264" t="s">
        <v>56</v>
      </c>
      <c r="S4" s="264" t="s">
        <v>331</v>
      </c>
      <c r="T4" s="264" t="s">
        <v>57</v>
      </c>
      <c r="U4" s="264" t="s">
        <v>58</v>
      </c>
      <c r="V4" s="268" t="s">
        <v>59</v>
      </c>
      <c r="W4" s="268" t="s">
        <v>60</v>
      </c>
      <c r="X4" s="266" t="s">
        <v>5</v>
      </c>
      <c r="Y4" s="266" t="s">
        <v>6</v>
      </c>
    </row>
    <row r="5" spans="1:25" ht="19.5" customHeight="1">
      <c r="A5" s="269" t="s">
        <v>65</v>
      </c>
      <c r="B5" s="270">
        <f>'DS Havlíčkův Brod'!J7</f>
        <v>14956</v>
      </c>
      <c r="C5" s="271">
        <f>'DD Ždírec'!J7</f>
        <v>18764</v>
      </c>
      <c r="D5" s="271">
        <f>'DD Onšov'!J7</f>
        <v>7534</v>
      </c>
      <c r="E5" s="271">
        <f>'DD Proseč Obořiště'!J7</f>
        <v>11286</v>
      </c>
      <c r="F5" s="271">
        <f>'DD Proseč u Pošné'!J7</f>
        <v>14542</v>
      </c>
      <c r="G5" s="271">
        <f>'DD Humpolec'!J7</f>
        <v>31587</v>
      </c>
      <c r="H5" s="271">
        <f>'DS Třebíč Koutkova'!J7</f>
        <v>30110</v>
      </c>
      <c r="I5" s="271">
        <f>'DS M.Curierových'!J7</f>
        <v>34386</v>
      </c>
      <c r="J5" s="271">
        <f>'DS Náměšť nad Os'!J7</f>
        <v>17380</v>
      </c>
      <c r="K5" s="271">
        <f>'DS Mitrov'!J7</f>
        <v>26592</v>
      </c>
      <c r="L5" s="271">
        <f>'DS Velké Meziříčí'!J7</f>
        <v>21060</v>
      </c>
      <c r="M5" s="272">
        <f>SUM(B5:L5)</f>
        <v>228197</v>
      </c>
      <c r="N5" s="273">
        <f>'ÚSP Lidmaň'!J7</f>
        <v>15977</v>
      </c>
      <c r="O5" s="273">
        <f>'ÚSP Zboží'!J7</f>
        <v>11109</v>
      </c>
      <c r="P5" s="271">
        <f>'Domov bez zámku'!J7</f>
        <v>11092</v>
      </c>
      <c r="Q5" s="271">
        <f>'ÚSP Věž'!J7</f>
        <v>12835</v>
      </c>
      <c r="R5" s="274">
        <f>'ÚSP Křižanov'!J7</f>
        <v>28755</v>
      </c>
      <c r="S5" s="271">
        <f>'ÚSP Těchobuz'!J7</f>
        <v>12047</v>
      </c>
      <c r="T5" s="271">
        <f>'ÚSP Nové Syrovice'!J7</f>
        <v>11820</v>
      </c>
      <c r="U5" s="271">
        <f>'DÚSP Černovice'!J7</f>
        <v>37242</v>
      </c>
      <c r="V5" s="271">
        <f>'USP Ledeč nad Sázavou'!J7</f>
        <v>12345</v>
      </c>
      <c r="W5" s="271">
        <f>'Psych.Jihl.'!J7</f>
        <v>0</v>
      </c>
      <c r="X5" s="272">
        <f>SUM(N5:V5)</f>
        <v>153222</v>
      </c>
      <c r="Y5" s="275">
        <f>M5+W5+X5</f>
        <v>381419</v>
      </c>
    </row>
    <row r="6" spans="1:25" ht="19.5" customHeight="1">
      <c r="A6" s="276" t="s">
        <v>66</v>
      </c>
      <c r="B6" s="277">
        <f>'DS Havlíčkův Brod'!J8</f>
        <v>6569</v>
      </c>
      <c r="C6" s="278">
        <f>'DD Ždírec'!J8</f>
        <v>10632</v>
      </c>
      <c r="D6" s="278">
        <f>'DD Onšov'!J8</f>
        <v>4500</v>
      </c>
      <c r="E6" s="278">
        <f>'DD Proseč Obořiště'!J8</f>
        <v>6088</v>
      </c>
      <c r="F6" s="278">
        <f>'DD Proseč u Pošné'!J8</f>
        <v>6500</v>
      </c>
      <c r="G6" s="278">
        <f>'DD Humpolec'!J8</f>
        <v>16200</v>
      </c>
      <c r="H6" s="278">
        <f>'DS Třebíč Koutkova'!J8</f>
        <v>15970</v>
      </c>
      <c r="I6" s="278">
        <f>'DS M.Curierových'!J8</f>
        <v>18800</v>
      </c>
      <c r="J6" s="278">
        <f>'DS Náměšť nad Os'!J8</f>
        <v>9700</v>
      </c>
      <c r="K6" s="278">
        <f>'DS Mitrov'!J8</f>
        <v>12000</v>
      </c>
      <c r="L6" s="278">
        <f>'DS Velké Meziříčí'!J8</f>
        <v>8900</v>
      </c>
      <c r="M6" s="279">
        <f aca="true" t="shared" si="0" ref="M6:M60">SUM(B6:L6)</f>
        <v>115859</v>
      </c>
      <c r="N6" s="280">
        <f>'ÚSP Lidmaň'!J8</f>
        <v>9250</v>
      </c>
      <c r="O6" s="280">
        <f>'ÚSP Zboží'!J8</f>
        <v>5282</v>
      </c>
      <c r="P6" s="278">
        <f>'Domov bez zámku'!J8</f>
        <v>5080</v>
      </c>
      <c r="Q6" s="278">
        <f>'ÚSP Věž'!J8</f>
        <v>6875</v>
      </c>
      <c r="R6" s="281">
        <f>'ÚSP Křižanov'!J8</f>
        <v>10300</v>
      </c>
      <c r="S6" s="278">
        <f>'ÚSP Těchobuz'!J8</f>
        <v>6023</v>
      </c>
      <c r="T6" s="278">
        <f>'ÚSP Nové Syrovice'!J8</f>
        <v>7010</v>
      </c>
      <c r="U6" s="278">
        <f>'DÚSP Černovice'!J8</f>
        <v>10325</v>
      </c>
      <c r="V6" s="278">
        <f>'USP Ledeč nad Sázavou'!J8</f>
        <v>6879</v>
      </c>
      <c r="W6" s="278">
        <f>'Psych.Jihl.'!J8</f>
        <v>0</v>
      </c>
      <c r="X6" s="279">
        <f aca="true" t="shared" si="1" ref="X6:X58">SUM(N6:V6)</f>
        <v>67024</v>
      </c>
      <c r="Y6" s="282">
        <f aca="true" t="shared" si="2" ref="Y6:Y60">M6+W6+X6</f>
        <v>182883</v>
      </c>
    </row>
    <row r="7" spans="1:25" ht="19.5" customHeight="1">
      <c r="A7" s="276" t="s">
        <v>67</v>
      </c>
      <c r="B7" s="277">
        <f>'DS Havlíčkův Brod'!J9</f>
        <v>6305</v>
      </c>
      <c r="C7" s="278">
        <f>'DD Ždírec'!J9</f>
        <v>7536</v>
      </c>
      <c r="D7" s="278">
        <f>'DD Onšov'!J9</f>
        <v>2800</v>
      </c>
      <c r="E7" s="278">
        <f>'DD Proseč Obořiště'!J9</f>
        <v>4208</v>
      </c>
      <c r="F7" s="278">
        <f>'DD Proseč u Pošné'!J9</f>
        <v>6012</v>
      </c>
      <c r="G7" s="278">
        <f>'DD Humpolec'!J9</f>
        <v>13200</v>
      </c>
      <c r="H7" s="278">
        <f>'DS Třebíč Koutkova'!J9</f>
        <v>12100</v>
      </c>
      <c r="I7" s="278">
        <f>'DS M.Curierových'!J9</f>
        <v>12730</v>
      </c>
      <c r="J7" s="278">
        <f>'DS Náměšť nad Os'!J9</f>
        <v>5900</v>
      </c>
      <c r="K7" s="278">
        <f>'DS Mitrov'!J9</f>
        <v>12380</v>
      </c>
      <c r="L7" s="278">
        <f>'DS Velké Meziříčí'!J9</f>
        <v>9200</v>
      </c>
      <c r="M7" s="279">
        <f t="shared" si="0"/>
        <v>92371</v>
      </c>
      <c r="N7" s="280">
        <f>'ÚSP Lidmaň'!J9</f>
        <v>6150</v>
      </c>
      <c r="O7" s="280">
        <f>'ÚSP Zboží'!J9</f>
        <v>5127</v>
      </c>
      <c r="P7" s="278">
        <f>'Domov bez zámku'!J9</f>
        <v>5210</v>
      </c>
      <c r="Q7" s="278">
        <f>'ÚSP Věž'!J9</f>
        <v>4850</v>
      </c>
      <c r="R7" s="281">
        <f>'ÚSP Křižanov'!J9</f>
        <v>14300</v>
      </c>
      <c r="S7" s="278">
        <f>'ÚSP Těchobuz'!J9</f>
        <v>4312</v>
      </c>
      <c r="T7" s="278">
        <f>'ÚSP Nové Syrovice'!J9</f>
        <v>3960</v>
      </c>
      <c r="U7" s="278">
        <f>'DÚSP Černovice'!J9</f>
        <v>15243</v>
      </c>
      <c r="V7" s="278">
        <f>'USP Ledeč nad Sázavou'!J9</f>
        <v>5290</v>
      </c>
      <c r="W7" s="278">
        <f>'Psych.Jihl.'!J9</f>
        <v>0</v>
      </c>
      <c r="X7" s="279">
        <f t="shared" si="1"/>
        <v>64442</v>
      </c>
      <c r="Y7" s="282">
        <f t="shared" si="2"/>
        <v>156813</v>
      </c>
    </row>
    <row r="8" spans="1:25" ht="19.5" customHeight="1">
      <c r="A8" s="276" t="s">
        <v>68</v>
      </c>
      <c r="B8" s="277">
        <f>'DS Havlíčkův Brod'!J10</f>
        <v>0</v>
      </c>
      <c r="C8" s="278">
        <f>'DD Ždírec'!J10</f>
        <v>40</v>
      </c>
      <c r="D8" s="278">
        <f>'DD Onšov'!J10</f>
        <v>34</v>
      </c>
      <c r="E8" s="278">
        <f>'DD Proseč Obořiště'!J10</f>
        <v>70</v>
      </c>
      <c r="F8" s="278">
        <f>'DD Proseč u Pošné'!J10</f>
        <v>35</v>
      </c>
      <c r="G8" s="278">
        <f>'DD Humpolec'!J10</f>
        <v>4</v>
      </c>
      <c r="H8" s="278">
        <f>'DS Třebíč Koutkova'!J10</f>
        <v>15</v>
      </c>
      <c r="I8" s="278">
        <f>'DS M.Curierových'!J10</f>
        <v>0</v>
      </c>
      <c r="J8" s="278">
        <f>'DS Náměšť nad Os'!J10</f>
        <v>70</v>
      </c>
      <c r="K8" s="278">
        <f>'DS Mitrov'!J10</f>
        <v>2</v>
      </c>
      <c r="L8" s="278">
        <f>'DS Velké Meziříčí'!J10</f>
        <v>0</v>
      </c>
      <c r="M8" s="279">
        <f t="shared" si="0"/>
        <v>270</v>
      </c>
      <c r="N8" s="280">
        <f>'ÚSP Lidmaň'!J10</f>
        <v>320</v>
      </c>
      <c r="O8" s="280">
        <f>'ÚSP Zboží'!J10</f>
        <v>0</v>
      </c>
      <c r="P8" s="278">
        <f>'Domov bez zámku'!J10</f>
        <v>2</v>
      </c>
      <c r="Q8" s="278">
        <f>'ÚSP Věž'!J10</f>
        <v>0</v>
      </c>
      <c r="R8" s="281">
        <f>'ÚSP Křižanov'!J10</f>
        <v>15</v>
      </c>
      <c r="S8" s="278">
        <f>'ÚSP Těchobuz'!J10</f>
        <v>175</v>
      </c>
      <c r="T8" s="278">
        <f>'ÚSP Nové Syrovice'!J10</f>
        <v>0</v>
      </c>
      <c r="U8" s="278">
        <f>'DÚSP Černovice'!J10</f>
        <v>0</v>
      </c>
      <c r="V8" s="278">
        <f>'USP Ledeč nad Sázavou'!J10</f>
        <v>20</v>
      </c>
      <c r="W8" s="278">
        <f>'Psych.Jihl.'!J10</f>
        <v>0</v>
      </c>
      <c r="X8" s="279">
        <f t="shared" si="1"/>
        <v>532</v>
      </c>
      <c r="Y8" s="282">
        <f t="shared" si="2"/>
        <v>802</v>
      </c>
    </row>
    <row r="9" spans="1:25" ht="19.5" customHeight="1">
      <c r="A9" s="276" t="s">
        <v>69</v>
      </c>
      <c r="B9" s="277">
        <f>'DS Havlíčkův Brod'!J11</f>
        <v>1799</v>
      </c>
      <c r="C9" s="278">
        <f>'DD Ždírec'!J11</f>
        <v>526</v>
      </c>
      <c r="D9" s="278">
        <f>'DD Onšov'!J11</f>
        <v>50</v>
      </c>
      <c r="E9" s="278">
        <f>'DD Proseč Obořiště'!J11</f>
        <v>700</v>
      </c>
      <c r="F9" s="278">
        <f>'DD Proseč u Pošné'!J11</f>
        <v>1800</v>
      </c>
      <c r="G9" s="278">
        <f>'DD Humpolec'!J11</f>
        <v>1450</v>
      </c>
      <c r="H9" s="278">
        <f>'DS Třebíč Koutkova'!J11</f>
        <v>1600</v>
      </c>
      <c r="I9" s="278">
        <f>'DS M.Curierových'!J11</f>
        <v>2387</v>
      </c>
      <c r="J9" s="278">
        <f>'DS Náměšť nad Os'!J11</f>
        <v>900</v>
      </c>
      <c r="K9" s="278">
        <f>'DS Mitrov'!J11</f>
        <v>1700</v>
      </c>
      <c r="L9" s="278">
        <f>'DS Velké Meziříčí'!J11</f>
        <v>1560</v>
      </c>
      <c r="M9" s="279">
        <f t="shared" si="0"/>
        <v>14472</v>
      </c>
      <c r="N9" s="280">
        <f>'ÚSP Lidmaň'!J11</f>
        <v>2</v>
      </c>
      <c r="O9" s="280">
        <f>'ÚSP Zboží'!J11</f>
        <v>250</v>
      </c>
      <c r="P9" s="278">
        <f>'Domov bez zámku'!J11</f>
        <v>640</v>
      </c>
      <c r="Q9" s="278">
        <f>'ÚSP Věž'!J11</f>
        <v>780</v>
      </c>
      <c r="R9" s="281">
        <f>'ÚSP Křižanov'!J11</f>
        <v>3350</v>
      </c>
      <c r="S9" s="278">
        <f>'ÚSP Těchobuz'!J11</f>
        <v>1140</v>
      </c>
      <c r="T9" s="278">
        <f>'ÚSP Nové Syrovice'!J11</f>
        <v>650</v>
      </c>
      <c r="U9" s="278">
        <f>'DÚSP Černovice'!J11</f>
        <v>9726</v>
      </c>
      <c r="V9" s="278">
        <f>'USP Ledeč nad Sázavou'!J11</f>
        <v>144</v>
      </c>
      <c r="W9" s="278">
        <f>'Psych.Jihl.'!J11</f>
        <v>0</v>
      </c>
      <c r="X9" s="279">
        <f t="shared" si="1"/>
        <v>16682</v>
      </c>
      <c r="Y9" s="282">
        <f t="shared" si="2"/>
        <v>31154</v>
      </c>
    </row>
    <row r="10" spans="1:25" ht="19.5" customHeight="1">
      <c r="A10" s="276" t="s">
        <v>70</v>
      </c>
      <c r="B10" s="277">
        <f>'DS Havlíčkův Brod'!J12</f>
        <v>283</v>
      </c>
      <c r="C10" s="278">
        <f>'DD Ždírec'!J12</f>
        <v>0</v>
      </c>
      <c r="D10" s="278">
        <f>'DD Onšov'!J12</f>
        <v>150</v>
      </c>
      <c r="E10" s="278">
        <f>'DD Proseč Obořiště'!J12</f>
        <v>210</v>
      </c>
      <c r="F10" s="278">
        <f>'DD Proseč u Pošné'!J12</f>
        <v>190</v>
      </c>
      <c r="G10" s="278">
        <f>'DD Humpolec'!J12</f>
        <v>520</v>
      </c>
      <c r="H10" s="278">
        <f>'DS Třebíč Koutkova'!J12</f>
        <v>425</v>
      </c>
      <c r="I10" s="278">
        <f>'DS M.Curierových'!J12</f>
        <v>469</v>
      </c>
      <c r="J10" s="278">
        <f>'DS Náměšť nad Os'!J12</f>
        <v>810</v>
      </c>
      <c r="K10" s="278">
        <f>'DS Mitrov'!J12</f>
        <v>500</v>
      </c>
      <c r="L10" s="278">
        <f>'DS Velké Meziříčí'!J12</f>
        <v>1400</v>
      </c>
      <c r="M10" s="279">
        <f t="shared" si="0"/>
        <v>4957</v>
      </c>
      <c r="N10" s="280">
        <f>'ÚSP Lidmaň'!J12</f>
        <v>255</v>
      </c>
      <c r="O10" s="280">
        <f>'ÚSP Zboží'!J12</f>
        <v>450</v>
      </c>
      <c r="P10" s="278">
        <f>'Domov bez zámku'!J12</f>
        <v>160</v>
      </c>
      <c r="Q10" s="278">
        <f>'ÚSP Věž'!J12</f>
        <v>330</v>
      </c>
      <c r="R10" s="281">
        <f>'ÚSP Křižanov'!J12</f>
        <v>770</v>
      </c>
      <c r="S10" s="278">
        <f>'ÚSP Těchobuz'!J12</f>
        <v>260</v>
      </c>
      <c r="T10" s="278">
        <f>'ÚSP Nové Syrovice'!J12</f>
        <v>200</v>
      </c>
      <c r="U10" s="278">
        <f>'DÚSP Černovice'!J12</f>
        <v>571</v>
      </c>
      <c r="V10" s="278">
        <f>'USP Ledeč nad Sázavou'!J12</f>
        <v>0</v>
      </c>
      <c r="W10" s="278">
        <f>'Psych.Jihl.'!J12</f>
        <v>0</v>
      </c>
      <c r="X10" s="279">
        <f t="shared" si="1"/>
        <v>2996</v>
      </c>
      <c r="Y10" s="282">
        <f t="shared" si="2"/>
        <v>7953</v>
      </c>
    </row>
    <row r="11" spans="1:25" ht="19.5" customHeight="1">
      <c r="A11" s="276" t="s">
        <v>71</v>
      </c>
      <c r="B11" s="277">
        <f>'DS Havlíčkův Brod'!J13</f>
        <v>0</v>
      </c>
      <c r="C11" s="278">
        <f>'DD Ždírec'!J13</f>
        <v>30</v>
      </c>
      <c r="D11" s="278">
        <f>'DD Onšov'!J13</f>
        <v>0</v>
      </c>
      <c r="E11" s="278">
        <f>'DD Proseč Obořiště'!J13</f>
        <v>10</v>
      </c>
      <c r="F11" s="278">
        <f>'DD Proseč u Pošné'!J13</f>
        <v>5</v>
      </c>
      <c r="G11" s="278">
        <f>'DD Humpolec'!J13</f>
        <v>213</v>
      </c>
      <c r="H11" s="278">
        <f>'DS Třebíč Koutkova'!J13</f>
        <v>0</v>
      </c>
      <c r="I11" s="278">
        <f>'DS M.Curierových'!J13</f>
        <v>0</v>
      </c>
      <c r="J11" s="278">
        <f>'DS Náměšť nad Os'!J13</f>
        <v>0</v>
      </c>
      <c r="K11" s="278">
        <f>'DS Mitrov'!J13</f>
        <v>10</v>
      </c>
      <c r="L11" s="278">
        <f>'DS Velké Meziříčí'!J13</f>
        <v>0</v>
      </c>
      <c r="M11" s="279">
        <f t="shared" si="0"/>
        <v>268</v>
      </c>
      <c r="N11" s="280">
        <f>'ÚSP Lidmaň'!J13</f>
        <v>0</v>
      </c>
      <c r="O11" s="280">
        <f>'ÚSP Zboží'!J13</f>
        <v>0</v>
      </c>
      <c r="P11" s="278">
        <f>'Domov bez zámku'!J13</f>
        <v>0</v>
      </c>
      <c r="Q11" s="278">
        <f>'ÚSP Věž'!J13</f>
        <v>0</v>
      </c>
      <c r="R11" s="281">
        <f>'ÚSP Křižanov'!J13</f>
        <v>20</v>
      </c>
      <c r="S11" s="278">
        <f>'ÚSP Těchobuz'!J13</f>
        <v>137</v>
      </c>
      <c r="T11" s="278">
        <f>'ÚSP Nové Syrovice'!J13</f>
        <v>0</v>
      </c>
      <c r="U11" s="278">
        <f>'DÚSP Černovice'!J13</f>
        <v>1377</v>
      </c>
      <c r="V11" s="278">
        <f>'USP Ledeč nad Sázavou'!J13</f>
        <v>12</v>
      </c>
      <c r="W11" s="278">
        <f>'Psych.Jihl.'!J13</f>
        <v>0</v>
      </c>
      <c r="X11" s="279">
        <f t="shared" si="1"/>
        <v>1546</v>
      </c>
      <c r="Y11" s="282">
        <f t="shared" si="2"/>
        <v>1814</v>
      </c>
    </row>
    <row r="12" spans="1:25" ht="23.25" customHeight="1">
      <c r="A12" s="283" t="s">
        <v>72</v>
      </c>
      <c r="B12" s="277">
        <f>'DS Havlíčkův Brod'!J14</f>
        <v>0</v>
      </c>
      <c r="C12" s="278">
        <f>'DD Ždírec'!J14</f>
        <v>0</v>
      </c>
      <c r="D12" s="278">
        <f>'DD Onšov'!J14</f>
        <v>0</v>
      </c>
      <c r="E12" s="278">
        <f>'DD Proseč Obořiště'!J14</f>
        <v>0</v>
      </c>
      <c r="F12" s="278">
        <f>'DD Proseč u Pošné'!J14</f>
        <v>0</v>
      </c>
      <c r="G12" s="278">
        <f>'DD Humpolec'!J14</f>
        <v>0</v>
      </c>
      <c r="H12" s="278">
        <f>'DS Třebíč Koutkova'!J14</f>
        <v>0</v>
      </c>
      <c r="I12" s="278">
        <f>'DS M.Curierových'!J14</f>
        <v>0</v>
      </c>
      <c r="J12" s="278">
        <f>'DS Náměšť nad Os'!J14</f>
        <v>0</v>
      </c>
      <c r="K12" s="278">
        <f>'DS Mitrov'!J14</f>
        <v>0</v>
      </c>
      <c r="L12" s="278">
        <f>'DS Velké Meziříčí'!J14</f>
        <v>0</v>
      </c>
      <c r="M12" s="279">
        <f t="shared" si="0"/>
        <v>0</v>
      </c>
      <c r="N12" s="280">
        <f>'ÚSP Lidmaň'!J14</f>
        <v>0</v>
      </c>
      <c r="O12" s="280">
        <f>'ÚSP Zboží'!J14</f>
        <v>0</v>
      </c>
      <c r="P12" s="278">
        <f>'Domov bez zámku'!J14</f>
        <v>0</v>
      </c>
      <c r="Q12" s="278">
        <f>'ÚSP Věž'!J14</f>
        <v>0</v>
      </c>
      <c r="R12" s="281">
        <f>'ÚSP Křižanov'!J14</f>
        <v>0</v>
      </c>
      <c r="S12" s="278">
        <f>'ÚSP Těchobuz'!J14</f>
        <v>0</v>
      </c>
      <c r="T12" s="278">
        <f>'ÚSP Nové Syrovice'!J14</f>
        <v>0</v>
      </c>
      <c r="U12" s="278">
        <f>'DÚSP Černovice'!J14</f>
        <v>61</v>
      </c>
      <c r="V12" s="278">
        <f>'USP Ledeč nad Sázavou'!J14</f>
        <v>2</v>
      </c>
      <c r="W12" s="278">
        <f>'Psych.Jihl.'!J14</f>
        <v>0</v>
      </c>
      <c r="X12" s="279">
        <f t="shared" si="1"/>
        <v>63</v>
      </c>
      <c r="Y12" s="282">
        <f t="shared" si="2"/>
        <v>63</v>
      </c>
    </row>
    <row r="13" spans="1:25" ht="19.5" customHeight="1">
      <c r="A13" s="283" t="s">
        <v>73</v>
      </c>
      <c r="B13" s="277">
        <f>'DS Havlíčkův Brod'!J15</f>
        <v>0</v>
      </c>
      <c r="C13" s="278">
        <f>'DD Ždírec'!J15</f>
        <v>0</v>
      </c>
      <c r="D13" s="278">
        <f>'DD Onšov'!J15</f>
        <v>0</v>
      </c>
      <c r="E13" s="278">
        <f>'DD Proseč Obořiště'!J15</f>
        <v>0</v>
      </c>
      <c r="F13" s="278">
        <f>'DD Proseč u Pošné'!J15</f>
        <v>0</v>
      </c>
      <c r="G13" s="278">
        <f>'DD Humpolec'!J15</f>
        <v>0</v>
      </c>
      <c r="H13" s="278">
        <f>'DS Třebíč Koutkova'!J15</f>
        <v>0</v>
      </c>
      <c r="I13" s="278">
        <f>'DS M.Curierových'!J15</f>
        <v>0</v>
      </c>
      <c r="J13" s="278">
        <f>'DS Náměšť nad Os'!J15</f>
        <v>0</v>
      </c>
      <c r="K13" s="278">
        <f>'DS Mitrov'!J15</f>
        <v>0</v>
      </c>
      <c r="L13" s="278">
        <f>'DS Velké Meziříčí'!J15</f>
        <v>0</v>
      </c>
      <c r="M13" s="279">
        <f t="shared" si="0"/>
        <v>0</v>
      </c>
      <c r="N13" s="280">
        <f>'ÚSP Lidmaň'!J15</f>
        <v>0</v>
      </c>
      <c r="O13" s="280">
        <f>'ÚSP Zboží'!J15</f>
        <v>0</v>
      </c>
      <c r="P13" s="278">
        <f>'Domov bez zámku'!J15</f>
        <v>0</v>
      </c>
      <c r="Q13" s="278">
        <f>'ÚSP Věž'!J15</f>
        <v>0</v>
      </c>
      <c r="R13" s="281">
        <f>'ÚSP Křižanov'!J15</f>
        <v>0</v>
      </c>
      <c r="S13" s="278">
        <f>'ÚSP Těchobuz'!J15</f>
        <v>0</v>
      </c>
      <c r="T13" s="278">
        <f>'ÚSP Nové Syrovice'!J15</f>
        <v>0</v>
      </c>
      <c r="U13" s="278">
        <f>'DÚSP Černovice'!J15</f>
        <v>0</v>
      </c>
      <c r="V13" s="278">
        <f>'USP Ledeč nad Sázavou'!J15</f>
        <v>0</v>
      </c>
      <c r="W13" s="278">
        <f>'Psych.Jihl.'!J15</f>
        <v>0</v>
      </c>
      <c r="X13" s="279">
        <f t="shared" si="1"/>
        <v>0</v>
      </c>
      <c r="Y13" s="282">
        <f t="shared" si="2"/>
        <v>0</v>
      </c>
    </row>
    <row r="14" spans="1:25" ht="19.5" customHeight="1">
      <c r="A14" s="283" t="s">
        <v>74</v>
      </c>
      <c r="B14" s="277">
        <f>'DS Havlíčkův Brod'!J16</f>
        <v>11</v>
      </c>
      <c r="C14" s="278">
        <f>'DD Ždírec'!J16</f>
        <v>30</v>
      </c>
      <c r="D14" s="278">
        <f>'DD Onšov'!J16</f>
        <v>200</v>
      </c>
      <c r="E14" s="278">
        <f>'DD Proseč Obořiště'!J16</f>
        <v>282</v>
      </c>
      <c r="F14" s="278">
        <f>'DD Proseč u Pošné'!J16</f>
        <v>290</v>
      </c>
      <c r="G14" s="278">
        <f>'DD Humpolec'!J16</f>
        <v>50</v>
      </c>
      <c r="H14" s="278">
        <f>'DS Třebíč Koutkova'!J16</f>
        <v>100</v>
      </c>
      <c r="I14" s="278">
        <f>'DS M.Curierových'!J16</f>
        <v>110</v>
      </c>
      <c r="J14" s="278">
        <f>'DS Náměšť nad Os'!J16</f>
        <v>340</v>
      </c>
      <c r="K14" s="278">
        <f>'DS Mitrov'!J16</f>
        <v>1996</v>
      </c>
      <c r="L14" s="278">
        <f>'DS Velké Meziříčí'!J16</f>
        <v>1050</v>
      </c>
      <c r="M14" s="279">
        <f t="shared" si="0"/>
        <v>4459</v>
      </c>
      <c r="N14" s="280">
        <f>'ÚSP Lidmaň'!J16</f>
        <v>238</v>
      </c>
      <c r="O14" s="280">
        <f>'ÚSP Zboží'!J16</f>
        <v>1012</v>
      </c>
      <c r="P14" s="278">
        <f>'Domov bez zámku'!J16</f>
        <v>96</v>
      </c>
      <c r="Q14" s="278">
        <f>'ÚSP Věž'!J16</f>
        <v>680</v>
      </c>
      <c r="R14" s="281">
        <f>'ÚSP Křižanov'!J16</f>
        <v>709</v>
      </c>
      <c r="S14" s="278">
        <f>'ÚSP Těchobuz'!J16</f>
        <v>200</v>
      </c>
      <c r="T14" s="278">
        <f>'ÚSP Nové Syrovice'!J16</f>
        <v>216</v>
      </c>
      <c r="U14" s="278">
        <f>'DÚSP Černovice'!J16</f>
        <v>899</v>
      </c>
      <c r="V14" s="278">
        <f>'USP Ledeč nad Sázavou'!J16</f>
        <v>88</v>
      </c>
      <c r="W14" s="278">
        <f>'Psych.Jihl.'!J16</f>
        <v>0</v>
      </c>
      <c r="X14" s="279">
        <f t="shared" si="1"/>
        <v>4138</v>
      </c>
      <c r="Y14" s="282">
        <f t="shared" si="2"/>
        <v>8597</v>
      </c>
    </row>
    <row r="15" spans="1:25" ht="19.5" customHeight="1">
      <c r="A15" s="283" t="s">
        <v>75</v>
      </c>
      <c r="B15" s="277">
        <f>'DS Havlíčkův Brod'!J17</f>
        <v>0</v>
      </c>
      <c r="C15" s="278">
        <f>'DD Ždírec'!J17</f>
        <v>0</v>
      </c>
      <c r="D15" s="278">
        <f>'DD Onšov'!J17</f>
        <v>200</v>
      </c>
      <c r="E15" s="278">
        <f>'DD Proseč Obořiště'!J17</f>
        <v>274</v>
      </c>
      <c r="F15" s="278">
        <f>'DD Proseč u Pošné'!J17</f>
        <v>250</v>
      </c>
      <c r="G15" s="278">
        <f>'DD Humpolec'!J17</f>
        <v>30</v>
      </c>
      <c r="H15" s="278">
        <f>'DS Třebíč Koutkova'!J17</f>
        <v>90</v>
      </c>
      <c r="I15" s="278">
        <f>'DS M.Curierových'!J17</f>
        <v>60</v>
      </c>
      <c r="J15" s="278">
        <f>'DS Náměšť nad Os'!J17</f>
        <v>200</v>
      </c>
      <c r="K15" s="278">
        <f>'DS Mitrov'!J17</f>
        <v>1996</v>
      </c>
      <c r="L15" s="278">
        <f>'DS Velké Meziříčí'!J17</f>
        <v>1040</v>
      </c>
      <c r="M15" s="279">
        <f t="shared" si="0"/>
        <v>4140</v>
      </c>
      <c r="N15" s="280">
        <f>'ÚSP Lidmaň'!J17</f>
        <v>0</v>
      </c>
      <c r="O15" s="280">
        <f>'ÚSP Zboží'!J17</f>
        <v>1012</v>
      </c>
      <c r="P15" s="278">
        <f>'Domov bez zámku'!J17</f>
        <v>96</v>
      </c>
      <c r="Q15" s="278">
        <f>'ÚSP Věž'!J17</f>
        <v>660</v>
      </c>
      <c r="R15" s="281">
        <f>'ÚSP Křižanov'!J17</f>
        <v>659</v>
      </c>
      <c r="S15" s="278">
        <f>'ÚSP Těchobuz'!J17</f>
        <v>200</v>
      </c>
      <c r="T15" s="278">
        <f>'ÚSP Nové Syrovice'!J17</f>
        <v>216</v>
      </c>
      <c r="U15" s="278">
        <f>'DÚSP Černovice'!J17</f>
        <v>205</v>
      </c>
      <c r="V15" s="278">
        <f>'USP Ledeč nad Sázavou'!J17</f>
        <v>88</v>
      </c>
      <c r="W15" s="278">
        <f>'Psych.Jihl.'!J17</f>
        <v>0</v>
      </c>
      <c r="X15" s="279">
        <f t="shared" si="1"/>
        <v>3136</v>
      </c>
      <c r="Y15" s="282">
        <f t="shared" si="2"/>
        <v>7276</v>
      </c>
    </row>
    <row r="16" spans="1:25" ht="19.5" customHeight="1">
      <c r="A16" s="283" t="s">
        <v>76</v>
      </c>
      <c r="B16" s="277">
        <f>'DS Havlíčkův Brod'!J18</f>
        <v>0</v>
      </c>
      <c r="C16" s="278">
        <f>'DD Ždírec'!J18</f>
        <v>0</v>
      </c>
      <c r="D16" s="278">
        <f>'DD Onšov'!J18</f>
        <v>0</v>
      </c>
      <c r="E16" s="278">
        <f>'DD Proseč Obořiště'!J18</f>
        <v>0</v>
      </c>
      <c r="F16" s="278">
        <f>'DD Proseč u Pošné'!J18</f>
        <v>0</v>
      </c>
      <c r="G16" s="278">
        <f>'DD Humpolec'!J18</f>
        <v>0</v>
      </c>
      <c r="H16" s="278">
        <f>'DS Třebíč Koutkova'!J18</f>
        <v>0</v>
      </c>
      <c r="I16" s="278">
        <f>'DS M.Curierových'!J18</f>
        <v>0</v>
      </c>
      <c r="J16" s="278">
        <f>'DS Náměšť nad Os'!J18</f>
        <v>0</v>
      </c>
      <c r="K16" s="278">
        <f>'DS Mitrov'!J18</f>
        <v>0</v>
      </c>
      <c r="L16" s="278">
        <f>'DS Velké Meziříčí'!J18</f>
        <v>0</v>
      </c>
      <c r="M16" s="279">
        <f t="shared" si="0"/>
        <v>0</v>
      </c>
      <c r="N16" s="280">
        <f>'ÚSP Lidmaň'!J18</f>
        <v>0</v>
      </c>
      <c r="O16" s="280">
        <f>'ÚSP Zboží'!J18</f>
        <v>0</v>
      </c>
      <c r="P16" s="278">
        <f>'Domov bez zámku'!J18</f>
        <v>0</v>
      </c>
      <c r="Q16" s="278">
        <f>'ÚSP Věž'!J18</f>
        <v>0</v>
      </c>
      <c r="R16" s="281">
        <f>'ÚSP Křižanov'!J18</f>
        <v>0</v>
      </c>
      <c r="S16" s="278">
        <f>'ÚSP Těchobuz'!J18</f>
        <v>0</v>
      </c>
      <c r="T16" s="278">
        <f>'ÚSP Nové Syrovice'!J18</f>
        <v>0</v>
      </c>
      <c r="U16" s="278">
        <f>'DÚSP Černovice'!J18</f>
        <v>0</v>
      </c>
      <c r="V16" s="278">
        <f>'USP Ledeč nad Sázavou'!J18</f>
        <v>0</v>
      </c>
      <c r="W16" s="278">
        <f>'Psych.Jihl.'!J18</f>
        <v>0</v>
      </c>
      <c r="X16" s="279">
        <f t="shared" si="1"/>
        <v>0</v>
      </c>
      <c r="Y16" s="282">
        <f t="shared" si="2"/>
        <v>0</v>
      </c>
    </row>
    <row r="17" spans="1:25" ht="19.5" customHeight="1">
      <c r="A17" s="283" t="s">
        <v>77</v>
      </c>
      <c r="B17" s="277">
        <f>'DS Havlíčkův Brod'!J19</f>
        <v>0</v>
      </c>
      <c r="C17" s="278">
        <f>'DD Ždírec'!J19</f>
        <v>0</v>
      </c>
      <c r="D17" s="278">
        <f>'DD Onšov'!J19</f>
        <v>0</v>
      </c>
      <c r="E17" s="278">
        <f>'DD Proseč Obořiště'!J19</f>
        <v>0</v>
      </c>
      <c r="F17" s="278">
        <f>'DD Proseč u Pošné'!J19</f>
        <v>0</v>
      </c>
      <c r="G17" s="278">
        <f>'DD Humpolec'!J19</f>
        <v>0</v>
      </c>
      <c r="H17" s="278">
        <f>'DS Třebíč Koutkova'!J19</f>
        <v>0</v>
      </c>
      <c r="I17" s="278">
        <f>'DS M.Curierových'!J19</f>
        <v>0</v>
      </c>
      <c r="J17" s="278">
        <f>'DS Náměšť nad Os'!J19</f>
        <v>0</v>
      </c>
      <c r="K17" s="278">
        <f>'DS Mitrov'!J19</f>
        <v>0</v>
      </c>
      <c r="L17" s="278">
        <f>'DS Velké Meziříčí'!J19</f>
        <v>0</v>
      </c>
      <c r="M17" s="279">
        <f t="shared" si="0"/>
        <v>0</v>
      </c>
      <c r="N17" s="280">
        <f>'ÚSP Lidmaň'!J19</f>
        <v>0</v>
      </c>
      <c r="O17" s="280">
        <f>'ÚSP Zboží'!J19</f>
        <v>0</v>
      </c>
      <c r="P17" s="278">
        <f>'Domov bez zámku'!J19</f>
        <v>0</v>
      </c>
      <c r="Q17" s="278">
        <f>'ÚSP Věž'!J19</f>
        <v>0</v>
      </c>
      <c r="R17" s="281">
        <f>'ÚSP Křižanov'!J19</f>
        <v>0</v>
      </c>
      <c r="S17" s="278">
        <f>'ÚSP Těchobuz'!J19</f>
        <v>0</v>
      </c>
      <c r="T17" s="278">
        <f>'ÚSP Nové Syrovice'!J19</f>
        <v>0</v>
      </c>
      <c r="U17" s="278">
        <f>'DÚSP Černovice'!J19</f>
        <v>0</v>
      </c>
      <c r="V17" s="278">
        <f>'USP Ledeč nad Sázavou'!J19</f>
        <v>0</v>
      </c>
      <c r="W17" s="278">
        <f>'Psych.Jihl.'!J19</f>
        <v>0</v>
      </c>
      <c r="X17" s="279">
        <f t="shared" si="1"/>
        <v>0</v>
      </c>
      <c r="Y17" s="282">
        <f t="shared" si="2"/>
        <v>0</v>
      </c>
    </row>
    <row r="18" spans="1:25" ht="19.5" customHeight="1">
      <c r="A18" s="283" t="s">
        <v>78</v>
      </c>
      <c r="B18" s="277">
        <f>'DS Havlíčkův Brod'!J20</f>
        <v>0</v>
      </c>
      <c r="C18" s="278">
        <f>'DD Ždírec'!J20</f>
        <v>0</v>
      </c>
      <c r="D18" s="278">
        <f>'DD Onšov'!J20</f>
        <v>0</v>
      </c>
      <c r="E18" s="278">
        <f>'DD Proseč Obořiště'!J20</f>
        <v>0</v>
      </c>
      <c r="F18" s="278">
        <f>'DD Proseč u Pošné'!J20</f>
        <v>1</v>
      </c>
      <c r="G18" s="278">
        <f>'DD Humpolec'!J20</f>
        <v>0</v>
      </c>
      <c r="H18" s="278">
        <f>'DS Třebíč Koutkova'!J20</f>
        <v>3</v>
      </c>
      <c r="I18" s="278">
        <f>'DS M.Curierových'!J20</f>
        <v>0</v>
      </c>
      <c r="J18" s="278">
        <f>'DS Náměšť nad Os'!J20</f>
        <v>0</v>
      </c>
      <c r="K18" s="278">
        <f>'DS Mitrov'!J20</f>
        <v>0</v>
      </c>
      <c r="L18" s="278">
        <f>'DS Velké Meziříčí'!J20</f>
        <v>30</v>
      </c>
      <c r="M18" s="279">
        <f t="shared" si="0"/>
        <v>34</v>
      </c>
      <c r="N18" s="280">
        <f>'ÚSP Lidmaň'!J20</f>
        <v>0</v>
      </c>
      <c r="O18" s="280">
        <f>'ÚSP Zboží'!J20</f>
        <v>0</v>
      </c>
      <c r="P18" s="278">
        <f>'Domov bez zámku'!J20</f>
        <v>0</v>
      </c>
      <c r="Q18" s="278">
        <f>'ÚSP Věž'!J20</f>
        <v>0</v>
      </c>
      <c r="R18" s="281">
        <f>'ÚSP Křižanov'!J20</f>
        <v>0</v>
      </c>
      <c r="S18" s="278">
        <f>'ÚSP Těchobuz'!J20</f>
        <v>0</v>
      </c>
      <c r="T18" s="278">
        <f>'ÚSP Nové Syrovice'!J20</f>
        <v>0</v>
      </c>
      <c r="U18" s="278">
        <f>'DÚSP Černovice'!J20</f>
        <v>6</v>
      </c>
      <c r="V18" s="278">
        <f>'USP Ledeč nad Sázavou'!J20</f>
        <v>0</v>
      </c>
      <c r="W18" s="278">
        <f>'Psych.Jihl.'!J20</f>
        <v>0</v>
      </c>
      <c r="X18" s="279">
        <f t="shared" si="1"/>
        <v>6</v>
      </c>
      <c r="Y18" s="282">
        <f t="shared" si="2"/>
        <v>40</v>
      </c>
    </row>
    <row r="19" spans="1:25" ht="29.25" customHeight="1">
      <c r="A19" s="283" t="s">
        <v>79</v>
      </c>
      <c r="B19" s="277">
        <f>'DS Havlíčkův Brod'!J21</f>
        <v>0</v>
      </c>
      <c r="C19" s="278">
        <f>'DD Ždírec'!J21</f>
        <v>0</v>
      </c>
      <c r="D19" s="278">
        <f>'DD Onšov'!J21</f>
        <v>0</v>
      </c>
      <c r="E19" s="278">
        <f>'DD Proseč Obořiště'!J21</f>
        <v>0</v>
      </c>
      <c r="F19" s="278">
        <f>'DD Proseč u Pošné'!J21</f>
        <v>0</v>
      </c>
      <c r="G19" s="278">
        <f>'DD Humpolec'!J21</f>
        <v>0</v>
      </c>
      <c r="H19" s="278">
        <f>'DS Třebíč Koutkova'!J21</f>
        <v>0</v>
      </c>
      <c r="I19" s="278">
        <f>'DS M.Curierových'!J21</f>
        <v>0</v>
      </c>
      <c r="J19" s="278">
        <f>'DS Náměšť nad Os'!J21</f>
        <v>0</v>
      </c>
      <c r="K19" s="278">
        <f>'DS Mitrov'!J21</f>
        <v>0</v>
      </c>
      <c r="L19" s="278">
        <f>'DS Velké Meziříčí'!J21</f>
        <v>0</v>
      </c>
      <c r="M19" s="279">
        <f t="shared" si="0"/>
        <v>0</v>
      </c>
      <c r="N19" s="280">
        <f>'ÚSP Lidmaň'!J21</f>
        <v>0</v>
      </c>
      <c r="O19" s="280">
        <f>'ÚSP Zboží'!J21</f>
        <v>0</v>
      </c>
      <c r="P19" s="278">
        <f>'Domov bez zámku'!J21</f>
        <v>0</v>
      </c>
      <c r="Q19" s="278">
        <f>'ÚSP Věž'!J21</f>
        <v>0</v>
      </c>
      <c r="R19" s="281">
        <f>'ÚSP Křižanov'!J21</f>
        <v>0</v>
      </c>
      <c r="S19" s="278">
        <f>'ÚSP Těchobuz'!J21</f>
        <v>0</v>
      </c>
      <c r="T19" s="278">
        <f>'ÚSP Nové Syrovice'!J21</f>
        <v>0</v>
      </c>
      <c r="U19" s="278">
        <f>'DÚSP Černovice'!J21</f>
        <v>0</v>
      </c>
      <c r="V19" s="278">
        <f>'USP Ledeč nad Sázavou'!J21</f>
        <v>0</v>
      </c>
      <c r="W19" s="278">
        <f>'Psych.Jihl.'!J21</f>
        <v>0</v>
      </c>
      <c r="X19" s="279">
        <f t="shared" si="1"/>
        <v>0</v>
      </c>
      <c r="Y19" s="282">
        <f t="shared" si="2"/>
        <v>0</v>
      </c>
    </row>
    <row r="20" spans="1:25" ht="19.5" customHeight="1">
      <c r="A20" s="283" t="s">
        <v>80</v>
      </c>
      <c r="B20" s="277">
        <f>'DS Havlíčkův Brod'!J22</f>
        <v>5527</v>
      </c>
      <c r="C20" s="278">
        <f>'DD Ždírec'!J22</f>
        <v>7176</v>
      </c>
      <c r="D20" s="278">
        <f>'DD Onšov'!J22</f>
        <v>3261</v>
      </c>
      <c r="E20" s="278">
        <f>'DD Proseč Obořiště'!J22</f>
        <v>4836</v>
      </c>
      <c r="F20" s="278">
        <f>'DD Proseč u Pošné'!J22</f>
        <v>5872</v>
      </c>
      <c r="G20" s="278">
        <f>'DD Humpolec'!J22</f>
        <v>11256</v>
      </c>
      <c r="H20" s="278">
        <f>'DS Třebíč Koutkova'!J22</f>
        <v>14012</v>
      </c>
      <c r="I20" s="278">
        <f>'DS M.Curierových'!J22</f>
        <v>14677</v>
      </c>
      <c r="J20" s="278">
        <f>'DS Náměšť nad Os'!J22</f>
        <v>7762</v>
      </c>
      <c r="K20" s="278">
        <f>'DS Mitrov'!J22</f>
        <v>10461</v>
      </c>
      <c r="L20" s="278">
        <f>'DS Velké Meziříčí'!J22</f>
        <v>10544</v>
      </c>
      <c r="M20" s="279">
        <f t="shared" si="0"/>
        <v>95384</v>
      </c>
      <c r="N20" s="280">
        <f>'ÚSP Lidmaň'!J22</f>
        <v>10404</v>
      </c>
      <c r="O20" s="280">
        <f>'ÚSP Zboží'!J22</f>
        <v>7401</v>
      </c>
      <c r="P20" s="278">
        <f>'Domov bez zámku'!J22</f>
        <v>10046</v>
      </c>
      <c r="Q20" s="278">
        <f>'ÚSP Věž'!J22</f>
        <v>8351</v>
      </c>
      <c r="R20" s="281">
        <f>'ÚSP Křižanov'!J22</f>
        <v>12504</v>
      </c>
      <c r="S20" s="278">
        <f>'ÚSP Těchobuz'!J22</f>
        <v>9932</v>
      </c>
      <c r="T20" s="278">
        <f>'ÚSP Nové Syrovice'!J22</f>
        <v>12561</v>
      </c>
      <c r="U20" s="278">
        <f>'DÚSP Černovice'!J22</f>
        <v>29433</v>
      </c>
      <c r="V20" s="278">
        <f>'USP Ledeč nad Sázavou'!J22</f>
        <v>9028</v>
      </c>
      <c r="W20" s="278">
        <f>'Psych.Jihl.'!J22</f>
        <v>9494</v>
      </c>
      <c r="X20" s="279">
        <f t="shared" si="1"/>
        <v>109660</v>
      </c>
      <c r="Y20" s="282">
        <f t="shared" si="2"/>
        <v>214538</v>
      </c>
    </row>
    <row r="21" spans="1:25" ht="19.5" customHeight="1">
      <c r="A21" s="283" t="s">
        <v>81</v>
      </c>
      <c r="B21" s="277">
        <f>'DS Havlíčkův Brod'!J23</f>
        <v>1007</v>
      </c>
      <c r="C21" s="278">
        <f>'DD Ždírec'!J23</f>
        <v>1978</v>
      </c>
      <c r="D21" s="278">
        <f>'DD Onšov'!J23</f>
        <v>711</v>
      </c>
      <c r="E21" s="278">
        <f>'DD Proseč Obořiště'!J23</f>
        <v>1036</v>
      </c>
      <c r="F21" s="278">
        <f>'DD Proseč u Pošné'!J23</f>
        <v>1022</v>
      </c>
      <c r="G21" s="278">
        <f>'DD Humpolec'!J23</f>
        <v>3006</v>
      </c>
      <c r="H21" s="278">
        <f>'DS Třebíč Koutkova'!J23</f>
        <v>2547</v>
      </c>
      <c r="I21" s="278">
        <f>'DS M.Curierových'!J23</f>
        <v>2887</v>
      </c>
      <c r="J21" s="278">
        <f>'DS Náměšť nad Os'!J23</f>
        <v>1362</v>
      </c>
      <c r="K21" s="278">
        <f>'DS Mitrov'!J23</f>
        <v>1925</v>
      </c>
      <c r="L21" s="278">
        <f>'DS Velké Meziříčí'!J23</f>
        <v>1464</v>
      </c>
      <c r="M21" s="279">
        <f t="shared" si="0"/>
        <v>18945</v>
      </c>
      <c r="N21" s="280">
        <f>'ÚSP Lidmaň'!J23</f>
        <v>1750</v>
      </c>
      <c r="O21" s="280">
        <f>'ÚSP Zboží'!J23</f>
        <v>1050</v>
      </c>
      <c r="P21" s="278">
        <f>'Domov bez zámku'!J23</f>
        <v>1226</v>
      </c>
      <c r="Q21" s="278">
        <f>'ÚSP Věž'!J23</f>
        <v>1401</v>
      </c>
      <c r="R21" s="281">
        <f>'ÚSP Křižanov'!J23</f>
        <v>2854</v>
      </c>
      <c r="S21" s="278">
        <f>'ÚSP Těchobuz'!J23</f>
        <v>1260</v>
      </c>
      <c r="T21" s="278">
        <f>'ÚSP Nové Syrovice'!J23</f>
        <v>1576</v>
      </c>
      <c r="U21" s="278">
        <f>'DÚSP Černovice'!J23</f>
        <v>3458</v>
      </c>
      <c r="V21" s="278">
        <f>'USP Ledeč nad Sázavou'!J23</f>
        <v>1401</v>
      </c>
      <c r="W21" s="278">
        <f>'Psych.Jihl.'!J23</f>
        <v>1978</v>
      </c>
      <c r="X21" s="279">
        <f t="shared" si="1"/>
        <v>15976</v>
      </c>
      <c r="Y21" s="282">
        <f t="shared" si="2"/>
        <v>36899</v>
      </c>
    </row>
    <row r="22" spans="1:25" ht="19.5" customHeight="1">
      <c r="A22" s="283" t="s">
        <v>82</v>
      </c>
      <c r="B22" s="277">
        <f>'DS Havlíčkův Brod'!J24</f>
        <v>4520</v>
      </c>
      <c r="C22" s="278">
        <f>'DD Ždírec'!J24</f>
        <v>5198</v>
      </c>
      <c r="D22" s="278">
        <f>'DD Onšov'!J24</f>
        <v>2550</v>
      </c>
      <c r="E22" s="278">
        <f>'DD Proseč Obořiště'!J24</f>
        <v>3800</v>
      </c>
      <c r="F22" s="278">
        <f>'DD Proseč u Pošné'!J24</f>
        <v>4850</v>
      </c>
      <c r="G22" s="278">
        <f>'DD Humpolec'!J24</f>
        <v>8250</v>
      </c>
      <c r="H22" s="278">
        <f>'DS Třebíč Koutkova'!J24</f>
        <v>11465</v>
      </c>
      <c r="I22" s="278">
        <f>'DS M.Curierových'!J24</f>
        <v>11790</v>
      </c>
      <c r="J22" s="278">
        <f>'DS Náměšť nad Os'!J24</f>
        <v>6400</v>
      </c>
      <c r="K22" s="278">
        <f>'DS Mitrov'!J24</f>
        <v>8536</v>
      </c>
      <c r="L22" s="278">
        <f>'DS Velké Meziříčí'!J24</f>
        <v>9080</v>
      </c>
      <c r="M22" s="279">
        <f t="shared" si="0"/>
        <v>76439</v>
      </c>
      <c r="N22" s="280">
        <f>'ÚSP Lidmaň'!J24</f>
        <v>8654</v>
      </c>
      <c r="O22" s="280">
        <f>'ÚSP Zboží'!J24</f>
        <v>6350</v>
      </c>
      <c r="P22" s="278">
        <f>'Domov bez zámku'!J24</f>
        <v>8820</v>
      </c>
      <c r="Q22" s="278">
        <f>'ÚSP Věž'!J24</f>
        <v>6950</v>
      </c>
      <c r="R22" s="281">
        <f>'ÚSP Křižanov'!J24</f>
        <v>9320</v>
      </c>
      <c r="S22" s="278">
        <f>'ÚSP Těchobuz'!J24</f>
        <v>8672</v>
      </c>
      <c r="T22" s="278">
        <f>'ÚSP Nové Syrovice'!J24</f>
        <v>10985</v>
      </c>
      <c r="U22" s="278">
        <f>'DÚSP Černovice'!J24</f>
        <v>20692</v>
      </c>
      <c r="V22" s="278">
        <f>'USP Ledeč nad Sázavou'!J24</f>
        <v>7627</v>
      </c>
      <c r="W22" s="278">
        <f>'Psych.Jihl.'!J24</f>
        <v>5064</v>
      </c>
      <c r="X22" s="279">
        <f t="shared" si="1"/>
        <v>88070</v>
      </c>
      <c r="Y22" s="282">
        <f t="shared" si="2"/>
        <v>169573</v>
      </c>
    </row>
    <row r="23" spans="1:25" ht="19.5" customHeight="1">
      <c r="A23" s="283" t="s">
        <v>83</v>
      </c>
      <c r="B23" s="277">
        <f>'DS Havlíčkův Brod'!J25</f>
        <v>0</v>
      </c>
      <c r="C23" s="278">
        <f>'DD Ždírec'!J25</f>
        <v>0</v>
      </c>
      <c r="D23" s="278">
        <f>'DD Onšov'!J25</f>
        <v>0</v>
      </c>
      <c r="E23" s="278">
        <f>'DD Proseč Obořiště'!J25</f>
        <v>0</v>
      </c>
      <c r="F23" s="278">
        <f>'DD Proseč u Pošné'!J25</f>
        <v>0</v>
      </c>
      <c r="G23" s="278">
        <f>'DD Humpolec'!J25</f>
        <v>0</v>
      </c>
      <c r="H23" s="278">
        <f>'DS Třebíč Koutkova'!J25</f>
        <v>0</v>
      </c>
      <c r="I23" s="278">
        <f>'DS M.Curierových'!J25</f>
        <v>0</v>
      </c>
      <c r="J23" s="278">
        <f>'DS Náměšť nad Os'!J25</f>
        <v>0</v>
      </c>
      <c r="K23" s="278">
        <f>'DS Mitrov'!J25</f>
        <v>0</v>
      </c>
      <c r="L23" s="278">
        <f>'DS Velké Meziříčí'!J25</f>
        <v>0</v>
      </c>
      <c r="M23" s="279">
        <f t="shared" si="0"/>
        <v>0</v>
      </c>
      <c r="N23" s="280">
        <f>'ÚSP Lidmaň'!J25</f>
        <v>0</v>
      </c>
      <c r="O23" s="280">
        <f>'ÚSP Zboží'!J25</f>
        <v>0</v>
      </c>
      <c r="P23" s="278">
        <f>'Domov bez zámku'!J25</f>
        <v>0</v>
      </c>
      <c r="Q23" s="278">
        <f>'ÚSP Věž'!J25</f>
        <v>0</v>
      </c>
      <c r="R23" s="281">
        <f>'ÚSP Křižanov'!J25</f>
        <v>330</v>
      </c>
      <c r="S23" s="278">
        <f>'ÚSP Těchobuz'!J25</f>
        <v>0</v>
      </c>
      <c r="T23" s="278">
        <f>'ÚSP Nové Syrovice'!J25</f>
        <v>0</v>
      </c>
      <c r="U23" s="278">
        <f>'DÚSP Černovice'!J25</f>
        <v>0</v>
      </c>
      <c r="V23" s="278">
        <f>'USP Ledeč nad Sázavou'!J25</f>
        <v>0</v>
      </c>
      <c r="W23" s="278">
        <f>'Psych.Jihl.'!J25</f>
        <v>0</v>
      </c>
      <c r="X23" s="279">
        <f t="shared" si="1"/>
        <v>330</v>
      </c>
      <c r="Y23" s="282">
        <f t="shared" si="2"/>
        <v>330</v>
      </c>
    </row>
    <row r="24" spans="1:25" ht="19.5" customHeight="1" thickBot="1">
      <c r="A24" s="284" t="s">
        <v>118</v>
      </c>
      <c r="B24" s="285">
        <f>'DS Havlíčkův Brod'!J26</f>
        <v>0</v>
      </c>
      <c r="C24" s="286">
        <f>'DD Ždírec'!J26</f>
        <v>0</v>
      </c>
      <c r="D24" s="286">
        <f>'DD Onšov'!J26</f>
        <v>0</v>
      </c>
      <c r="E24" s="286">
        <f>'DD Proseč Obořiště'!J26</f>
        <v>0</v>
      </c>
      <c r="F24" s="286">
        <f>'DD Proseč u Pošné'!J26</f>
        <v>0</v>
      </c>
      <c r="G24" s="286">
        <f>'DD Humpolec'!J26</f>
        <v>0</v>
      </c>
      <c r="H24" s="286">
        <f>'DS Třebíč Koutkova'!J26</f>
        <v>0</v>
      </c>
      <c r="I24" s="286">
        <f>'DS M.Curierových'!J26</f>
        <v>0</v>
      </c>
      <c r="J24" s="286">
        <f>'DS Náměšť nad Os'!J26</f>
        <v>0</v>
      </c>
      <c r="K24" s="286">
        <f>'DS Mitrov'!J26</f>
        <v>0</v>
      </c>
      <c r="L24" s="286">
        <f>'DS Velké Meziříčí'!J26</f>
        <v>0</v>
      </c>
      <c r="M24" s="287">
        <f t="shared" si="0"/>
        <v>0</v>
      </c>
      <c r="N24" s="288">
        <f>'ÚSP Lidmaň'!J26</f>
        <v>0</v>
      </c>
      <c r="O24" s="288">
        <f>'ÚSP Zboží'!J26</f>
        <v>0.6</v>
      </c>
      <c r="P24" s="286">
        <f>'Domov bez zámku'!J26</f>
        <v>0</v>
      </c>
      <c r="Q24" s="286">
        <f>'ÚSP Věž'!J26</f>
        <v>0</v>
      </c>
      <c r="R24" s="289">
        <f>'ÚSP Křižanov'!J26</f>
        <v>0</v>
      </c>
      <c r="S24" s="286">
        <f>'ÚSP Těchobuz'!J26</f>
        <v>0</v>
      </c>
      <c r="T24" s="286">
        <f>'ÚSP Nové Syrovice'!J26</f>
        <v>0</v>
      </c>
      <c r="U24" s="286">
        <f>'DÚSP Černovice'!J26</f>
        <v>5283</v>
      </c>
      <c r="V24" s="286">
        <f>'USP Ledeč nad Sázavou'!J26</f>
        <v>0</v>
      </c>
      <c r="W24" s="286">
        <f>'Psych.Jihl.'!J26</f>
        <v>2452</v>
      </c>
      <c r="X24" s="287">
        <f t="shared" si="1"/>
        <v>5283.6</v>
      </c>
      <c r="Y24" s="290">
        <f t="shared" si="2"/>
        <v>7735.6</v>
      </c>
    </row>
    <row r="25" spans="1:25" ht="19.5" customHeight="1" thickBot="1">
      <c r="A25" s="291" t="s">
        <v>84</v>
      </c>
      <c r="B25" s="292">
        <f>'DS Havlíčkův Brod'!J27</f>
        <v>20494</v>
      </c>
      <c r="C25" s="293">
        <f>'DD Ždírec'!J27</f>
        <v>25970</v>
      </c>
      <c r="D25" s="293">
        <f>'DD Onšov'!J27</f>
        <v>10995</v>
      </c>
      <c r="E25" s="293">
        <f>'DD Proseč Obořiště'!J27</f>
        <v>16404</v>
      </c>
      <c r="F25" s="293">
        <f>'DD Proseč u Pošné'!J27</f>
        <v>20705</v>
      </c>
      <c r="G25" s="293">
        <f>'DD Humpolec'!J27</f>
        <v>42893</v>
      </c>
      <c r="H25" s="293">
        <f>'DS Třebíč Koutkova'!J27</f>
        <v>44225</v>
      </c>
      <c r="I25" s="293">
        <f>'DS M.Curierových'!J27</f>
        <v>49173</v>
      </c>
      <c r="J25" s="293">
        <f>'DS Náměšť nad Os'!J27</f>
        <v>25482</v>
      </c>
      <c r="K25" s="293">
        <f>'DS Mitrov'!J27</f>
        <v>39049</v>
      </c>
      <c r="L25" s="293">
        <f>'DS Velké Meziříčí'!J27</f>
        <v>32684</v>
      </c>
      <c r="M25" s="294">
        <f t="shared" si="0"/>
        <v>328074</v>
      </c>
      <c r="N25" s="295">
        <f>'ÚSP Lidmaň'!J27</f>
        <v>26619</v>
      </c>
      <c r="O25" s="295">
        <f>'ÚSP Zboží'!J27</f>
        <v>19522</v>
      </c>
      <c r="P25" s="293">
        <f>'Domov bez zámku'!J27</f>
        <v>21234</v>
      </c>
      <c r="Q25" s="293">
        <f>'ÚSP Věž'!J27</f>
        <v>21866</v>
      </c>
      <c r="R25" s="296">
        <f>'ÚSP Křižanov'!J27</f>
        <v>41998</v>
      </c>
      <c r="S25" s="293">
        <f>'ÚSP Těchobuz'!J27</f>
        <v>22179</v>
      </c>
      <c r="T25" s="293">
        <f>'ÚSP Nové Syrovice'!J27</f>
        <v>24597</v>
      </c>
      <c r="U25" s="293">
        <f>'DÚSP Černovice'!J27</f>
        <v>67641</v>
      </c>
      <c r="V25" s="293">
        <f>'USP Ledeč nad Sázavou'!J27</f>
        <v>21463</v>
      </c>
      <c r="W25" s="293">
        <f>'Psych.Jihl.'!J27</f>
        <v>9494</v>
      </c>
      <c r="X25" s="294">
        <f t="shared" si="1"/>
        <v>267119</v>
      </c>
      <c r="Y25" s="297">
        <f t="shared" si="2"/>
        <v>604687</v>
      </c>
    </row>
    <row r="26" spans="1:25" ht="19.5" customHeight="1">
      <c r="A26" s="298" t="s">
        <v>85</v>
      </c>
      <c r="B26" s="299">
        <f>'DS Havlíčkův Brod'!J28</f>
        <v>3268</v>
      </c>
      <c r="C26" s="300">
        <f>'DD Ždírec'!J28</f>
        <v>760</v>
      </c>
      <c r="D26" s="300">
        <f>'DD Onšov'!J28</f>
        <v>2280</v>
      </c>
      <c r="E26" s="300">
        <f>'DD Proseč Obořiště'!J28</f>
        <v>2800</v>
      </c>
      <c r="F26" s="300">
        <f>'DD Proseč u Pošné'!J28</f>
        <v>3180</v>
      </c>
      <c r="G26" s="300">
        <f>'DD Humpolec'!J28</f>
        <v>7380</v>
      </c>
      <c r="H26" s="300">
        <f>'DS Třebíč Koutkova'!J28</f>
        <v>6900</v>
      </c>
      <c r="I26" s="300">
        <f>'DS M.Curierových'!J28</f>
        <v>8114</v>
      </c>
      <c r="J26" s="300">
        <f>'DS Náměšť nad Os'!J28</f>
        <v>4280</v>
      </c>
      <c r="K26" s="300">
        <f>'DS Mitrov'!J28</f>
        <v>5120</v>
      </c>
      <c r="L26" s="300">
        <f>'DS Velké Meziříčí'!J28</f>
        <v>4840</v>
      </c>
      <c r="M26" s="301">
        <f t="shared" si="0"/>
        <v>48922</v>
      </c>
      <c r="N26" s="302">
        <f>'ÚSP Lidmaň'!J28</f>
        <v>3655</v>
      </c>
      <c r="O26" s="302">
        <f>'ÚSP Zboží'!J28</f>
        <v>2916</v>
      </c>
      <c r="P26" s="300">
        <f>'Domov bez zámku'!J28</f>
        <v>1607</v>
      </c>
      <c r="Q26" s="300">
        <f>'ÚSP Věž'!J28</f>
        <v>3700</v>
      </c>
      <c r="R26" s="303">
        <f>'ÚSP Křižanov'!J28</f>
        <v>6060</v>
      </c>
      <c r="S26" s="300">
        <f>'ÚSP Těchobuz'!J28</f>
        <v>3506</v>
      </c>
      <c r="T26" s="300">
        <f>'ÚSP Nové Syrovice'!J28</f>
        <v>3600</v>
      </c>
      <c r="U26" s="300">
        <f>'DÚSP Černovice'!J28</f>
        <v>8342</v>
      </c>
      <c r="V26" s="300">
        <f>'USP Ledeč nad Sázavou'!J28</f>
        <v>781</v>
      </c>
      <c r="W26" s="300">
        <f>'Psych.Jihl.'!J28</f>
        <v>206</v>
      </c>
      <c r="X26" s="301">
        <f t="shared" si="1"/>
        <v>34167</v>
      </c>
      <c r="Y26" s="304">
        <f t="shared" si="2"/>
        <v>83295</v>
      </c>
    </row>
    <row r="27" spans="1:25" ht="19.5" customHeight="1">
      <c r="A27" s="305" t="s">
        <v>86</v>
      </c>
      <c r="B27" s="277">
        <f>'DS Havlíčkův Brod'!J29</f>
        <v>1890</v>
      </c>
      <c r="C27" s="278">
        <f>'DD Ždírec'!J29</f>
        <v>0</v>
      </c>
      <c r="D27" s="278">
        <f>'DD Onšov'!J29</f>
        <v>1400</v>
      </c>
      <c r="E27" s="278">
        <f>'DD Proseč Obořiště'!J29</f>
        <v>1980</v>
      </c>
      <c r="F27" s="278">
        <f>'DD Proseč u Pošné'!J29</f>
        <v>1950</v>
      </c>
      <c r="G27" s="278">
        <f>'DD Humpolec'!J29</f>
        <v>5060</v>
      </c>
      <c r="H27" s="278">
        <f>'DS Třebíč Koutkova'!J29</f>
        <v>4543</v>
      </c>
      <c r="I27" s="278">
        <f>'DS M.Curierových'!J29</f>
        <v>5343</v>
      </c>
      <c r="J27" s="278">
        <f>'DS Náměšť nad Os'!J29</f>
        <v>3050</v>
      </c>
      <c r="K27" s="278">
        <f>'DS Mitrov'!J29</f>
        <v>3400</v>
      </c>
      <c r="L27" s="278">
        <f>'DS Velké Meziříčí'!J29</f>
        <v>3600</v>
      </c>
      <c r="M27" s="279">
        <f t="shared" si="0"/>
        <v>32216</v>
      </c>
      <c r="N27" s="280">
        <f>'ÚSP Lidmaň'!J29</f>
        <v>2580</v>
      </c>
      <c r="O27" s="302">
        <f>'ÚSP Zboží'!J29</f>
        <v>1900</v>
      </c>
      <c r="P27" s="278">
        <f>'Domov bez zámku'!J29</f>
        <v>635</v>
      </c>
      <c r="Q27" s="278">
        <f>'ÚSP Věž'!J29</f>
        <v>2350</v>
      </c>
      <c r="R27" s="281">
        <f>'ÚSP Křižanov'!J29</f>
        <v>4300</v>
      </c>
      <c r="S27" s="278">
        <f>'ÚSP Těchobuz'!J29</f>
        <v>2016</v>
      </c>
      <c r="T27" s="278">
        <f>'ÚSP Nové Syrovice'!J29</f>
        <v>2300</v>
      </c>
      <c r="U27" s="278">
        <f>'DÚSP Černovice'!J29</f>
        <v>4571</v>
      </c>
      <c r="V27" s="278">
        <f>'USP Ledeč nad Sázavou'!J29</f>
        <v>0</v>
      </c>
      <c r="W27" s="278">
        <f>'Psych.Jihl.'!J29</f>
        <v>0</v>
      </c>
      <c r="X27" s="279">
        <f t="shared" si="1"/>
        <v>20652</v>
      </c>
      <c r="Y27" s="282">
        <f t="shared" si="2"/>
        <v>52868</v>
      </c>
    </row>
    <row r="28" spans="1:25" ht="19.5" customHeight="1">
      <c r="A28" s="305" t="s">
        <v>87</v>
      </c>
      <c r="B28" s="277">
        <f>'DS Havlíčkův Brod'!J30</f>
        <v>90</v>
      </c>
      <c r="C28" s="278">
        <f>'DD Ždírec'!J30</f>
        <v>110</v>
      </c>
      <c r="D28" s="278">
        <f>'DD Onšov'!J30</f>
        <v>80</v>
      </c>
      <c r="E28" s="278">
        <f>'DD Proseč Obořiště'!J30</f>
        <v>60</v>
      </c>
      <c r="F28" s="278">
        <f>'DD Proseč u Pošné'!J30</f>
        <v>110</v>
      </c>
      <c r="G28" s="278">
        <f>'DD Humpolec'!J30</f>
        <v>95</v>
      </c>
      <c r="H28" s="278">
        <f>'DS Třebíč Koutkova'!J30</f>
        <v>85</v>
      </c>
      <c r="I28" s="278">
        <f>'DS M.Curierových'!J30</f>
        <v>35</v>
      </c>
      <c r="J28" s="278">
        <f>'DS Náměšť nad Os'!J30</f>
        <v>30</v>
      </c>
      <c r="K28" s="278">
        <f>'DS Mitrov'!J30</f>
        <v>120</v>
      </c>
      <c r="L28" s="278">
        <f>'DS Velké Meziříčí'!J30</f>
        <v>60</v>
      </c>
      <c r="M28" s="279">
        <f t="shared" si="0"/>
        <v>875</v>
      </c>
      <c r="N28" s="280">
        <f>'ÚSP Lidmaň'!J30</f>
        <v>175</v>
      </c>
      <c r="O28" s="302">
        <f>'ÚSP Zboží'!J30</f>
        <v>85</v>
      </c>
      <c r="P28" s="278">
        <f>'Domov bez zámku'!J30</f>
        <v>120</v>
      </c>
      <c r="Q28" s="278">
        <f>'ÚSP Věž'!J30</f>
        <v>70</v>
      </c>
      <c r="R28" s="281">
        <f>'ÚSP Křižanov'!J30</f>
        <v>150</v>
      </c>
      <c r="S28" s="278">
        <f>'ÚSP Těchobuz'!J30</f>
        <v>180</v>
      </c>
      <c r="T28" s="278">
        <f>'ÚSP Nové Syrovice'!J30</f>
        <v>70</v>
      </c>
      <c r="U28" s="278">
        <f>'DÚSP Černovice'!J30</f>
        <v>263</v>
      </c>
      <c r="V28" s="278">
        <f>'USP Ledeč nad Sázavou'!J30</f>
        <v>45</v>
      </c>
      <c r="W28" s="278">
        <f>'Psych.Jihl.'!J30</f>
        <v>20</v>
      </c>
      <c r="X28" s="279">
        <f t="shared" si="1"/>
        <v>1158</v>
      </c>
      <c r="Y28" s="282">
        <f t="shared" si="2"/>
        <v>2053</v>
      </c>
    </row>
    <row r="29" spans="1:25" ht="19.5" customHeight="1">
      <c r="A29" s="305" t="s">
        <v>88</v>
      </c>
      <c r="B29" s="277">
        <f>'DS Havlíčkův Brod'!J31</f>
        <v>403</v>
      </c>
      <c r="C29" s="278">
        <f>'DD Ždírec'!J31</f>
        <v>100</v>
      </c>
      <c r="D29" s="278">
        <f>'DD Onšov'!J31</f>
        <v>200</v>
      </c>
      <c r="E29" s="278">
        <f>'DD Proseč Obořiště'!J31</f>
        <v>200</v>
      </c>
      <c r="F29" s="278">
        <f>'DD Proseč u Pošné'!J31</f>
        <v>400</v>
      </c>
      <c r="G29" s="278">
        <f>'DD Humpolec'!J31</f>
        <v>810</v>
      </c>
      <c r="H29" s="278">
        <f>'DS Třebíč Koutkova'!J31</f>
        <v>800</v>
      </c>
      <c r="I29" s="278">
        <f>'DS M.Curierových'!J31</f>
        <v>886</v>
      </c>
      <c r="J29" s="278">
        <f>'DS Náměšť nad Os'!J31</f>
        <v>150</v>
      </c>
      <c r="K29" s="278">
        <f>'DS Mitrov'!J31</f>
        <v>200</v>
      </c>
      <c r="L29" s="278">
        <f>'DS Velké Meziříčí'!J31</f>
        <v>180</v>
      </c>
      <c r="M29" s="279">
        <f t="shared" si="0"/>
        <v>4329</v>
      </c>
      <c r="N29" s="280">
        <f>'ÚSP Lidmaň'!J31</f>
        <v>110</v>
      </c>
      <c r="O29" s="302">
        <f>'ÚSP Zboží'!J31</f>
        <v>273</v>
      </c>
      <c r="P29" s="278">
        <f>'Domov bez zámku'!J31</f>
        <v>200</v>
      </c>
      <c r="Q29" s="278">
        <f>'ÚSP Věž'!J31</f>
        <v>350</v>
      </c>
      <c r="R29" s="281">
        <f>'ÚSP Křižanov'!J31</f>
        <v>400</v>
      </c>
      <c r="S29" s="278">
        <f>'ÚSP Těchobuz'!J31</f>
        <v>250</v>
      </c>
      <c r="T29" s="278">
        <f>'ÚSP Nové Syrovice'!J31</f>
        <v>630</v>
      </c>
      <c r="U29" s="278">
        <f>'DÚSP Černovice'!J31</f>
        <v>1185</v>
      </c>
      <c r="V29" s="278">
        <f>'USP Ledeč nad Sázavou'!J31</f>
        <v>36</v>
      </c>
      <c r="W29" s="278">
        <f>'Psych.Jihl.'!J31</f>
        <v>76</v>
      </c>
      <c r="X29" s="279">
        <f t="shared" si="1"/>
        <v>3434</v>
      </c>
      <c r="Y29" s="282">
        <f t="shared" si="2"/>
        <v>7839</v>
      </c>
    </row>
    <row r="30" spans="1:25" ht="19.5" customHeight="1">
      <c r="A30" s="305" t="s">
        <v>89</v>
      </c>
      <c r="B30" s="277">
        <f>'DS Havlíčkův Brod'!J32</f>
        <v>439</v>
      </c>
      <c r="C30" s="278">
        <f>'DD Ždírec'!J32</f>
        <v>400</v>
      </c>
      <c r="D30" s="278">
        <f>'DD Onšov'!J32</f>
        <v>500</v>
      </c>
      <c r="E30" s="278">
        <f>'DD Proseč Obořiště'!J32</f>
        <v>35</v>
      </c>
      <c r="F30" s="278">
        <f>'DD Proseč u Pošné'!J32</f>
        <v>720</v>
      </c>
      <c r="G30" s="278">
        <f>'DD Humpolec'!J32</f>
        <v>120</v>
      </c>
      <c r="H30" s="278">
        <f>'DS Třebíč Koutkova'!J32</f>
        <v>1400</v>
      </c>
      <c r="I30" s="278">
        <f>'DS M.Curierových'!J32</f>
        <v>1200</v>
      </c>
      <c r="J30" s="278">
        <f>'DS Náměšť nad Os'!J32</f>
        <v>1000</v>
      </c>
      <c r="K30" s="278">
        <f>'DS Mitrov'!J32</f>
        <v>1000</v>
      </c>
      <c r="L30" s="278">
        <f>'DS Velké Meziříčí'!J32</f>
        <v>1000</v>
      </c>
      <c r="M30" s="279">
        <f t="shared" si="0"/>
        <v>7814</v>
      </c>
      <c r="N30" s="280">
        <f>'ÚSP Lidmaň'!J32</f>
        <v>720</v>
      </c>
      <c r="O30" s="302">
        <f>'ÚSP Zboží'!J32</f>
        <v>658</v>
      </c>
      <c r="P30" s="278">
        <f>'Domov bez zámku'!J32</f>
        <v>640</v>
      </c>
      <c r="Q30" s="278">
        <f>'ÚSP Věž'!J32</f>
        <v>930</v>
      </c>
      <c r="R30" s="281">
        <f>'ÚSP Křižanov'!J32</f>
        <v>860</v>
      </c>
      <c r="S30" s="278">
        <f>'ÚSP Těchobuz'!J32</f>
        <v>410</v>
      </c>
      <c r="T30" s="278">
        <f>'ÚSP Nové Syrovice'!J32</f>
        <v>600</v>
      </c>
      <c r="U30" s="278">
        <f>'DÚSP Černovice'!J32</f>
        <v>1789</v>
      </c>
      <c r="V30" s="278">
        <f>'USP Ledeč nad Sázavou'!J32</f>
        <v>145</v>
      </c>
      <c r="W30" s="278">
        <f>'Psych.Jihl.'!J32</f>
        <v>76</v>
      </c>
      <c r="X30" s="279">
        <f t="shared" si="1"/>
        <v>6752</v>
      </c>
      <c r="Y30" s="282">
        <f t="shared" si="2"/>
        <v>14642</v>
      </c>
    </row>
    <row r="31" spans="1:25" ht="19.5" customHeight="1">
      <c r="A31" s="305" t="s">
        <v>90</v>
      </c>
      <c r="B31" s="277">
        <f>'DS Havlíčkův Brod'!J33</f>
        <v>446</v>
      </c>
      <c r="C31" s="278">
        <f>'DD Ždírec'!J33</f>
        <v>150</v>
      </c>
      <c r="D31" s="278">
        <f>'DD Onšov'!J33</f>
        <v>100</v>
      </c>
      <c r="E31" s="278">
        <f>'DD Proseč Obořiště'!J33</f>
        <v>525</v>
      </c>
      <c r="F31" s="278">
        <f>'DD Proseč u Pošné'!J33</f>
        <v>0</v>
      </c>
      <c r="G31" s="278">
        <f>'DD Humpolec'!J33</f>
        <v>1295</v>
      </c>
      <c r="H31" s="278">
        <f>'DS Třebíč Koutkova'!J33</f>
        <v>72</v>
      </c>
      <c r="I31" s="278">
        <f>'DS M.Curierových'!J33</f>
        <v>650</v>
      </c>
      <c r="J31" s="278">
        <f>'DS Náměšť nad Os'!J33</f>
        <v>50</v>
      </c>
      <c r="K31" s="278">
        <f>'DS Mitrov'!J33</f>
        <v>400</v>
      </c>
      <c r="L31" s="278">
        <f>'DS Velké Meziříčí'!J33</f>
        <v>0</v>
      </c>
      <c r="M31" s="279">
        <f t="shared" si="0"/>
        <v>3688</v>
      </c>
      <c r="N31" s="280">
        <f>'ÚSP Lidmaň'!J33</f>
        <v>70</v>
      </c>
      <c r="O31" s="302">
        <f>'ÚSP Zboží'!J33</f>
        <v>0</v>
      </c>
      <c r="P31" s="278">
        <f>'Domov bez zámku'!J33</f>
        <v>12</v>
      </c>
      <c r="Q31" s="278">
        <f>'ÚSP Věž'!J33</f>
        <v>0</v>
      </c>
      <c r="R31" s="281">
        <f>'ÚSP Křižanov'!J33</f>
        <v>350</v>
      </c>
      <c r="S31" s="278">
        <f>'ÚSP Těchobuz'!J33</f>
        <v>650</v>
      </c>
      <c r="T31" s="278">
        <f>'ÚSP Nové Syrovice'!J33</f>
        <v>0</v>
      </c>
      <c r="U31" s="278">
        <f>'DÚSP Černovice'!J33</f>
        <v>534</v>
      </c>
      <c r="V31" s="278">
        <f>'USP Ledeč nad Sázavou'!J33</f>
        <v>555</v>
      </c>
      <c r="W31" s="278">
        <f>'Psych.Jihl.'!J33</f>
        <v>34</v>
      </c>
      <c r="X31" s="279">
        <f t="shared" si="1"/>
        <v>2171</v>
      </c>
      <c r="Y31" s="282">
        <f t="shared" si="2"/>
        <v>5893</v>
      </c>
    </row>
    <row r="32" spans="1:25" ht="19.5" customHeight="1">
      <c r="A32" s="305" t="s">
        <v>91</v>
      </c>
      <c r="B32" s="277">
        <f>'DS Havlíčkův Brod'!J34</f>
        <v>1116</v>
      </c>
      <c r="C32" s="278">
        <f>'DD Ždírec'!J34</f>
        <v>2205</v>
      </c>
      <c r="D32" s="278">
        <f>'DD Onšov'!J34</f>
        <v>900</v>
      </c>
      <c r="E32" s="278">
        <f>'DD Proseč Obořiště'!J34</f>
        <v>1293</v>
      </c>
      <c r="F32" s="278">
        <f>'DD Proseč u Pošné'!J34</f>
        <v>980</v>
      </c>
      <c r="G32" s="278">
        <f>'DD Humpolec'!J34</f>
        <v>3250</v>
      </c>
      <c r="H32" s="278">
        <f>'DS Třebíč Koutkova'!J34</f>
        <v>3750</v>
      </c>
      <c r="I32" s="278">
        <f>'DS M.Curierových'!J34</f>
        <v>3953</v>
      </c>
      <c r="J32" s="278">
        <f>'DS Náměšť nad Os'!J34</f>
        <v>3100</v>
      </c>
      <c r="K32" s="278">
        <f>'DS Mitrov'!J34</f>
        <v>3000</v>
      </c>
      <c r="L32" s="278">
        <f>'DS Velké Meziříčí'!J34</f>
        <v>3850</v>
      </c>
      <c r="M32" s="279">
        <f t="shared" si="0"/>
        <v>27397</v>
      </c>
      <c r="N32" s="280">
        <f>'ÚSP Lidmaň'!J34</f>
        <v>1990</v>
      </c>
      <c r="O32" s="302">
        <f>'ÚSP Zboží'!J34</f>
        <v>1553</v>
      </c>
      <c r="P32" s="278">
        <f>'Domov bez zámku'!J34</f>
        <v>282</v>
      </c>
      <c r="Q32" s="278">
        <f>'ÚSP Věž'!J34</f>
        <v>1340</v>
      </c>
      <c r="R32" s="281">
        <f>'ÚSP Křižanov'!J34</f>
        <v>2700</v>
      </c>
      <c r="S32" s="278">
        <f>'ÚSP Těchobuz'!J34</f>
        <v>830</v>
      </c>
      <c r="T32" s="278">
        <f>'ÚSP Nové Syrovice'!J34</f>
        <v>2300</v>
      </c>
      <c r="U32" s="278">
        <f>'DÚSP Černovice'!J34</f>
        <v>3601</v>
      </c>
      <c r="V32" s="278">
        <f>'USP Ledeč nad Sázavou'!J34</f>
        <v>1708</v>
      </c>
      <c r="W32" s="278">
        <f>'Psych.Jihl.'!J34</f>
        <v>329</v>
      </c>
      <c r="X32" s="279">
        <f t="shared" si="1"/>
        <v>16304</v>
      </c>
      <c r="Y32" s="282">
        <f t="shared" si="2"/>
        <v>44030</v>
      </c>
    </row>
    <row r="33" spans="1:25" ht="19.5" customHeight="1">
      <c r="A33" s="305" t="s">
        <v>92</v>
      </c>
      <c r="B33" s="277">
        <f>'DS Havlíčkův Brod'!J35</f>
        <v>547</v>
      </c>
      <c r="C33" s="278">
        <f>'DD Ždírec'!J35</f>
        <v>390</v>
      </c>
      <c r="D33" s="278">
        <f>'DD Onšov'!J35</f>
        <v>800</v>
      </c>
      <c r="E33" s="278">
        <f>'DD Proseč Obořiště'!J35</f>
        <v>373</v>
      </c>
      <c r="F33" s="278">
        <f>'DD Proseč u Pošné'!J35</f>
        <v>460</v>
      </c>
      <c r="G33" s="278">
        <f>'DD Humpolec'!J35</f>
        <v>1100</v>
      </c>
      <c r="H33" s="278">
        <f>'DS Třebíč Koutkova'!J35</f>
        <v>1540</v>
      </c>
      <c r="I33" s="278">
        <f>'DS M.Curierových'!J35</f>
        <v>1651</v>
      </c>
      <c r="J33" s="278">
        <f>'DS Náměšť nad Os'!J35</f>
        <v>1400</v>
      </c>
      <c r="K33" s="278">
        <f>'DS Mitrov'!J35</f>
        <v>2965</v>
      </c>
      <c r="L33" s="278">
        <f>'DS Velké Meziříčí'!J35</f>
        <v>1200</v>
      </c>
      <c r="M33" s="279">
        <f t="shared" si="0"/>
        <v>12426</v>
      </c>
      <c r="N33" s="280">
        <f>'ÚSP Lidmaň'!J35</f>
        <v>1750</v>
      </c>
      <c r="O33" s="302">
        <f>'ÚSP Zboží'!J35</f>
        <v>870</v>
      </c>
      <c r="P33" s="278">
        <f>'Domov bez zámku'!J35</f>
        <v>95</v>
      </c>
      <c r="Q33" s="278">
        <f>'ÚSP Věž'!J35</f>
        <v>560</v>
      </c>
      <c r="R33" s="281">
        <f>'ÚSP Křižanov'!J35</f>
        <v>1050</v>
      </c>
      <c r="S33" s="278">
        <f>'ÚSP Těchobuz'!J35</f>
        <v>665</v>
      </c>
      <c r="T33" s="278">
        <f>'ÚSP Nové Syrovice'!J35</f>
        <v>800</v>
      </c>
      <c r="U33" s="278">
        <f>'DÚSP Černovice'!J35</f>
        <v>755</v>
      </c>
      <c r="V33" s="278">
        <f>'USP Ledeč nad Sázavou'!J35</f>
        <v>529</v>
      </c>
      <c r="W33" s="278">
        <f>'Psych.Jihl.'!J35</f>
        <v>90</v>
      </c>
      <c r="X33" s="279">
        <f t="shared" si="1"/>
        <v>7074</v>
      </c>
      <c r="Y33" s="282">
        <f t="shared" si="2"/>
        <v>19590</v>
      </c>
    </row>
    <row r="34" spans="1:25" ht="21.75" customHeight="1">
      <c r="A34" s="305" t="s">
        <v>93</v>
      </c>
      <c r="B34" s="277">
        <f>'DS Havlíčkův Brod'!J36</f>
        <v>379</v>
      </c>
      <c r="C34" s="278">
        <f>'DD Ždírec'!J36</f>
        <v>0</v>
      </c>
      <c r="D34" s="278">
        <f>'DD Onšov'!J36</f>
        <v>0</v>
      </c>
      <c r="E34" s="278">
        <f>'DD Proseč Obořiště'!J36</f>
        <v>850</v>
      </c>
      <c r="F34" s="278">
        <f>'DD Proseč u Pošné'!J36</f>
        <v>0</v>
      </c>
      <c r="G34" s="278">
        <f>'DD Humpolec'!J36</f>
        <v>1700</v>
      </c>
      <c r="H34" s="278">
        <f>'DS Třebíč Koutkova'!J36</f>
        <v>1535</v>
      </c>
      <c r="I34" s="278">
        <f>'DS M.Curierových'!J36</f>
        <v>1395</v>
      </c>
      <c r="J34" s="278">
        <f>'DS Náměšť nad Os'!J36</f>
        <v>1200</v>
      </c>
      <c r="K34" s="278">
        <f>'DS Mitrov'!J36</f>
        <v>5</v>
      </c>
      <c r="L34" s="278">
        <f>'DS Velké Meziříčí'!J36</f>
        <v>1700</v>
      </c>
      <c r="M34" s="279">
        <f t="shared" si="0"/>
        <v>8764</v>
      </c>
      <c r="N34" s="280">
        <f>'ÚSP Lidmaň'!J36</f>
        <v>20</v>
      </c>
      <c r="O34" s="302">
        <f>'ÚSP Zboží'!J36</f>
        <v>603</v>
      </c>
      <c r="P34" s="278">
        <f>'Domov bez zámku'!J36</f>
        <v>160</v>
      </c>
      <c r="Q34" s="278">
        <f>'ÚSP Věž'!J36</f>
        <v>700</v>
      </c>
      <c r="R34" s="281">
        <f>'ÚSP Křižanov'!J36</f>
        <v>1100</v>
      </c>
      <c r="S34" s="278">
        <f>'ÚSP Těchobuz'!J36</f>
        <v>25</v>
      </c>
      <c r="T34" s="278">
        <f>'ÚSP Nové Syrovice'!J36</f>
        <v>1200</v>
      </c>
      <c r="U34" s="278">
        <f>'DÚSP Černovice'!J36</f>
        <v>2360</v>
      </c>
      <c r="V34" s="278">
        <f>'USP Ledeč nad Sázavou'!J36</f>
        <v>984</v>
      </c>
      <c r="W34" s="278">
        <f>'Psych.Jihl.'!J36</f>
        <v>153</v>
      </c>
      <c r="X34" s="279">
        <f t="shared" si="1"/>
        <v>7152</v>
      </c>
      <c r="Y34" s="282">
        <f t="shared" si="2"/>
        <v>16069</v>
      </c>
    </row>
    <row r="35" spans="1:25" ht="19.5" customHeight="1">
      <c r="A35" s="305" t="s">
        <v>94</v>
      </c>
      <c r="B35" s="277">
        <f>'DS Havlíčkův Brod'!J37</f>
        <v>0</v>
      </c>
      <c r="C35" s="278">
        <f>'DD Ždírec'!J37</f>
        <v>0</v>
      </c>
      <c r="D35" s="278">
        <f>'DD Onšov'!J37</f>
        <v>0</v>
      </c>
      <c r="E35" s="278">
        <f>'DD Proseč Obořiště'!J37</f>
        <v>0</v>
      </c>
      <c r="F35" s="278">
        <f>'DD Proseč u Pošné'!J37</f>
        <v>420</v>
      </c>
      <c r="G35" s="278">
        <f>'DD Humpolec'!J37</f>
        <v>0</v>
      </c>
      <c r="H35" s="278">
        <f>'DS Třebíč Koutkova'!J37</f>
        <v>0</v>
      </c>
      <c r="I35" s="278">
        <f>'DS M.Curierových'!J37</f>
        <v>0</v>
      </c>
      <c r="J35" s="278">
        <f>'DS Náměšť nad Os'!J37</f>
        <v>0</v>
      </c>
      <c r="K35" s="278">
        <f>'DS Mitrov'!J37</f>
        <v>0</v>
      </c>
      <c r="L35" s="278">
        <f>'DS Velké Meziříčí'!J37</f>
        <v>0</v>
      </c>
      <c r="M35" s="279">
        <f t="shared" si="0"/>
        <v>420</v>
      </c>
      <c r="N35" s="280">
        <f>'ÚSP Lidmaň'!J37</f>
        <v>140</v>
      </c>
      <c r="O35" s="302">
        <f>'ÚSP Zboží'!J37</f>
        <v>0</v>
      </c>
      <c r="P35" s="278">
        <f>'Domov bez zámku'!J37</f>
        <v>0</v>
      </c>
      <c r="Q35" s="278">
        <f>'ÚSP Věž'!J37</f>
        <v>0</v>
      </c>
      <c r="R35" s="281">
        <f>'ÚSP Křižanov'!J37</f>
        <v>0</v>
      </c>
      <c r="S35" s="278">
        <f>'ÚSP Těchobuz'!J37</f>
        <v>0</v>
      </c>
      <c r="T35" s="278">
        <f>'ÚSP Nové Syrovice'!J37</f>
        <v>0</v>
      </c>
      <c r="U35" s="278">
        <f>'DÚSP Černovice'!J37</f>
        <v>0</v>
      </c>
      <c r="V35" s="278">
        <f>'USP Ledeč nad Sázavou'!J37</f>
        <v>0</v>
      </c>
      <c r="W35" s="278">
        <f>'Psych.Jihl.'!J37</f>
        <v>0</v>
      </c>
      <c r="X35" s="279">
        <f t="shared" si="1"/>
        <v>140</v>
      </c>
      <c r="Y35" s="282">
        <f t="shared" si="2"/>
        <v>560</v>
      </c>
    </row>
    <row r="36" spans="1:25" ht="19.5" customHeight="1">
      <c r="A36" s="305" t="s">
        <v>95</v>
      </c>
      <c r="B36" s="277">
        <f>'DS Havlíčkův Brod'!J38</f>
        <v>0</v>
      </c>
      <c r="C36" s="278">
        <f>'DD Ždírec'!J38</f>
        <v>1543</v>
      </c>
      <c r="D36" s="278">
        <f>'DD Onšov'!J38</f>
        <v>0</v>
      </c>
      <c r="E36" s="278">
        <f>'DD Proseč Obořiště'!J38</f>
        <v>0</v>
      </c>
      <c r="F36" s="278">
        <f>'DD Proseč u Pošné'!J38</f>
        <v>0</v>
      </c>
      <c r="G36" s="278">
        <f>'DD Humpolec'!J38</f>
        <v>0</v>
      </c>
      <c r="H36" s="278">
        <f>'DS Třebíč Koutkova'!J38</f>
        <v>0</v>
      </c>
      <c r="I36" s="278">
        <f>'DS M.Curierových'!J38</f>
        <v>0</v>
      </c>
      <c r="J36" s="278">
        <f>'DS Náměšť nad Os'!J38</f>
        <v>0</v>
      </c>
      <c r="K36" s="278">
        <f>'DS Mitrov'!J38</f>
        <v>0</v>
      </c>
      <c r="L36" s="278">
        <f>'DS Velké Meziříčí'!J38</f>
        <v>350</v>
      </c>
      <c r="M36" s="279">
        <f t="shared" si="0"/>
        <v>1893</v>
      </c>
      <c r="N36" s="280">
        <f>'ÚSP Lidmaň'!J38</f>
        <v>0</v>
      </c>
      <c r="O36" s="302">
        <f>'ÚSP Zboží'!J38</f>
        <v>0</v>
      </c>
      <c r="P36" s="278">
        <f>'Domov bez zámku'!J38</f>
        <v>0</v>
      </c>
      <c r="Q36" s="278">
        <f>'ÚSP Věž'!J38</f>
        <v>0</v>
      </c>
      <c r="R36" s="281">
        <f>'ÚSP Křižanov'!J38</f>
        <v>0</v>
      </c>
      <c r="S36" s="278">
        <f>'ÚSP Těchobuz'!J38</f>
        <v>0</v>
      </c>
      <c r="T36" s="278">
        <f>'ÚSP Nové Syrovice'!J38</f>
        <v>0</v>
      </c>
      <c r="U36" s="278">
        <f>'DÚSP Černovice'!J38</f>
        <v>0</v>
      </c>
      <c r="V36" s="278">
        <f>'USP Ledeč nad Sázavou'!J38</f>
        <v>0</v>
      </c>
      <c r="W36" s="278">
        <f>'Psych.Jihl.'!J38</f>
        <v>50</v>
      </c>
      <c r="X36" s="279">
        <f t="shared" si="1"/>
        <v>0</v>
      </c>
      <c r="Y36" s="282">
        <f t="shared" si="2"/>
        <v>1943</v>
      </c>
    </row>
    <row r="37" spans="1:25" ht="19.5" customHeight="1">
      <c r="A37" s="305" t="s">
        <v>96</v>
      </c>
      <c r="B37" s="277">
        <f>'DS Havlíčkův Brod'!J39</f>
        <v>190</v>
      </c>
      <c r="C37" s="278">
        <f>'DD Ždírec'!J39</f>
        <v>272</v>
      </c>
      <c r="D37" s="278">
        <f>'DD Onšov'!J39</f>
        <v>100</v>
      </c>
      <c r="E37" s="278">
        <f>'DD Proseč Obořiště'!J39</f>
        <v>70</v>
      </c>
      <c r="F37" s="278">
        <f>'DD Proseč u Pošné'!J39</f>
        <v>100</v>
      </c>
      <c r="G37" s="278">
        <f>'DD Humpolec'!J39</f>
        <v>450</v>
      </c>
      <c r="H37" s="278">
        <f>'DS Třebíč Koutkova'!J39</f>
        <v>675</v>
      </c>
      <c r="I37" s="278">
        <f>'DS M.Curierových'!J39</f>
        <v>907</v>
      </c>
      <c r="J37" s="278">
        <f>'DS Náměšť nad Os'!J39</f>
        <v>500</v>
      </c>
      <c r="K37" s="278">
        <f>'DS Mitrov'!J39</f>
        <v>30</v>
      </c>
      <c r="L37" s="278">
        <f>'DS Velké Meziříčí'!J39</f>
        <v>600</v>
      </c>
      <c r="M37" s="279">
        <f t="shared" si="0"/>
        <v>3894</v>
      </c>
      <c r="N37" s="280">
        <f>'ÚSP Lidmaň'!J39</f>
        <v>80</v>
      </c>
      <c r="O37" s="302">
        <f>'ÚSP Zboží'!J39</f>
        <v>80</v>
      </c>
      <c r="P37" s="278">
        <f>'Domov bez zámku'!J39</f>
        <v>27</v>
      </c>
      <c r="Q37" s="278">
        <f>'ÚSP Věž'!J39</f>
        <v>80</v>
      </c>
      <c r="R37" s="281">
        <f>'ÚSP Křižanov'!J39</f>
        <v>550</v>
      </c>
      <c r="S37" s="278">
        <f>'ÚSP Těchobuz'!J39</f>
        <v>140</v>
      </c>
      <c r="T37" s="278">
        <f>'ÚSP Nové Syrovice'!J39</f>
        <v>350</v>
      </c>
      <c r="U37" s="278">
        <f>'DÚSP Černovice'!J39</f>
        <v>486</v>
      </c>
      <c r="V37" s="278">
        <f>'USP Ledeč nad Sázavou'!J39</f>
        <v>195</v>
      </c>
      <c r="W37" s="278">
        <f>'Psych.Jihl.'!J39</f>
        <v>36</v>
      </c>
      <c r="X37" s="279">
        <f t="shared" si="1"/>
        <v>1988</v>
      </c>
      <c r="Y37" s="282">
        <f t="shared" si="2"/>
        <v>5918</v>
      </c>
    </row>
    <row r="38" spans="1:25" ht="15">
      <c r="A38" s="305" t="s">
        <v>97</v>
      </c>
      <c r="B38" s="277">
        <f>'DS Havlíčkův Brod'!J40</f>
        <v>0</v>
      </c>
      <c r="C38" s="278">
        <f>'DD Ždírec'!J40</f>
        <v>0</v>
      </c>
      <c r="D38" s="278">
        <f>'DD Onšov'!J40</f>
        <v>0</v>
      </c>
      <c r="E38" s="278">
        <f>'DD Proseč Obořiště'!J40</f>
        <v>0</v>
      </c>
      <c r="F38" s="278">
        <f>'DD Proseč u Pošné'!J40</f>
        <v>0</v>
      </c>
      <c r="G38" s="278">
        <f>'DD Humpolec'!J40</f>
        <v>0</v>
      </c>
      <c r="H38" s="278">
        <f>'DS Třebíč Koutkova'!J40</f>
        <v>0</v>
      </c>
      <c r="I38" s="278">
        <f>'DS M.Curierových'!J40</f>
        <v>0</v>
      </c>
      <c r="J38" s="278">
        <f>'DS Náměšť nad Os'!J40</f>
        <v>0</v>
      </c>
      <c r="K38" s="278">
        <f>'DS Mitrov'!J40</f>
        <v>0</v>
      </c>
      <c r="L38" s="278">
        <f>'DS Velké Meziříčí'!J40</f>
        <v>0</v>
      </c>
      <c r="M38" s="279">
        <f t="shared" si="0"/>
        <v>0</v>
      </c>
      <c r="N38" s="280">
        <f>'ÚSP Lidmaň'!J40</f>
        <v>0</v>
      </c>
      <c r="O38" s="302">
        <f>'ÚSP Zboží'!J40</f>
        <v>0</v>
      </c>
      <c r="P38" s="278">
        <f>'Domov bez zámku'!J40</f>
        <v>0</v>
      </c>
      <c r="Q38" s="278">
        <f>'ÚSP Věž'!J40</f>
        <v>0</v>
      </c>
      <c r="R38" s="281">
        <f>'ÚSP Křižanov'!J40</f>
        <v>0</v>
      </c>
      <c r="S38" s="278">
        <f>'ÚSP Těchobuz'!J40</f>
        <v>0</v>
      </c>
      <c r="T38" s="278">
        <f>'ÚSP Nové Syrovice'!J40</f>
        <v>0</v>
      </c>
      <c r="U38" s="278">
        <f>'DÚSP Černovice'!J40</f>
        <v>0</v>
      </c>
      <c r="V38" s="278">
        <f>'USP Ledeč nad Sázavou'!J40</f>
        <v>0</v>
      </c>
      <c r="W38" s="278">
        <f>'Psych.Jihl.'!J40</f>
        <v>0</v>
      </c>
      <c r="X38" s="279">
        <f t="shared" si="1"/>
        <v>0</v>
      </c>
      <c r="Y38" s="282">
        <f t="shared" si="2"/>
        <v>0</v>
      </c>
    </row>
    <row r="39" spans="1:25" ht="15">
      <c r="A39" s="305" t="s">
        <v>98</v>
      </c>
      <c r="B39" s="277">
        <f>'DS Havlíčkův Brod'!J41</f>
        <v>536</v>
      </c>
      <c r="C39" s="278">
        <f>'DD Ždírec'!J41</f>
        <v>100</v>
      </c>
      <c r="D39" s="278">
        <f>'DD Onšov'!J41</f>
        <v>520</v>
      </c>
      <c r="E39" s="278">
        <f>'DD Proseč Obořiště'!J41</f>
        <v>372</v>
      </c>
      <c r="F39" s="278">
        <f>'DD Proseč u Pošné'!J41</f>
        <v>920</v>
      </c>
      <c r="G39" s="278">
        <f>'DD Humpolec'!J41</f>
        <v>680</v>
      </c>
      <c r="H39" s="278">
        <f>'DS Třebíč Koutkova'!J41</f>
        <v>1085</v>
      </c>
      <c r="I39" s="278">
        <f>'DS M.Curierových'!J41</f>
        <v>3850</v>
      </c>
      <c r="J39" s="278">
        <f>'DS Náměšť nad Os'!J41</f>
        <v>250</v>
      </c>
      <c r="K39" s="278">
        <f>'DS Mitrov'!J41</f>
        <v>2870</v>
      </c>
      <c r="L39" s="278">
        <f>'DS Velké Meziříčí'!J41</f>
        <v>150</v>
      </c>
      <c r="M39" s="279">
        <f t="shared" si="0"/>
        <v>11333</v>
      </c>
      <c r="N39" s="280">
        <f>'ÚSP Lidmaň'!J41</f>
        <v>458</v>
      </c>
      <c r="O39" s="302">
        <f>'ÚSP Zboží'!J41</f>
        <v>740</v>
      </c>
      <c r="P39" s="278">
        <f>'Domov bez zámku'!J41</f>
        <v>140</v>
      </c>
      <c r="Q39" s="278">
        <f>'ÚSP Věž'!J41</f>
        <v>775</v>
      </c>
      <c r="R39" s="281">
        <f>'ÚSP Křižanov'!J41</f>
        <v>450</v>
      </c>
      <c r="S39" s="278">
        <f>'ÚSP Těchobuz'!J41</f>
        <v>280</v>
      </c>
      <c r="T39" s="278">
        <f>'ÚSP Nové Syrovice'!J41</f>
        <v>150</v>
      </c>
      <c r="U39" s="278">
        <f>'DÚSP Černovice'!J41</f>
        <v>1431</v>
      </c>
      <c r="V39" s="278">
        <f>'USP Ledeč nad Sázavou'!J41</f>
        <v>530</v>
      </c>
      <c r="W39" s="278">
        <f>'Psych.Jihl.'!J41</f>
        <v>74</v>
      </c>
      <c r="X39" s="279">
        <f t="shared" si="1"/>
        <v>4954</v>
      </c>
      <c r="Y39" s="282">
        <f t="shared" si="2"/>
        <v>16361</v>
      </c>
    </row>
    <row r="40" spans="1:25" ht="15">
      <c r="A40" s="305" t="s">
        <v>99</v>
      </c>
      <c r="B40" s="277">
        <f>'DS Havlíčkův Brod'!J42</f>
        <v>104</v>
      </c>
      <c r="C40" s="278">
        <f>'DD Ždírec'!J42</f>
        <v>40</v>
      </c>
      <c r="D40" s="278">
        <f>'DD Onšov'!J42</f>
        <v>20</v>
      </c>
      <c r="E40" s="278">
        <f>'DD Proseč Obořiště'!J42</f>
        <v>60</v>
      </c>
      <c r="F40" s="278">
        <f>'DD Proseč u Pošné'!J42</f>
        <v>160</v>
      </c>
      <c r="G40" s="278">
        <f>'DD Humpolec'!J42</f>
        <v>90</v>
      </c>
      <c r="H40" s="278">
        <f>'DS Třebíč Koutkova'!J42</f>
        <v>90</v>
      </c>
      <c r="I40" s="278">
        <f>'DS M.Curierových'!J42</f>
        <v>100</v>
      </c>
      <c r="J40" s="278">
        <f>'DS Náměšť nad Os'!J42</f>
        <v>50</v>
      </c>
      <c r="K40" s="278">
        <f>'DS Mitrov'!J42</f>
        <v>100</v>
      </c>
      <c r="L40" s="278">
        <f>'DS Velké Meziříčí'!J42</f>
        <v>100</v>
      </c>
      <c r="M40" s="279">
        <f t="shared" si="0"/>
        <v>914</v>
      </c>
      <c r="N40" s="280">
        <f>'ÚSP Lidmaň'!J42</f>
        <v>180</v>
      </c>
      <c r="O40" s="302">
        <f>'ÚSP Zboží'!J42</f>
        <v>65</v>
      </c>
      <c r="P40" s="278">
        <f>'Domov bez zámku'!J42</f>
        <v>132</v>
      </c>
      <c r="Q40" s="278">
        <f>'ÚSP Věž'!J42</f>
        <v>70</v>
      </c>
      <c r="R40" s="281">
        <f>'ÚSP Křižanov'!J42</f>
        <v>150</v>
      </c>
      <c r="S40" s="278">
        <f>'ÚSP Těchobuz'!J42</f>
        <v>130</v>
      </c>
      <c r="T40" s="278">
        <f>'ÚSP Nové Syrovice'!J42</f>
        <v>60</v>
      </c>
      <c r="U40" s="278">
        <f>'DÚSP Černovice'!J42</f>
        <v>129</v>
      </c>
      <c r="V40" s="278">
        <f>'USP Ledeč nad Sázavou'!J42</f>
        <v>45</v>
      </c>
      <c r="W40" s="278">
        <f>'Psych.Jihl.'!J42</f>
        <v>159</v>
      </c>
      <c r="X40" s="279">
        <f t="shared" si="1"/>
        <v>961</v>
      </c>
      <c r="Y40" s="282">
        <f t="shared" si="2"/>
        <v>2034</v>
      </c>
    </row>
    <row r="41" spans="1:25" ht="15">
      <c r="A41" s="305" t="s">
        <v>100</v>
      </c>
      <c r="B41" s="277">
        <f>'DS Havlíčkův Brod'!J43</f>
        <v>6</v>
      </c>
      <c r="C41" s="278">
        <f>'DD Ždírec'!J43</f>
        <v>10</v>
      </c>
      <c r="D41" s="278">
        <f>'DD Onšov'!J43</f>
        <v>20</v>
      </c>
      <c r="E41" s="278">
        <f>'DD Proseč Obořiště'!J43</f>
        <v>5</v>
      </c>
      <c r="F41" s="278">
        <f>'DD Proseč u Pošné'!J43</f>
        <v>30</v>
      </c>
      <c r="G41" s="278">
        <f>'DD Humpolec'!J43</f>
        <v>5</v>
      </c>
      <c r="H41" s="278">
        <f>'DS Třebíč Koutkova'!J43</f>
        <v>9</v>
      </c>
      <c r="I41" s="278">
        <f>'DS M.Curierových'!J43</f>
        <v>10</v>
      </c>
      <c r="J41" s="278">
        <f>'DS Náměšť nad Os'!J43</f>
        <v>0</v>
      </c>
      <c r="K41" s="278">
        <f>'DS Mitrov'!J43</f>
        <v>5</v>
      </c>
      <c r="L41" s="278">
        <f>'DS Velké Meziříčí'!J43</f>
        <v>10</v>
      </c>
      <c r="M41" s="279">
        <f t="shared" si="0"/>
        <v>110</v>
      </c>
      <c r="N41" s="280">
        <f>'ÚSP Lidmaň'!J43</f>
        <v>5</v>
      </c>
      <c r="O41" s="302">
        <f>'ÚSP Zboží'!J43</f>
        <v>2</v>
      </c>
      <c r="P41" s="278">
        <f>'Domov bez zámku'!J43</f>
        <v>0</v>
      </c>
      <c r="Q41" s="278">
        <f>'ÚSP Věž'!J43</f>
        <v>5</v>
      </c>
      <c r="R41" s="281">
        <f>'ÚSP Křižanov'!J43</f>
        <v>10</v>
      </c>
      <c r="S41" s="278">
        <f>'ÚSP Těchobuz'!J43</f>
        <v>50</v>
      </c>
      <c r="T41" s="278">
        <f>'ÚSP Nové Syrovice'!J43</f>
        <v>3</v>
      </c>
      <c r="U41" s="278">
        <f>'DÚSP Černovice'!J43</f>
        <v>5</v>
      </c>
      <c r="V41" s="278">
        <f>'USP Ledeč nad Sázavou'!J43</f>
        <v>6</v>
      </c>
      <c r="W41" s="278">
        <f>'Psych.Jihl.'!J43</f>
        <v>0</v>
      </c>
      <c r="X41" s="279">
        <f t="shared" si="1"/>
        <v>86</v>
      </c>
      <c r="Y41" s="282">
        <f t="shared" si="2"/>
        <v>196</v>
      </c>
    </row>
    <row r="42" spans="1:25" ht="15">
      <c r="A42" s="305" t="s">
        <v>101</v>
      </c>
      <c r="B42" s="277">
        <f>'DS Havlíčkův Brod'!J44</f>
        <v>904</v>
      </c>
      <c r="C42" s="278">
        <f>'DD Ždírec'!J44</f>
        <v>6427</v>
      </c>
      <c r="D42" s="278">
        <f>'DD Onšov'!J44</f>
        <v>500</v>
      </c>
      <c r="E42" s="278">
        <f>'DD Proseč Obořiště'!J44</f>
        <v>525</v>
      </c>
      <c r="F42" s="278">
        <f>'DD Proseč u Pošné'!J44</f>
        <v>995</v>
      </c>
      <c r="G42" s="278">
        <f>'DD Humpolec'!J44</f>
        <v>2299</v>
      </c>
      <c r="H42" s="278">
        <f>'DS Třebíč Koutkova'!J44</f>
        <v>1000</v>
      </c>
      <c r="I42" s="278">
        <f>'DS M.Curierových'!J44</f>
        <v>1184</v>
      </c>
      <c r="J42" s="278">
        <f>'DS Náměšť nad Os'!J44</f>
        <v>600</v>
      </c>
      <c r="K42" s="278">
        <f>'DS Mitrov'!J44</f>
        <v>1200</v>
      </c>
      <c r="L42" s="278">
        <f>'DS Velké Meziříčí'!J44</f>
        <v>1200</v>
      </c>
      <c r="M42" s="279">
        <f t="shared" si="0"/>
        <v>16834</v>
      </c>
      <c r="N42" s="280">
        <f>'ÚSP Lidmaň'!J44</f>
        <v>1070</v>
      </c>
      <c r="O42" s="302">
        <f>'ÚSP Zboží'!J44</f>
        <v>980</v>
      </c>
      <c r="P42" s="278">
        <f>'Domov bez zámku'!J44</f>
        <v>5295</v>
      </c>
      <c r="Q42" s="278">
        <f>'ÚSP Věž'!J44</f>
        <v>920</v>
      </c>
      <c r="R42" s="281">
        <f>'ÚSP Křižanov'!J44</f>
        <v>1920</v>
      </c>
      <c r="S42" s="278">
        <f>'ÚSP Těchobuz'!J44</f>
        <v>2650</v>
      </c>
      <c r="T42" s="278">
        <f>'ÚSP Nové Syrovice'!J44</f>
        <v>1000</v>
      </c>
      <c r="U42" s="278">
        <f>'DÚSP Černovice'!J44</f>
        <v>1056</v>
      </c>
      <c r="V42" s="278">
        <f>'USP Ledeč nad Sázavou'!J44</f>
        <v>4580</v>
      </c>
      <c r="W42" s="278">
        <f>'Psych.Jihl.'!J44</f>
        <v>848</v>
      </c>
      <c r="X42" s="279">
        <f t="shared" si="1"/>
        <v>19471</v>
      </c>
      <c r="Y42" s="282">
        <f t="shared" si="2"/>
        <v>37153</v>
      </c>
    </row>
    <row r="43" spans="1:25" ht="15">
      <c r="A43" s="305" t="s">
        <v>102</v>
      </c>
      <c r="B43" s="277">
        <f>'DS Havlíčkův Brod'!J45</f>
        <v>102</v>
      </c>
      <c r="C43" s="278">
        <f>'DD Ždírec'!J45</f>
        <v>90</v>
      </c>
      <c r="D43" s="278">
        <f>'DD Onšov'!J45</f>
        <v>130</v>
      </c>
      <c r="E43" s="278">
        <f>'DD Proseč Obořiště'!J45</f>
        <v>1</v>
      </c>
      <c r="F43" s="278">
        <f>'DD Proseč u Pošné'!J45</f>
        <v>80</v>
      </c>
      <c r="G43" s="278">
        <f>'DD Humpolec'!J45</f>
        <v>135</v>
      </c>
      <c r="H43" s="278">
        <f>'DS Třebíč Koutkova'!J45</f>
        <v>105</v>
      </c>
      <c r="I43" s="278">
        <f>'DS M.Curierových'!J45</f>
        <v>93</v>
      </c>
      <c r="J43" s="278">
        <f>'DS Náměšť nad Os'!J45</f>
        <v>70</v>
      </c>
      <c r="K43" s="278">
        <f>'DS Mitrov'!J45</f>
        <v>100</v>
      </c>
      <c r="L43" s="278">
        <f>'DS Velké Meziříčí'!J45</f>
        <v>100</v>
      </c>
      <c r="M43" s="279">
        <f t="shared" si="0"/>
        <v>1006</v>
      </c>
      <c r="N43" s="280">
        <f>'ÚSP Lidmaň'!J45</f>
        <v>175</v>
      </c>
      <c r="O43" s="302">
        <f>'ÚSP Zboží'!J45</f>
        <v>120</v>
      </c>
      <c r="P43" s="278">
        <f>'Domov bez zámku'!J45</f>
        <v>160</v>
      </c>
      <c r="Q43" s="278">
        <f>'ÚSP Věž'!J45</f>
        <v>60</v>
      </c>
      <c r="R43" s="281">
        <f>'ÚSP Křižanov'!J45</f>
        <v>100</v>
      </c>
      <c r="S43" s="278">
        <f>'ÚSP Těchobuz'!J45</f>
        <v>140</v>
      </c>
      <c r="T43" s="278">
        <f>'ÚSP Nové Syrovice'!J45</f>
        <v>150</v>
      </c>
      <c r="U43" s="278">
        <f>'DÚSP Černovice'!J45</f>
        <v>131</v>
      </c>
      <c r="V43" s="278">
        <f>'USP Ledeč nad Sázavou'!J45</f>
        <v>45</v>
      </c>
      <c r="W43" s="278">
        <f>'Psych.Jihl.'!J45</f>
        <v>143</v>
      </c>
      <c r="X43" s="279">
        <f t="shared" si="1"/>
        <v>1081</v>
      </c>
      <c r="Y43" s="282">
        <f t="shared" si="2"/>
        <v>2230</v>
      </c>
    </row>
    <row r="44" spans="1:25" ht="15">
      <c r="A44" s="305" t="s">
        <v>103</v>
      </c>
      <c r="B44" s="277">
        <f>'DS Havlíčkův Brod'!J46</f>
        <v>0</v>
      </c>
      <c r="C44" s="278">
        <f>'DD Ždírec'!J46</f>
        <v>0</v>
      </c>
      <c r="D44" s="278">
        <f>'DD Onšov'!J46</f>
        <v>0</v>
      </c>
      <c r="E44" s="278">
        <f>'DD Proseč Obořiště'!J46</f>
        <v>0</v>
      </c>
      <c r="F44" s="278">
        <f>'DD Proseč u Pošné'!J46</f>
        <v>0</v>
      </c>
      <c r="G44" s="278">
        <f>'DD Humpolec'!J46</f>
        <v>46</v>
      </c>
      <c r="H44" s="278">
        <f>'DS Třebíč Koutkova'!J46</f>
        <v>0</v>
      </c>
      <c r="I44" s="278">
        <f>'DS M.Curierových'!J46</f>
        <v>24</v>
      </c>
      <c r="J44" s="278">
        <f>'DS Náměšť nad Os'!J46</f>
        <v>5</v>
      </c>
      <c r="K44" s="278">
        <f>'DS Mitrov'!J46</f>
        <v>0</v>
      </c>
      <c r="L44" s="278">
        <f>'DS Velké Meziříčí'!J46</f>
        <v>0</v>
      </c>
      <c r="M44" s="279">
        <f t="shared" si="0"/>
        <v>75</v>
      </c>
      <c r="N44" s="280">
        <f>'ÚSP Lidmaň'!J46</f>
        <v>35</v>
      </c>
      <c r="O44" s="302">
        <f>'ÚSP Zboží'!J46</f>
        <v>30</v>
      </c>
      <c r="P44" s="278">
        <f>'Domov bez zámku'!J46</f>
        <v>3260</v>
      </c>
      <c r="Q44" s="278">
        <f>'ÚSP Věž'!J46</f>
        <v>0</v>
      </c>
      <c r="R44" s="281">
        <f>'ÚSP Křižanov'!J46</f>
        <v>200</v>
      </c>
      <c r="S44" s="278">
        <f>'ÚSP Těchobuz'!J46</f>
        <v>0</v>
      </c>
      <c r="T44" s="278">
        <f>'ÚSP Nové Syrovice'!J46</f>
        <v>0</v>
      </c>
      <c r="U44" s="278">
        <f>'DÚSP Černovice'!J46</f>
        <v>5</v>
      </c>
      <c r="V44" s="278">
        <f>'USP Ledeč nad Sázavou'!J46</f>
        <v>6</v>
      </c>
      <c r="W44" s="278">
        <f>'Psych.Jihl.'!J46</f>
        <v>168</v>
      </c>
      <c r="X44" s="279">
        <f t="shared" si="1"/>
        <v>3536</v>
      </c>
      <c r="Y44" s="282">
        <f t="shared" si="2"/>
        <v>3779</v>
      </c>
    </row>
    <row r="45" spans="1:25" ht="15">
      <c r="A45" s="305" t="s">
        <v>104</v>
      </c>
      <c r="B45" s="277">
        <f>'DS Havlíčkův Brod'!J47</f>
        <v>802</v>
      </c>
      <c r="C45" s="278">
        <f>'DD Ždírec'!J47</f>
        <v>6337</v>
      </c>
      <c r="D45" s="278">
        <f>'DD Onšov'!J47</f>
        <v>370</v>
      </c>
      <c r="E45" s="278">
        <f>'DD Proseč Obořiště'!J47</f>
        <v>524</v>
      </c>
      <c r="F45" s="278">
        <f>'DD Proseč u Pošné'!J47</f>
        <v>915</v>
      </c>
      <c r="G45" s="278">
        <f>'DD Humpolec'!J47</f>
        <v>2118</v>
      </c>
      <c r="H45" s="278">
        <f>'DS Třebíč Koutkova'!J47</f>
        <v>895</v>
      </c>
      <c r="I45" s="278">
        <f>'DS M.Curierových'!J47</f>
        <v>1063</v>
      </c>
      <c r="J45" s="278">
        <f>'DS Náměšť nad Os'!J47</f>
        <v>525</v>
      </c>
      <c r="K45" s="278">
        <f>'DS Mitrov'!J47</f>
        <v>1100</v>
      </c>
      <c r="L45" s="278">
        <f>'DS Velké Meziříčí'!J47</f>
        <v>1100</v>
      </c>
      <c r="M45" s="279">
        <f t="shared" si="0"/>
        <v>15749</v>
      </c>
      <c r="N45" s="280">
        <f>'ÚSP Lidmaň'!J47</f>
        <v>860</v>
      </c>
      <c r="O45" s="302">
        <f>'ÚSP Zboží'!J47</f>
        <v>830</v>
      </c>
      <c r="P45" s="278">
        <f>'Domov bez zámku'!J47</f>
        <v>1875</v>
      </c>
      <c r="Q45" s="278">
        <f>'ÚSP Věž'!J47</f>
        <v>860</v>
      </c>
      <c r="R45" s="281">
        <f>'ÚSP Křižanov'!J47</f>
        <v>1820</v>
      </c>
      <c r="S45" s="278">
        <f>'ÚSP Těchobuz'!J47</f>
        <v>2710</v>
      </c>
      <c r="T45" s="278">
        <f>'ÚSP Nové Syrovice'!J47</f>
        <v>850</v>
      </c>
      <c r="U45" s="278">
        <f>'DÚSP Černovice'!J47</f>
        <v>920</v>
      </c>
      <c r="V45" s="278">
        <f>'USP Ledeč nad Sázavou'!J47</f>
        <v>4529</v>
      </c>
      <c r="W45" s="278">
        <f>'Psych.Jihl.'!J47</f>
        <v>537</v>
      </c>
      <c r="X45" s="279">
        <f t="shared" si="1"/>
        <v>15254</v>
      </c>
      <c r="Y45" s="282">
        <f t="shared" si="2"/>
        <v>31540</v>
      </c>
    </row>
    <row r="46" spans="1:25" ht="15">
      <c r="A46" s="305" t="s">
        <v>105</v>
      </c>
      <c r="B46" s="277">
        <f>'DS Havlíčkův Brod'!J48</f>
        <v>13909</v>
      </c>
      <c r="C46" s="278">
        <f>'DD Ždírec'!J48</f>
        <v>19707</v>
      </c>
      <c r="D46" s="278">
        <f>'DD Onšov'!J48</f>
        <v>6280</v>
      </c>
      <c r="E46" s="278">
        <f>'DD Proseč Obořiště'!J48</f>
        <v>10764</v>
      </c>
      <c r="F46" s="278">
        <f>'DD Proseč u Pošné'!J48</f>
        <v>13862</v>
      </c>
      <c r="G46" s="278">
        <f>'DD Humpolec'!J48</f>
        <v>30685</v>
      </c>
      <c r="H46" s="278">
        <f>'DS Třebíč Koutkova'!J48</f>
        <v>28661</v>
      </c>
      <c r="I46" s="278">
        <f>'DS M.Curierových'!J48</f>
        <v>30758</v>
      </c>
      <c r="J46" s="278">
        <f>'DS Náměšť nad Os'!J48</f>
        <v>15541</v>
      </c>
      <c r="K46" s="278">
        <f>'DS Mitrov'!J48</f>
        <v>25358</v>
      </c>
      <c r="L46" s="278">
        <f>'DS Velké Meziříčí'!J48</f>
        <v>21851</v>
      </c>
      <c r="M46" s="279">
        <f t="shared" si="0"/>
        <v>217376</v>
      </c>
      <c r="N46" s="280">
        <f>'ÚSP Lidmaň'!J48</f>
        <v>18390</v>
      </c>
      <c r="O46" s="302">
        <f>'ÚSP Zboží'!J48</f>
        <v>13657</v>
      </c>
      <c r="P46" s="278">
        <f>'Domov bez zámku'!J48</f>
        <v>14640</v>
      </c>
      <c r="Q46" s="278">
        <f>'ÚSP Věž'!J48</f>
        <v>14518</v>
      </c>
      <c r="R46" s="281">
        <f>'ÚSP Křižanov'!J48</f>
        <v>30548</v>
      </c>
      <c r="S46" s="278">
        <f>'ÚSP Těchobuz'!J48</f>
        <v>17437</v>
      </c>
      <c r="T46" s="278">
        <f>'ÚSP Nové Syrovice'!J48</f>
        <v>17210</v>
      </c>
      <c r="U46" s="278">
        <f>'DÚSP Černovice'!J48</f>
        <v>52524</v>
      </c>
      <c r="V46" s="278">
        <f>'USP Ledeč nad Sázavou'!J48</f>
        <v>12793</v>
      </c>
      <c r="W46" s="278">
        <f>'Psych.Jihl.'!J48</f>
        <v>7633</v>
      </c>
      <c r="X46" s="279">
        <f t="shared" si="1"/>
        <v>191717</v>
      </c>
      <c r="Y46" s="282">
        <f t="shared" si="2"/>
        <v>416726</v>
      </c>
    </row>
    <row r="47" spans="1:25" ht="15">
      <c r="A47" s="305" t="s">
        <v>106</v>
      </c>
      <c r="B47" s="277">
        <f>'DS Havlíčkův Brod'!J49</f>
        <v>10239</v>
      </c>
      <c r="C47" s="278">
        <f>'DD Ždírec'!J49</f>
        <v>14216</v>
      </c>
      <c r="D47" s="278">
        <f>'DD Onšov'!J49</f>
        <v>4630</v>
      </c>
      <c r="E47" s="278">
        <f>'DD Proseč Obořiště'!J49</f>
        <v>7944</v>
      </c>
      <c r="F47" s="278">
        <f>'DD Proseč u Pošné'!J49</f>
        <v>10257</v>
      </c>
      <c r="G47" s="278">
        <f>'DD Humpolec'!J49</f>
        <v>22710</v>
      </c>
      <c r="H47" s="278">
        <f>'DS Třebíč Koutkova'!J49</f>
        <v>21211</v>
      </c>
      <c r="I47" s="278">
        <f>'DS M.Curierových'!J49</f>
        <v>22550</v>
      </c>
      <c r="J47" s="278">
        <f>'DS Náměšť nad Os'!J49</f>
        <v>11556</v>
      </c>
      <c r="K47" s="278">
        <f>'DS Mitrov'!J49</f>
        <v>18558</v>
      </c>
      <c r="L47" s="278">
        <f>'DS Velké Meziříčí'!J49</f>
        <v>16149</v>
      </c>
      <c r="M47" s="279">
        <f t="shared" si="0"/>
        <v>160020</v>
      </c>
      <c r="N47" s="280">
        <f>'ÚSP Lidmaň'!J49</f>
        <v>13590</v>
      </c>
      <c r="O47" s="302">
        <f>'ÚSP Zboží'!J49</f>
        <v>10116</v>
      </c>
      <c r="P47" s="278">
        <f>'Domov bez zámku'!J49</f>
        <v>10640</v>
      </c>
      <c r="Q47" s="278">
        <f>'ÚSP Věž'!J49</f>
        <v>10703</v>
      </c>
      <c r="R47" s="281">
        <f>'ÚSP Křižanov'!J49</f>
        <v>22460</v>
      </c>
      <c r="S47" s="278">
        <f>'ÚSP Těchobuz'!J49</f>
        <v>12919</v>
      </c>
      <c r="T47" s="278">
        <f>'ÚSP Nové Syrovice'!J49</f>
        <v>12710</v>
      </c>
      <c r="U47" s="278">
        <f>'DÚSP Černovice'!J49</f>
        <v>38925</v>
      </c>
      <c r="V47" s="278">
        <f>'USP Ledeč nad Sázavou'!J49</f>
        <v>9392</v>
      </c>
      <c r="W47" s="278">
        <f>'Psych.Jihl.'!J49</f>
        <v>5639</v>
      </c>
      <c r="X47" s="279">
        <f t="shared" si="1"/>
        <v>141455</v>
      </c>
      <c r="Y47" s="282">
        <f t="shared" si="2"/>
        <v>307114</v>
      </c>
    </row>
    <row r="48" spans="1:25" ht="15">
      <c r="A48" s="305" t="s">
        <v>107</v>
      </c>
      <c r="B48" s="277">
        <f>'DS Havlíčkův Brod'!J50</f>
        <v>9855</v>
      </c>
      <c r="C48" s="278">
        <f>'DD Ždírec'!J50</f>
        <v>13926</v>
      </c>
      <c r="D48" s="278">
        <f>'DD Onšov'!J50</f>
        <v>4530</v>
      </c>
      <c r="E48" s="278">
        <f>'DD Proseč Obořiště'!J50</f>
        <v>7914</v>
      </c>
      <c r="F48" s="278">
        <f>'DD Proseč u Pošné'!J50</f>
        <v>10205</v>
      </c>
      <c r="G48" s="278">
        <f>'DD Humpolec'!J50</f>
        <v>22500</v>
      </c>
      <c r="H48" s="278">
        <f>'DS Třebíč Koutkova'!J50</f>
        <v>21061</v>
      </c>
      <c r="I48" s="278">
        <f>'DS M.Curierových'!J50</f>
        <v>22550</v>
      </c>
      <c r="J48" s="278">
        <f>'DS Náměšť nad Os'!J50</f>
        <v>11425</v>
      </c>
      <c r="K48" s="278">
        <f>'DS Mitrov'!J50</f>
        <v>18458</v>
      </c>
      <c r="L48" s="278">
        <f>'DS Velké Meziříčí'!J50</f>
        <v>16118</v>
      </c>
      <c r="M48" s="279">
        <f t="shared" si="0"/>
        <v>158542</v>
      </c>
      <c r="N48" s="280">
        <f>'ÚSP Lidmaň'!J50</f>
        <v>13290</v>
      </c>
      <c r="O48" s="302">
        <f>'ÚSP Zboží'!J50</f>
        <v>10056</v>
      </c>
      <c r="P48" s="278">
        <f>'Domov bez zámku'!J50</f>
        <v>10560</v>
      </c>
      <c r="Q48" s="278">
        <f>'ÚSP Věž'!J50</f>
        <v>10403</v>
      </c>
      <c r="R48" s="281">
        <f>'ÚSP Křižanov'!J50</f>
        <v>22260</v>
      </c>
      <c r="S48" s="278">
        <f>'ÚSP Těchobuz'!J50</f>
        <v>12550</v>
      </c>
      <c r="T48" s="278">
        <f>'ÚSP Nové Syrovice'!J50</f>
        <v>12600</v>
      </c>
      <c r="U48" s="278">
        <f>'DÚSP Černovice'!J50</f>
        <v>38675</v>
      </c>
      <c r="V48" s="278">
        <f>'USP Ledeč nad Sázavou'!J50</f>
        <v>9288</v>
      </c>
      <c r="W48" s="278">
        <f>'Psych.Jihl.'!J50</f>
        <v>5337</v>
      </c>
      <c r="X48" s="279">
        <f t="shared" si="1"/>
        <v>139682</v>
      </c>
      <c r="Y48" s="282">
        <f t="shared" si="2"/>
        <v>303561</v>
      </c>
    </row>
    <row r="49" spans="1:25" ht="15">
      <c r="A49" s="305" t="s">
        <v>108</v>
      </c>
      <c r="B49" s="277">
        <f>'DS Havlíčkův Brod'!J51</f>
        <v>384</v>
      </c>
      <c r="C49" s="278">
        <f>'DD Ždírec'!J51</f>
        <v>290</v>
      </c>
      <c r="D49" s="278">
        <f>'DD Onšov'!J51</f>
        <v>100</v>
      </c>
      <c r="E49" s="278">
        <f>'DD Proseč Obořiště'!J51</f>
        <v>30</v>
      </c>
      <c r="F49" s="278">
        <f>'DD Proseč u Pošné'!J51</f>
        <v>50</v>
      </c>
      <c r="G49" s="278">
        <f>'DD Humpolec'!J51</f>
        <v>210</v>
      </c>
      <c r="H49" s="278">
        <f>'DS Třebíč Koutkova'!J51</f>
        <v>150</v>
      </c>
      <c r="I49" s="278">
        <f>'DS M.Curierových'!J51</f>
        <v>0</v>
      </c>
      <c r="J49" s="278">
        <f>'DS Náměšť nad Os'!J51</f>
        <v>50</v>
      </c>
      <c r="K49" s="278">
        <f>'DS Mitrov'!J51</f>
        <v>100</v>
      </c>
      <c r="L49" s="278">
        <f>'DS Velké Meziříčí'!J51</f>
        <v>31</v>
      </c>
      <c r="M49" s="279">
        <f t="shared" si="0"/>
        <v>1395</v>
      </c>
      <c r="N49" s="280">
        <f>'ÚSP Lidmaň'!J51</f>
        <v>300</v>
      </c>
      <c r="O49" s="302">
        <f>'ÚSP Zboží'!J51</f>
        <v>60</v>
      </c>
      <c r="P49" s="278">
        <f>'Domov bez zámku'!J51</f>
        <v>80</v>
      </c>
      <c r="Q49" s="278">
        <f>'ÚSP Věž'!J51</f>
        <v>300</v>
      </c>
      <c r="R49" s="281">
        <f>'ÚSP Křižanov'!J51</f>
        <v>200</v>
      </c>
      <c r="S49" s="278">
        <f>'ÚSP Těchobuz'!J51</f>
        <v>369</v>
      </c>
      <c r="T49" s="278">
        <f>'ÚSP Nové Syrovice'!J51</f>
        <v>110</v>
      </c>
      <c r="U49" s="278">
        <f>'DÚSP Černovice'!J51</f>
        <v>250</v>
      </c>
      <c r="V49" s="278">
        <f>'USP Ledeč nad Sázavou'!J51</f>
        <v>104</v>
      </c>
      <c r="W49" s="278">
        <f>'Psych.Jihl.'!J51</f>
        <v>302</v>
      </c>
      <c r="X49" s="279">
        <f t="shared" si="1"/>
        <v>1773</v>
      </c>
      <c r="Y49" s="282">
        <f t="shared" si="2"/>
        <v>3470</v>
      </c>
    </row>
    <row r="50" spans="1:25" ht="15">
      <c r="A50" s="305" t="s">
        <v>109</v>
      </c>
      <c r="B50" s="277">
        <f>'DS Havlíčkův Brod'!J52</f>
        <v>3670</v>
      </c>
      <c r="C50" s="278">
        <f>'DD Ždírec'!J52</f>
        <v>5491</v>
      </c>
      <c r="D50" s="278">
        <f>'DD Onšov'!J52</f>
        <v>1650</v>
      </c>
      <c r="E50" s="278">
        <f>'DD Proseč Obořiště'!J52</f>
        <v>2820</v>
      </c>
      <c r="F50" s="278">
        <f>'DD Proseč u Pošné'!J52</f>
        <v>3605</v>
      </c>
      <c r="G50" s="278">
        <f>'DD Humpolec'!J52</f>
        <v>7975</v>
      </c>
      <c r="H50" s="278">
        <f>'DS Třebíč Koutkova'!J52</f>
        <v>7450</v>
      </c>
      <c r="I50" s="278">
        <f>'DS M.Curierových'!J52</f>
        <v>8208</v>
      </c>
      <c r="J50" s="278">
        <f>'DS Náměšť nad Os'!J52</f>
        <v>4066</v>
      </c>
      <c r="K50" s="278">
        <f>'DS Mitrov'!J52</f>
        <v>6800</v>
      </c>
      <c r="L50" s="278">
        <f>'DS Velké Meziříčí'!J52</f>
        <v>5702</v>
      </c>
      <c r="M50" s="279">
        <f t="shared" si="0"/>
        <v>57437</v>
      </c>
      <c r="N50" s="280">
        <f>'ÚSP Lidmaň'!J52</f>
        <v>4800</v>
      </c>
      <c r="O50" s="302">
        <f>'ÚSP Zboží'!J52</f>
        <v>3541</v>
      </c>
      <c r="P50" s="278">
        <f>'Domov bez zámku'!J52</f>
        <v>4000</v>
      </c>
      <c r="Q50" s="278">
        <f>'ÚSP Věž'!J52</f>
        <v>3815</v>
      </c>
      <c r="R50" s="281">
        <f>'ÚSP Křižanov'!J52</f>
        <v>8088</v>
      </c>
      <c r="S50" s="278">
        <f>'ÚSP Těchobuz'!J52</f>
        <v>4518</v>
      </c>
      <c r="T50" s="278">
        <f>'ÚSP Nové Syrovice'!J52</f>
        <v>4500</v>
      </c>
      <c r="U50" s="278">
        <f>'DÚSP Černovice'!J52</f>
        <v>13599</v>
      </c>
      <c r="V50" s="278">
        <f>'USP Ledeč nad Sázavou'!J52</f>
        <v>3401</v>
      </c>
      <c r="W50" s="278">
        <f>'Psych.Jihl.'!J52</f>
        <v>1994</v>
      </c>
      <c r="X50" s="279">
        <f t="shared" si="1"/>
        <v>50262</v>
      </c>
      <c r="Y50" s="282">
        <f t="shared" si="2"/>
        <v>109693</v>
      </c>
    </row>
    <row r="51" spans="1:25" ht="15">
      <c r="A51" s="305" t="s">
        <v>110</v>
      </c>
      <c r="B51" s="277">
        <f>'DS Havlíčkův Brod'!J53</f>
        <v>0</v>
      </c>
      <c r="C51" s="278">
        <f>'DD Ždírec'!J53</f>
        <v>0</v>
      </c>
      <c r="D51" s="278">
        <f>'DD Onšov'!J53</f>
        <v>0</v>
      </c>
      <c r="E51" s="278">
        <f>'DD Proseč Obořiště'!J53</f>
        <v>0</v>
      </c>
      <c r="F51" s="278">
        <f>'DD Proseč u Pošné'!J53</f>
        <v>0</v>
      </c>
      <c r="G51" s="278">
        <f>'DD Humpolec'!J53</f>
        <v>9</v>
      </c>
      <c r="H51" s="278">
        <f>'DS Třebíč Koutkova'!J53</f>
        <v>0</v>
      </c>
      <c r="I51" s="278">
        <f>'DS M.Curierových'!J53</f>
        <v>0</v>
      </c>
      <c r="J51" s="278">
        <f>'DS Náměšť nad Os'!J53</f>
        <v>0</v>
      </c>
      <c r="K51" s="278">
        <f>'DS Mitrov'!J53</f>
        <v>0</v>
      </c>
      <c r="L51" s="278">
        <f>'DS Velké Meziříčí'!J53</f>
        <v>0</v>
      </c>
      <c r="M51" s="279">
        <f t="shared" si="0"/>
        <v>9</v>
      </c>
      <c r="N51" s="280">
        <f>'ÚSP Lidmaň'!J53</f>
        <v>0</v>
      </c>
      <c r="O51" s="302">
        <f>'ÚSP Zboží'!J53</f>
        <v>0</v>
      </c>
      <c r="P51" s="278">
        <f>'Domov bez zámku'!J53</f>
        <v>0</v>
      </c>
      <c r="Q51" s="278">
        <f>'ÚSP Věž'!J53</f>
        <v>0</v>
      </c>
      <c r="R51" s="281">
        <f>'ÚSP Křižanov'!J53</f>
        <v>0</v>
      </c>
      <c r="S51" s="278">
        <f>'ÚSP Těchobuz'!J53</f>
        <v>0</v>
      </c>
      <c r="T51" s="278">
        <f>'ÚSP Nové Syrovice'!J53</f>
        <v>0</v>
      </c>
      <c r="U51" s="278">
        <f>'DÚSP Černovice'!J53</f>
        <v>19</v>
      </c>
      <c r="V51" s="278">
        <f>'USP Ledeč nad Sázavou'!J53</f>
        <v>0</v>
      </c>
      <c r="W51" s="278">
        <f>'Psych.Jihl.'!J53</f>
        <v>0</v>
      </c>
      <c r="X51" s="279">
        <f t="shared" si="1"/>
        <v>19</v>
      </c>
      <c r="Y51" s="282">
        <f t="shared" si="2"/>
        <v>28</v>
      </c>
    </row>
    <row r="52" spans="1:25" ht="15">
      <c r="A52" s="305" t="s">
        <v>111</v>
      </c>
      <c r="B52" s="277">
        <f>'DS Havlíčkův Brod'!J54</f>
        <v>1</v>
      </c>
      <c r="C52" s="278">
        <f>'DD Ždírec'!J54</f>
        <v>0</v>
      </c>
      <c r="D52" s="278">
        <f>'DD Onšov'!J54</f>
        <v>0</v>
      </c>
      <c r="E52" s="278">
        <f>'DD Proseč Obořiště'!J54</f>
        <v>0</v>
      </c>
      <c r="F52" s="278">
        <f>'DD Proseč u Pošné'!J54</f>
        <v>5</v>
      </c>
      <c r="G52" s="278">
        <f>'DD Humpolec'!J54</f>
        <v>0</v>
      </c>
      <c r="H52" s="278">
        <f>'DS Třebíč Koutkova'!J54</f>
        <v>2</v>
      </c>
      <c r="I52" s="278">
        <f>'DS M.Curierových'!J54</f>
        <v>0</v>
      </c>
      <c r="J52" s="278">
        <f>'DS Náměšť nad Os'!J54</f>
        <v>5</v>
      </c>
      <c r="K52" s="278">
        <f>'DS Mitrov'!J54</f>
        <v>2</v>
      </c>
      <c r="L52" s="278">
        <f>'DS Velké Meziříčí'!J54</f>
        <v>0</v>
      </c>
      <c r="M52" s="279">
        <f t="shared" si="0"/>
        <v>15</v>
      </c>
      <c r="N52" s="280">
        <f>'ÚSP Lidmaň'!J54</f>
        <v>3</v>
      </c>
      <c r="O52" s="302">
        <f>'ÚSP Zboží'!J54</f>
        <v>0</v>
      </c>
      <c r="P52" s="278">
        <f>'Domov bez zámku'!J54</f>
        <v>3</v>
      </c>
      <c r="Q52" s="278">
        <f>'ÚSP Věž'!J54</f>
        <v>20</v>
      </c>
      <c r="R52" s="281">
        <f>'ÚSP Křižanov'!J54</f>
        <v>0</v>
      </c>
      <c r="S52" s="278">
        <f>'ÚSP Těchobuz'!J54</f>
        <v>5</v>
      </c>
      <c r="T52" s="278">
        <f>'ÚSP Nové Syrovice'!J54</f>
        <v>0</v>
      </c>
      <c r="U52" s="278">
        <f>'DÚSP Černovice'!J54</f>
        <v>103</v>
      </c>
      <c r="V52" s="278">
        <f>'USP Ledeč nad Sázavou'!J54</f>
        <v>1</v>
      </c>
      <c r="W52" s="278">
        <f>'Psych.Jihl.'!J54</f>
        <v>0</v>
      </c>
      <c r="X52" s="279">
        <f t="shared" si="1"/>
        <v>135</v>
      </c>
      <c r="Y52" s="282">
        <f t="shared" si="2"/>
        <v>150</v>
      </c>
    </row>
    <row r="53" spans="1:25" ht="15">
      <c r="A53" s="305" t="s">
        <v>112</v>
      </c>
      <c r="B53" s="277">
        <f>'DS Havlíčkův Brod'!J55</f>
        <v>119</v>
      </c>
      <c r="C53" s="278">
        <f>'DD Ždírec'!J55</f>
        <v>150</v>
      </c>
      <c r="D53" s="278">
        <f>'DD Onšov'!J55</f>
        <v>60</v>
      </c>
      <c r="E53" s="278">
        <f>'DD Proseč Obořiště'!J55</f>
        <v>120</v>
      </c>
      <c r="F53" s="278">
        <f>'DD Proseč u Pošné'!J55</f>
        <v>170</v>
      </c>
      <c r="G53" s="278">
        <f>'DD Humpolec'!J55</f>
        <v>220</v>
      </c>
      <c r="H53" s="278">
        <f>'DS Třebíč Koutkova'!J55</f>
        <v>212</v>
      </c>
      <c r="I53" s="278">
        <f>'DS M.Curierových'!J55</f>
        <v>120</v>
      </c>
      <c r="J53" s="278">
        <f>'DS Náměšť nad Os'!J55</f>
        <v>115</v>
      </c>
      <c r="K53" s="278">
        <f>'DS Mitrov'!J55</f>
        <v>250</v>
      </c>
      <c r="L53" s="278">
        <f>'DS Velké Meziříčí'!J55</f>
        <v>700</v>
      </c>
      <c r="M53" s="279">
        <f t="shared" si="0"/>
        <v>2236</v>
      </c>
      <c r="N53" s="280">
        <f>'ÚSP Lidmaň'!J55</f>
        <v>226</v>
      </c>
      <c r="O53" s="302">
        <f>'ÚSP Zboží'!J55</f>
        <v>106</v>
      </c>
      <c r="P53" s="278">
        <f>'Domov bez zámku'!J55</f>
        <v>85</v>
      </c>
      <c r="Q53" s="278">
        <f>'ÚSP Věž'!J55</f>
        <v>150</v>
      </c>
      <c r="R53" s="281">
        <f>'ÚSP Křižanov'!J55</f>
        <v>687</v>
      </c>
      <c r="S53" s="278">
        <f>'ÚSP Těchobuz'!J55</f>
        <v>150</v>
      </c>
      <c r="T53" s="278">
        <f>'ÚSP Nové Syrovice'!J55</f>
        <v>100</v>
      </c>
      <c r="U53" s="278">
        <f>'DÚSP Černovice'!J55</f>
        <v>1213</v>
      </c>
      <c r="V53" s="278">
        <f>'USP Ledeč nad Sázavou'!J55</f>
        <v>91</v>
      </c>
      <c r="W53" s="278">
        <f>'Psych.Jihl.'!J55</f>
        <v>62</v>
      </c>
      <c r="X53" s="279">
        <f t="shared" si="1"/>
        <v>2808</v>
      </c>
      <c r="Y53" s="282">
        <f t="shared" si="2"/>
        <v>5106</v>
      </c>
    </row>
    <row r="54" spans="1:25" ht="15">
      <c r="A54" s="305" t="s">
        <v>113</v>
      </c>
      <c r="B54" s="277">
        <f>'DS Havlíčkův Brod'!J56</f>
        <v>0</v>
      </c>
      <c r="C54" s="278">
        <f>'DD Ždírec'!J56</f>
        <v>0</v>
      </c>
      <c r="D54" s="278">
        <f>'DD Onšov'!J56</f>
        <v>0</v>
      </c>
      <c r="E54" s="278">
        <f>'DD Proseč Obořiště'!J56</f>
        <v>0</v>
      </c>
      <c r="F54" s="278">
        <f>'DD Proseč u Pošné'!J56</f>
        <v>0</v>
      </c>
      <c r="G54" s="278">
        <f>'DD Humpolec'!J56</f>
        <v>0</v>
      </c>
      <c r="H54" s="278">
        <f>'DS Třebíč Koutkova'!J56</f>
        <v>0</v>
      </c>
      <c r="I54" s="278">
        <f>'DS M.Curierových'!J56</f>
        <v>0</v>
      </c>
      <c r="J54" s="278">
        <f>'DS Náměšť nad Os'!J56</f>
        <v>0</v>
      </c>
      <c r="K54" s="278">
        <f>'DS Mitrov'!J56</f>
        <v>0</v>
      </c>
      <c r="L54" s="278">
        <f>'DS Velké Meziříčí'!J56</f>
        <v>0</v>
      </c>
      <c r="M54" s="279">
        <f t="shared" si="0"/>
        <v>0</v>
      </c>
      <c r="N54" s="280">
        <f>'ÚSP Lidmaň'!J56</f>
        <v>0</v>
      </c>
      <c r="O54" s="302">
        <f>'ÚSP Zboží'!J56</f>
        <v>0</v>
      </c>
      <c r="P54" s="278">
        <f>'Domov bez zámku'!J56</f>
        <v>0</v>
      </c>
      <c r="Q54" s="278">
        <f>'ÚSP Věž'!J56</f>
        <v>0</v>
      </c>
      <c r="R54" s="281">
        <f>'ÚSP Křižanov'!J56</f>
        <v>0</v>
      </c>
      <c r="S54" s="278">
        <f>'ÚSP Těchobuz'!J56</f>
        <v>0</v>
      </c>
      <c r="T54" s="278">
        <f>'ÚSP Nové Syrovice'!J56</f>
        <v>0</v>
      </c>
      <c r="U54" s="278">
        <f>'DÚSP Černovice'!J56</f>
        <v>0</v>
      </c>
      <c r="V54" s="278">
        <f>'USP Ledeč nad Sázavou'!J56</f>
        <v>0</v>
      </c>
      <c r="W54" s="278">
        <f>'Psych.Jihl.'!J56</f>
        <v>0</v>
      </c>
      <c r="X54" s="279">
        <f t="shared" si="1"/>
        <v>0</v>
      </c>
      <c r="Y54" s="282">
        <f t="shared" si="2"/>
        <v>0</v>
      </c>
    </row>
    <row r="55" spans="1:25" ht="15">
      <c r="A55" s="305" t="s">
        <v>114</v>
      </c>
      <c r="B55" s="277">
        <f>'DS Havlíčkův Brod'!J57</f>
        <v>531</v>
      </c>
      <c r="C55" s="278">
        <f>'DD Ždírec'!J57</f>
        <v>1881</v>
      </c>
      <c r="D55" s="278">
        <f>'DD Onšov'!J57</f>
        <v>400</v>
      </c>
      <c r="E55" s="278">
        <f>'DD Proseč Obořiště'!J57</f>
        <v>465</v>
      </c>
      <c r="F55" s="278">
        <f>'DD Proseč u Pošné'!J57</f>
        <v>648</v>
      </c>
      <c r="G55" s="278">
        <f>'DD Humpolec'!J57</f>
        <v>871</v>
      </c>
      <c r="H55" s="278">
        <f>'DS Třebíč Koutkova'!J57</f>
        <v>2516</v>
      </c>
      <c r="I55" s="278">
        <f>'DS M.Curierových'!J57</f>
        <v>1084</v>
      </c>
      <c r="J55" s="278">
        <f>'DS Náměšť nad Os'!J57</f>
        <v>1990</v>
      </c>
      <c r="K55" s="278">
        <f>'DS Mitrov'!J57</f>
        <v>1144</v>
      </c>
      <c r="L55" s="278">
        <f>'DS Velké Meziříčí'!J57</f>
        <v>2043</v>
      </c>
      <c r="M55" s="279">
        <f t="shared" si="0"/>
        <v>13573</v>
      </c>
      <c r="N55" s="280">
        <f>'ÚSP Lidmaň'!J57</f>
        <v>735</v>
      </c>
      <c r="O55" s="302">
        <f>'ÚSP Zboží'!J57</f>
        <v>3090</v>
      </c>
      <c r="P55" s="278">
        <f>'Domov bez zámku'!J57</f>
        <v>193</v>
      </c>
      <c r="Q55" s="278">
        <f>'ÚSP Věž'!J57</f>
        <v>368</v>
      </c>
      <c r="R55" s="281">
        <f>'ÚSP Křižanov'!J57</f>
        <v>1644</v>
      </c>
      <c r="S55" s="278">
        <f>'ÚSP Těchobuz'!J57</f>
        <v>1399</v>
      </c>
      <c r="T55" s="278">
        <f>'ÚSP Nové Syrovice'!J57</f>
        <v>664</v>
      </c>
      <c r="U55" s="278">
        <f>'DÚSP Černovice'!J57</f>
        <v>2430</v>
      </c>
      <c r="V55" s="278">
        <f>'USP Ledeč nad Sázavou'!J57</f>
        <v>952</v>
      </c>
      <c r="W55" s="278">
        <f>'Psych.Jihl.'!J57</f>
        <v>183</v>
      </c>
      <c r="X55" s="279">
        <f t="shared" si="1"/>
        <v>11475</v>
      </c>
      <c r="Y55" s="282">
        <f t="shared" si="2"/>
        <v>25231</v>
      </c>
    </row>
    <row r="56" spans="1:25" ht="15">
      <c r="A56" s="305" t="s">
        <v>115</v>
      </c>
      <c r="B56" s="277">
        <f>'DS Havlíčkův Brod'!J58</f>
        <v>0</v>
      </c>
      <c r="C56" s="278">
        <f>'DD Ždírec'!J58</f>
        <v>0</v>
      </c>
      <c r="D56" s="278">
        <f>'DD Onšov'!J58</f>
        <v>15</v>
      </c>
      <c r="E56" s="278">
        <f>'DD Proseč Obořiště'!J58</f>
        <v>0</v>
      </c>
      <c r="F56" s="278">
        <f>'DD Proseč u Pošné'!J58</f>
        <v>0</v>
      </c>
      <c r="G56" s="278">
        <f>'DD Humpolec'!J58</f>
        <v>0</v>
      </c>
      <c r="H56" s="278">
        <f>'DS Třebíč Koutkova'!J58</f>
        <v>0</v>
      </c>
      <c r="I56" s="278">
        <f>'DS M.Curierových'!J58</f>
        <v>0</v>
      </c>
      <c r="J56" s="278">
        <f>'DS Náměšť nad Os'!J58</f>
        <v>0</v>
      </c>
      <c r="K56" s="278">
        <f>'DS Mitrov'!J58</f>
        <v>0</v>
      </c>
      <c r="L56" s="278">
        <f>'DS Velké Meziříčí'!J58</f>
        <v>0</v>
      </c>
      <c r="M56" s="279">
        <f t="shared" si="0"/>
        <v>15</v>
      </c>
      <c r="N56" s="280">
        <f>'ÚSP Lidmaň'!J58</f>
        <v>0</v>
      </c>
      <c r="O56" s="302">
        <f>'ÚSP Zboží'!J58</f>
        <v>25</v>
      </c>
      <c r="P56" s="278">
        <f>'Domov bez zámku'!J58</f>
        <v>0</v>
      </c>
      <c r="Q56" s="278">
        <f>'ÚSP Věž'!J58</f>
        <v>0</v>
      </c>
      <c r="R56" s="281">
        <f>'ÚSP Křižanov'!J58</f>
        <v>0</v>
      </c>
      <c r="S56" s="278">
        <f>'ÚSP Těchobuz'!J58</f>
        <v>0</v>
      </c>
      <c r="T56" s="278">
        <f>'ÚSP Nové Syrovice'!J58</f>
        <v>0</v>
      </c>
      <c r="U56" s="278">
        <f>'DÚSP Černovice'!J58</f>
        <v>43</v>
      </c>
      <c r="V56" s="278">
        <f>'USP Ledeč nad Sázavou'!J58</f>
        <v>0</v>
      </c>
      <c r="W56" s="278">
        <f>'Psych.Jihl.'!J58</f>
        <v>0</v>
      </c>
      <c r="X56" s="279">
        <f t="shared" si="1"/>
        <v>68</v>
      </c>
      <c r="Y56" s="282">
        <f t="shared" si="2"/>
        <v>83</v>
      </c>
    </row>
    <row r="57" spans="1:25" ht="15.75" thickBot="1">
      <c r="A57" s="306" t="s">
        <v>116</v>
      </c>
      <c r="B57" s="285">
        <f>'DS Havlíčkův Brod'!J59</f>
        <v>0</v>
      </c>
      <c r="C57" s="286">
        <f>'DD Ždírec'!J59</f>
        <v>0</v>
      </c>
      <c r="D57" s="286">
        <f>'DD Onšov'!J59</f>
        <v>0</v>
      </c>
      <c r="E57" s="286">
        <f>'DD Proseč Obořiště'!J59</f>
        <v>0</v>
      </c>
      <c r="F57" s="286">
        <f>'DD Proseč u Pošné'!J59</f>
        <v>0</v>
      </c>
      <c r="G57" s="286">
        <f>'DD Humpolec'!J59</f>
        <v>0</v>
      </c>
      <c r="H57" s="286">
        <f>'DS Třebíč Koutkova'!J59</f>
        <v>0</v>
      </c>
      <c r="I57" s="286">
        <f>'DS M.Curierových'!J59</f>
        <v>0</v>
      </c>
      <c r="J57" s="286">
        <f>'DS Náměšť nad Os'!J59</f>
        <v>0</v>
      </c>
      <c r="K57" s="286">
        <f>'DS Mitrov'!J59</f>
        <v>0</v>
      </c>
      <c r="L57" s="286">
        <f>'DS Velké Meziříčí'!J59</f>
        <v>0</v>
      </c>
      <c r="M57" s="287">
        <f t="shared" si="0"/>
        <v>0</v>
      </c>
      <c r="N57" s="288">
        <f>'ÚSP Lidmaň'!J59</f>
        <v>0</v>
      </c>
      <c r="O57" s="307">
        <f>'ÚSP Zboží'!J59</f>
        <v>0</v>
      </c>
      <c r="P57" s="286">
        <f>'Domov bez zámku'!J59</f>
        <v>23</v>
      </c>
      <c r="Q57" s="286">
        <f>'ÚSP Věž'!J59</f>
        <v>0</v>
      </c>
      <c r="R57" s="289">
        <f>'ÚSP Křižanov'!J59</f>
        <v>0</v>
      </c>
      <c r="S57" s="286">
        <f>'ÚSP Těchobuz'!J59</f>
        <v>0</v>
      </c>
      <c r="T57" s="286">
        <f>'ÚSP Nové Syrovice'!J59</f>
        <v>0</v>
      </c>
      <c r="U57" s="286">
        <f>'DÚSP Černovice'!J59</f>
        <v>0</v>
      </c>
      <c r="V57" s="286">
        <f>'USP Ledeč nad Sázavou'!J59</f>
        <v>0</v>
      </c>
      <c r="W57" s="286">
        <f>'Psych.Jihl.'!J59</f>
        <v>0</v>
      </c>
      <c r="X57" s="287">
        <f t="shared" si="1"/>
        <v>23</v>
      </c>
      <c r="Y57" s="290">
        <f t="shared" si="2"/>
        <v>23</v>
      </c>
    </row>
    <row r="58" spans="1:25" ht="15.75" thickBot="1">
      <c r="A58" s="291" t="s">
        <v>117</v>
      </c>
      <c r="B58" s="292">
        <f>'DS Havlíčkův Brod'!J60</f>
        <v>20494</v>
      </c>
      <c r="C58" s="293">
        <f>'DD Ždírec'!J60</f>
        <v>31280</v>
      </c>
      <c r="D58" s="293">
        <f>'DD Onšov'!J60</f>
        <v>10995</v>
      </c>
      <c r="E58" s="293">
        <f>'DD Proseč Obořiště'!J60</f>
        <v>16404</v>
      </c>
      <c r="F58" s="293">
        <f>'DD Proseč u Pošné'!J60</f>
        <v>20950</v>
      </c>
      <c r="G58" s="293">
        <f>'DD Humpolec'!J60</f>
        <v>45489</v>
      </c>
      <c r="H58" s="293">
        <f>'DS Třebíč Koutkova'!J60</f>
        <v>44225</v>
      </c>
      <c r="I58" s="293">
        <f>'DS M.Curierových'!J60</f>
        <v>49173</v>
      </c>
      <c r="J58" s="293">
        <f>'DS Náměšť nad Os'!J60</f>
        <v>25931</v>
      </c>
      <c r="K58" s="293">
        <f>'DS Mitrov'!J60</f>
        <v>39049</v>
      </c>
      <c r="L58" s="293">
        <f>'DS Velké Meziříčí'!J60</f>
        <v>34744</v>
      </c>
      <c r="M58" s="294">
        <f t="shared" si="0"/>
        <v>338734</v>
      </c>
      <c r="N58" s="308">
        <f>'ÚSP Lidmaň'!J60</f>
        <v>26712</v>
      </c>
      <c r="O58" s="309">
        <f>'ÚSP Zboží'!J60</f>
        <v>23134</v>
      </c>
      <c r="P58" s="310">
        <f>'Domov bez zámku'!J60</f>
        <v>22400</v>
      </c>
      <c r="Q58" s="293">
        <f>'ÚSP Věž'!J60</f>
        <v>21866</v>
      </c>
      <c r="R58" s="296">
        <f>'ÚSP Křižanov'!J60</f>
        <v>44204</v>
      </c>
      <c r="S58" s="293">
        <f>'ÚSP Těchobuz'!J60</f>
        <v>26437</v>
      </c>
      <c r="T58" s="293">
        <f>'ÚSP Nové Syrovice'!J60</f>
        <v>25087</v>
      </c>
      <c r="U58" s="293">
        <f>'DÚSP Černovice'!J60</f>
        <v>70896</v>
      </c>
      <c r="V58" s="293">
        <f>'USP Ledeč nad Sázavou'!J60</f>
        <v>21507</v>
      </c>
      <c r="W58" s="293">
        <f>'Psych.Jihl.'!J60</f>
        <v>9494</v>
      </c>
      <c r="X58" s="294">
        <f t="shared" si="1"/>
        <v>282243</v>
      </c>
      <c r="Y58" s="297">
        <f t="shared" si="2"/>
        <v>630471</v>
      </c>
    </row>
    <row r="59" spans="2:25" ht="15.75" thickBot="1"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2"/>
      <c r="N59" s="76"/>
      <c r="O59" s="76"/>
      <c r="P59" s="311"/>
      <c r="Q59" s="311"/>
      <c r="R59" s="313"/>
      <c r="S59" s="311"/>
      <c r="T59" s="311"/>
      <c r="U59" s="311"/>
      <c r="V59" s="311">
        <f>'USP Ledeč nad Sázavou'!J59</f>
        <v>0</v>
      </c>
      <c r="W59" s="311">
        <f>'Psych.Jihl.'!J62</f>
        <v>0</v>
      </c>
      <c r="X59" s="312"/>
      <c r="Y59" s="312"/>
    </row>
    <row r="60" spans="1:25" ht="15.75" thickBot="1">
      <c r="A60" s="314" t="s">
        <v>236</v>
      </c>
      <c r="B60" s="315">
        <f>'DS Havlíčkův Brod'!J61</f>
        <v>0</v>
      </c>
      <c r="C60" s="315">
        <f>'DD Ždírec'!J61</f>
        <v>-5310</v>
      </c>
      <c r="D60" s="315">
        <f>'DD Onšov'!J61</f>
        <v>0</v>
      </c>
      <c r="E60" s="315">
        <f>'DD Proseč Obořiště'!J61</f>
        <v>0</v>
      </c>
      <c r="F60" s="315">
        <f>'DD Proseč u Pošné'!J61</f>
        <v>-245</v>
      </c>
      <c r="G60" s="315">
        <f>'DD Humpolec'!J61</f>
        <v>-2596</v>
      </c>
      <c r="H60" s="315">
        <f>'DS Třebíč Koutkova'!J61</f>
        <v>0</v>
      </c>
      <c r="I60" s="315">
        <f>'DS M.Curierových'!J61</f>
        <v>0</v>
      </c>
      <c r="J60" s="315">
        <f>'DS Náměšť nad Os'!J61</f>
        <v>-449</v>
      </c>
      <c r="K60" s="315">
        <f>'DS Mitrov'!J61</f>
        <v>0</v>
      </c>
      <c r="L60" s="315">
        <f>'DS Velké Meziříčí'!J61</f>
        <v>-2060</v>
      </c>
      <c r="M60" s="315">
        <f t="shared" si="0"/>
        <v>-10660</v>
      </c>
      <c r="N60" s="316">
        <f>'ÚSP Lidmaň'!J61</f>
        <v>-93</v>
      </c>
      <c r="O60" s="316">
        <f>'ÚSP Zboží'!J61</f>
        <v>-3612</v>
      </c>
      <c r="P60" s="315">
        <f>'Domov bez zámku'!J61</f>
        <v>-1166</v>
      </c>
      <c r="Q60" s="315">
        <f>'ÚSP Věž'!J61</f>
        <v>0</v>
      </c>
      <c r="R60" s="317">
        <f>'ÚSP Křižanov'!J61</f>
        <v>-2206</v>
      </c>
      <c r="S60" s="315">
        <f>'ÚSP Těchobuz'!J61</f>
        <v>-4258</v>
      </c>
      <c r="T60" s="315">
        <f>'ÚSP Nové Syrovice'!J61</f>
        <v>-490</v>
      </c>
      <c r="U60" s="315">
        <f>'DÚSP Černovice'!J61</f>
        <v>-3255</v>
      </c>
      <c r="V60" s="315">
        <f>'USP Ledeč nad Sázavou'!J61</f>
        <v>-44</v>
      </c>
      <c r="W60" s="315">
        <f>'Psych.Jihl.'!J61</f>
        <v>0</v>
      </c>
      <c r="X60" s="315">
        <f>SUM(N60:W60)</f>
        <v>-15124</v>
      </c>
      <c r="Y60" s="318">
        <f t="shared" si="2"/>
        <v>-25784</v>
      </c>
    </row>
    <row r="61" spans="2:25" s="319" customFormat="1" ht="15"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1"/>
      <c r="X61" s="312"/>
      <c r="Y61" s="312"/>
    </row>
    <row r="62" spans="2:25" ht="15.75" thickBot="1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X62" s="312"/>
      <c r="Y62" s="312"/>
    </row>
    <row r="63" spans="1:25" ht="29.25" customHeight="1" thickBot="1">
      <c r="A63" s="104" t="s">
        <v>172</v>
      </c>
      <c r="B63" s="322">
        <v>68</v>
      </c>
      <c r="C63" s="323">
        <v>113</v>
      </c>
      <c r="D63" s="323">
        <v>48</v>
      </c>
      <c r="E63" s="323">
        <v>70</v>
      </c>
      <c r="F63" s="323">
        <v>69</v>
      </c>
      <c r="G63" s="323">
        <v>203</v>
      </c>
      <c r="H63" s="323">
        <v>172</v>
      </c>
      <c r="I63" s="323">
        <v>195</v>
      </c>
      <c r="J63" s="323">
        <v>92</v>
      </c>
      <c r="K63" s="323">
        <v>130</v>
      </c>
      <c r="L63" s="324">
        <v>94</v>
      </c>
      <c r="M63" s="325">
        <f>SUM(B63:L63)</f>
        <v>1254</v>
      </c>
      <c r="N63" s="322">
        <v>100</v>
      </c>
      <c r="O63" s="323">
        <v>60</v>
      </c>
      <c r="P63" s="323">
        <v>70</v>
      </c>
      <c r="Q63" s="323">
        <v>80</v>
      </c>
      <c r="R63" s="323">
        <v>142</v>
      </c>
      <c r="S63" s="323">
        <v>75</v>
      </c>
      <c r="T63" s="323">
        <v>90</v>
      </c>
      <c r="U63" s="323">
        <v>174</v>
      </c>
      <c r="V63" s="323">
        <v>80</v>
      </c>
      <c r="W63" s="326" t="s">
        <v>62</v>
      </c>
      <c r="X63" s="327">
        <f>SUM(N63:V63)</f>
        <v>871</v>
      </c>
      <c r="Y63" s="328">
        <f>M63+X63</f>
        <v>2125</v>
      </c>
    </row>
    <row r="64" spans="2:25" ht="19.5" customHeight="1" thickBot="1">
      <c r="B64" s="376" t="s">
        <v>2</v>
      </c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9"/>
      <c r="X64" s="150"/>
      <c r="Y64" s="319"/>
    </row>
    <row r="65" spans="1:23" s="329" customFormat="1" ht="125.25" customHeight="1" thickBot="1">
      <c r="A65" s="105" t="s">
        <v>171</v>
      </c>
      <c r="B65" s="267" t="s">
        <v>0</v>
      </c>
      <c r="C65" s="264" t="s">
        <v>47</v>
      </c>
      <c r="D65" s="264" t="s">
        <v>48</v>
      </c>
      <c r="E65" s="264" t="s">
        <v>49</v>
      </c>
      <c r="F65" s="264" t="s">
        <v>50</v>
      </c>
      <c r="G65" s="264" t="s">
        <v>51</v>
      </c>
      <c r="H65" s="264" t="s">
        <v>3</v>
      </c>
      <c r="I65" s="264" t="s">
        <v>9</v>
      </c>
      <c r="J65" s="264" t="s">
        <v>8</v>
      </c>
      <c r="K65" s="264" t="s">
        <v>61</v>
      </c>
      <c r="L65" s="264" t="s">
        <v>1</v>
      </c>
      <c r="M65" s="268" t="s">
        <v>52</v>
      </c>
      <c r="N65" s="267" t="s">
        <v>53</v>
      </c>
      <c r="O65" s="264" t="s">
        <v>54</v>
      </c>
      <c r="P65" s="264" t="s">
        <v>165</v>
      </c>
      <c r="Q65" s="264" t="s">
        <v>55</v>
      </c>
      <c r="R65" s="264" t="s">
        <v>56</v>
      </c>
      <c r="S65" s="264" t="s">
        <v>331</v>
      </c>
      <c r="T65" s="264" t="s">
        <v>57</v>
      </c>
      <c r="U65" s="264" t="s">
        <v>58</v>
      </c>
      <c r="V65" s="264" t="s">
        <v>59</v>
      </c>
      <c r="W65" s="268" t="s">
        <v>52</v>
      </c>
    </row>
    <row r="66" spans="1:23" ht="19.5" customHeight="1">
      <c r="A66" s="269" t="s">
        <v>65</v>
      </c>
      <c r="B66" s="330">
        <f aca="true" t="shared" si="3" ref="B66:B119">B5/$B$63</f>
        <v>219.94117647058823</v>
      </c>
      <c r="C66" s="331">
        <f aca="true" t="shared" si="4" ref="C66:C119">C5/$C$63</f>
        <v>166.05309734513276</v>
      </c>
      <c r="D66" s="331">
        <f aca="true" t="shared" si="5" ref="D66:D119">D5/$D$63</f>
        <v>156.95833333333334</v>
      </c>
      <c r="E66" s="331">
        <f aca="true" t="shared" si="6" ref="E66:E119">E5/$E$63</f>
        <v>161.22857142857143</v>
      </c>
      <c r="F66" s="331">
        <f aca="true" t="shared" si="7" ref="F66:F119">F5/$F$63</f>
        <v>210.7536231884058</v>
      </c>
      <c r="G66" s="331">
        <f aca="true" t="shared" si="8" ref="G66:G119">G5/$G$63</f>
        <v>155.60098522167488</v>
      </c>
      <c r="H66" s="331">
        <f aca="true" t="shared" si="9" ref="H66:H119">H5/$H$63</f>
        <v>175.0581395348837</v>
      </c>
      <c r="I66" s="331">
        <f aca="true" t="shared" si="10" ref="I66:I119">I5/$I$63</f>
        <v>176.33846153846153</v>
      </c>
      <c r="J66" s="331">
        <f aca="true" t="shared" si="11" ref="J66:J119">J5/$J$63</f>
        <v>188.91304347826087</v>
      </c>
      <c r="K66" s="331">
        <f aca="true" t="shared" si="12" ref="K66:K119">K5/$K$63</f>
        <v>204.55384615384617</v>
      </c>
      <c r="L66" s="332">
        <f aca="true" t="shared" si="13" ref="L66:L119">L5/$L$63</f>
        <v>224.04255319148936</v>
      </c>
      <c r="M66" s="333">
        <f>(B5+C5+D5+E5+F5+G5+H5+I5+J5+K5+L5)/$M$63</f>
        <v>181.97527910685807</v>
      </c>
      <c r="N66" s="334">
        <f aca="true" t="shared" si="14" ref="N66:N119">N5/$N$63</f>
        <v>159.77</v>
      </c>
      <c r="O66" s="331">
        <f aca="true" t="shared" si="15" ref="O66:O119">O5/$O$63</f>
        <v>185.15</v>
      </c>
      <c r="P66" s="331">
        <f aca="true" t="shared" si="16" ref="P66:P119">P5/$P$63</f>
        <v>158.45714285714286</v>
      </c>
      <c r="Q66" s="331">
        <f aca="true" t="shared" si="17" ref="Q66:Q119">Q5/$Q$63</f>
        <v>160.4375</v>
      </c>
      <c r="R66" s="331">
        <f aca="true" t="shared" si="18" ref="R66:R119">R5/$R$63</f>
        <v>202.5</v>
      </c>
      <c r="S66" s="331">
        <f aca="true" t="shared" si="19" ref="S66:S119">S5/$S$63</f>
        <v>160.62666666666667</v>
      </c>
      <c r="T66" s="331">
        <f aca="true" t="shared" si="20" ref="T66:T119">T5/$T$63</f>
        <v>131.33333333333334</v>
      </c>
      <c r="U66" s="331">
        <f aca="true" t="shared" si="21" ref="U66:U119">U5/$U$63</f>
        <v>214.0344827586207</v>
      </c>
      <c r="V66" s="331">
        <f aca="true" t="shared" si="22" ref="V66:V119">V5/$V$63</f>
        <v>154.3125</v>
      </c>
      <c r="W66" s="335">
        <f>(N5+O5+P5+Q5+R5+S5+T5+U5+V5)/$X$63</f>
        <v>175.9150401836969</v>
      </c>
    </row>
    <row r="67" spans="1:23" ht="19.5" customHeight="1">
      <c r="A67" s="276" t="s">
        <v>66</v>
      </c>
      <c r="B67" s="336">
        <f t="shared" si="3"/>
        <v>96.6029411764706</v>
      </c>
      <c r="C67" s="337">
        <f t="shared" si="4"/>
        <v>94.08849557522124</v>
      </c>
      <c r="D67" s="337">
        <f t="shared" si="5"/>
        <v>93.75</v>
      </c>
      <c r="E67" s="337">
        <f t="shared" si="6"/>
        <v>86.97142857142858</v>
      </c>
      <c r="F67" s="337">
        <f t="shared" si="7"/>
        <v>94.20289855072464</v>
      </c>
      <c r="G67" s="337">
        <f t="shared" si="8"/>
        <v>79.80295566502463</v>
      </c>
      <c r="H67" s="337">
        <f t="shared" si="9"/>
        <v>92.84883720930233</v>
      </c>
      <c r="I67" s="337">
        <f t="shared" si="10"/>
        <v>96.41025641025641</v>
      </c>
      <c r="J67" s="337">
        <f t="shared" si="11"/>
        <v>105.43478260869566</v>
      </c>
      <c r="K67" s="337">
        <f t="shared" si="12"/>
        <v>92.3076923076923</v>
      </c>
      <c r="L67" s="338">
        <f t="shared" si="13"/>
        <v>94.68085106382979</v>
      </c>
      <c r="M67" s="339">
        <f>(B6+C6+D6+E6+F6+G6+H6+I6+J6+K6+L6)/$M$63</f>
        <v>92.39154704944178</v>
      </c>
      <c r="N67" s="340">
        <f t="shared" si="14"/>
        <v>92.5</v>
      </c>
      <c r="O67" s="337">
        <f t="shared" si="15"/>
        <v>88.03333333333333</v>
      </c>
      <c r="P67" s="337">
        <f t="shared" si="16"/>
        <v>72.57142857142857</v>
      </c>
      <c r="Q67" s="337">
        <f t="shared" si="17"/>
        <v>85.9375</v>
      </c>
      <c r="R67" s="337">
        <f t="shared" si="18"/>
        <v>72.53521126760563</v>
      </c>
      <c r="S67" s="337">
        <f t="shared" si="19"/>
        <v>80.30666666666667</v>
      </c>
      <c r="T67" s="337">
        <f t="shared" si="20"/>
        <v>77.88888888888889</v>
      </c>
      <c r="U67" s="337">
        <f t="shared" si="21"/>
        <v>59.339080459770116</v>
      </c>
      <c r="V67" s="337">
        <f t="shared" si="22"/>
        <v>85.9875</v>
      </c>
      <c r="W67" s="341">
        <f aca="true" t="shared" si="23" ref="W67:W119">(N6+O6+P6+Q6+R6+S6+T6+U6+V6)/$X$63</f>
        <v>76.95063145809415</v>
      </c>
    </row>
    <row r="68" spans="1:23" ht="19.5" customHeight="1">
      <c r="A68" s="276" t="s">
        <v>67</v>
      </c>
      <c r="B68" s="336">
        <f t="shared" si="3"/>
        <v>92.72058823529412</v>
      </c>
      <c r="C68" s="337">
        <f t="shared" si="4"/>
        <v>66.69026548672566</v>
      </c>
      <c r="D68" s="337">
        <f t="shared" si="5"/>
        <v>58.333333333333336</v>
      </c>
      <c r="E68" s="337">
        <f t="shared" si="6"/>
        <v>60.114285714285714</v>
      </c>
      <c r="F68" s="337">
        <f t="shared" si="7"/>
        <v>87.1304347826087</v>
      </c>
      <c r="G68" s="337">
        <f t="shared" si="8"/>
        <v>65.02463054187191</v>
      </c>
      <c r="H68" s="337">
        <f t="shared" si="9"/>
        <v>70.34883720930233</v>
      </c>
      <c r="I68" s="337">
        <f t="shared" si="10"/>
        <v>65.28205128205128</v>
      </c>
      <c r="J68" s="337">
        <f t="shared" si="11"/>
        <v>64.1304347826087</v>
      </c>
      <c r="K68" s="337">
        <f t="shared" si="12"/>
        <v>95.23076923076923</v>
      </c>
      <c r="L68" s="338">
        <f t="shared" si="13"/>
        <v>97.87234042553192</v>
      </c>
      <c r="M68" s="339">
        <f aca="true" t="shared" si="24" ref="M68:M119">(B7+C7+D7+E7+F7+G7+H7+I7+J7+K7+L7)/$M$63</f>
        <v>73.66108452950559</v>
      </c>
      <c r="N68" s="340">
        <f t="shared" si="14"/>
        <v>61.5</v>
      </c>
      <c r="O68" s="337">
        <f t="shared" si="15"/>
        <v>85.45</v>
      </c>
      <c r="P68" s="337">
        <f t="shared" si="16"/>
        <v>74.42857142857143</v>
      </c>
      <c r="Q68" s="337">
        <f t="shared" si="17"/>
        <v>60.625</v>
      </c>
      <c r="R68" s="337">
        <f t="shared" si="18"/>
        <v>100.70422535211267</v>
      </c>
      <c r="S68" s="337">
        <f t="shared" si="19"/>
        <v>57.49333333333333</v>
      </c>
      <c r="T68" s="337">
        <f t="shared" si="20"/>
        <v>44</v>
      </c>
      <c r="U68" s="337">
        <f t="shared" si="21"/>
        <v>87.60344827586206</v>
      </c>
      <c r="V68" s="337">
        <f t="shared" si="22"/>
        <v>66.125</v>
      </c>
      <c r="W68" s="341">
        <f t="shared" si="23"/>
        <v>73.98622273249138</v>
      </c>
    </row>
    <row r="69" spans="1:23" ht="19.5" customHeight="1">
      <c r="A69" s="276" t="s">
        <v>68</v>
      </c>
      <c r="B69" s="336">
        <f t="shared" si="3"/>
        <v>0</v>
      </c>
      <c r="C69" s="337">
        <f t="shared" si="4"/>
        <v>0.35398230088495575</v>
      </c>
      <c r="D69" s="337">
        <f t="shared" si="5"/>
        <v>0.7083333333333334</v>
      </c>
      <c r="E69" s="337">
        <f t="shared" si="6"/>
        <v>1</v>
      </c>
      <c r="F69" s="337">
        <f t="shared" si="7"/>
        <v>0.5072463768115942</v>
      </c>
      <c r="G69" s="337">
        <f t="shared" si="8"/>
        <v>0.019704433497536946</v>
      </c>
      <c r="H69" s="337">
        <f t="shared" si="9"/>
        <v>0.0872093023255814</v>
      </c>
      <c r="I69" s="337">
        <f t="shared" si="10"/>
        <v>0</v>
      </c>
      <c r="J69" s="337">
        <f t="shared" si="11"/>
        <v>0.7608695652173914</v>
      </c>
      <c r="K69" s="337">
        <f t="shared" si="12"/>
        <v>0.015384615384615385</v>
      </c>
      <c r="L69" s="338">
        <f t="shared" si="13"/>
        <v>0</v>
      </c>
      <c r="M69" s="339">
        <f t="shared" si="24"/>
        <v>0.215311004784689</v>
      </c>
      <c r="N69" s="340">
        <f t="shared" si="14"/>
        <v>3.2</v>
      </c>
      <c r="O69" s="337">
        <f t="shared" si="15"/>
        <v>0</v>
      </c>
      <c r="P69" s="337">
        <f t="shared" si="16"/>
        <v>0.02857142857142857</v>
      </c>
      <c r="Q69" s="337">
        <f t="shared" si="17"/>
        <v>0</v>
      </c>
      <c r="R69" s="337">
        <f t="shared" si="18"/>
        <v>0.1056338028169014</v>
      </c>
      <c r="S69" s="337">
        <f t="shared" si="19"/>
        <v>2.3333333333333335</v>
      </c>
      <c r="T69" s="337">
        <f t="shared" si="20"/>
        <v>0</v>
      </c>
      <c r="U69" s="337">
        <f t="shared" si="21"/>
        <v>0</v>
      </c>
      <c r="V69" s="337">
        <f t="shared" si="22"/>
        <v>0.25</v>
      </c>
      <c r="W69" s="341">
        <f t="shared" si="23"/>
        <v>0.6107921928817451</v>
      </c>
    </row>
    <row r="70" spans="1:23" ht="19.5" customHeight="1">
      <c r="A70" s="276" t="s">
        <v>69</v>
      </c>
      <c r="B70" s="336">
        <f t="shared" si="3"/>
        <v>26.455882352941178</v>
      </c>
      <c r="C70" s="337">
        <f t="shared" si="4"/>
        <v>4.654867256637168</v>
      </c>
      <c r="D70" s="337">
        <f t="shared" si="5"/>
        <v>1.0416666666666667</v>
      </c>
      <c r="E70" s="337">
        <f t="shared" si="6"/>
        <v>10</v>
      </c>
      <c r="F70" s="337">
        <f t="shared" si="7"/>
        <v>26.08695652173913</v>
      </c>
      <c r="G70" s="337">
        <f t="shared" si="8"/>
        <v>7.142857142857143</v>
      </c>
      <c r="H70" s="337">
        <f t="shared" si="9"/>
        <v>9.30232558139535</v>
      </c>
      <c r="I70" s="337">
        <f t="shared" si="10"/>
        <v>12.24102564102564</v>
      </c>
      <c r="J70" s="337">
        <f t="shared" si="11"/>
        <v>9.782608695652174</v>
      </c>
      <c r="K70" s="337">
        <f t="shared" si="12"/>
        <v>13.076923076923077</v>
      </c>
      <c r="L70" s="338">
        <f t="shared" si="13"/>
        <v>16.595744680851062</v>
      </c>
      <c r="M70" s="339">
        <f t="shared" si="24"/>
        <v>11.54066985645933</v>
      </c>
      <c r="N70" s="340">
        <f t="shared" si="14"/>
        <v>0.02</v>
      </c>
      <c r="O70" s="337">
        <f t="shared" si="15"/>
        <v>4.166666666666667</v>
      </c>
      <c r="P70" s="337">
        <f t="shared" si="16"/>
        <v>9.142857142857142</v>
      </c>
      <c r="Q70" s="337">
        <f t="shared" si="17"/>
        <v>9.75</v>
      </c>
      <c r="R70" s="337">
        <f t="shared" si="18"/>
        <v>23.591549295774648</v>
      </c>
      <c r="S70" s="337">
        <f t="shared" si="19"/>
        <v>15.2</v>
      </c>
      <c r="T70" s="337">
        <f t="shared" si="20"/>
        <v>7.222222222222222</v>
      </c>
      <c r="U70" s="337">
        <f t="shared" si="21"/>
        <v>55.89655172413793</v>
      </c>
      <c r="V70" s="337">
        <f t="shared" si="22"/>
        <v>1.8</v>
      </c>
      <c r="W70" s="341">
        <f t="shared" si="23"/>
        <v>19.152698048220437</v>
      </c>
    </row>
    <row r="71" spans="1:23" ht="19.5" customHeight="1">
      <c r="A71" s="276" t="s">
        <v>70</v>
      </c>
      <c r="B71" s="336">
        <f t="shared" si="3"/>
        <v>4.161764705882353</v>
      </c>
      <c r="C71" s="337">
        <f t="shared" si="4"/>
        <v>0</v>
      </c>
      <c r="D71" s="337">
        <f t="shared" si="5"/>
        <v>3.125</v>
      </c>
      <c r="E71" s="337">
        <f t="shared" si="6"/>
        <v>3</v>
      </c>
      <c r="F71" s="337">
        <f t="shared" si="7"/>
        <v>2.753623188405797</v>
      </c>
      <c r="G71" s="337">
        <f t="shared" si="8"/>
        <v>2.561576354679803</v>
      </c>
      <c r="H71" s="337">
        <f t="shared" si="9"/>
        <v>2.4709302325581395</v>
      </c>
      <c r="I71" s="337">
        <f t="shared" si="10"/>
        <v>2.405128205128205</v>
      </c>
      <c r="J71" s="337">
        <f t="shared" si="11"/>
        <v>8.804347826086957</v>
      </c>
      <c r="K71" s="337">
        <f t="shared" si="12"/>
        <v>3.8461538461538463</v>
      </c>
      <c r="L71" s="338">
        <f t="shared" si="13"/>
        <v>14.893617021276595</v>
      </c>
      <c r="M71" s="339">
        <f t="shared" si="24"/>
        <v>3.952950558213716</v>
      </c>
      <c r="N71" s="340">
        <f t="shared" si="14"/>
        <v>2.55</v>
      </c>
      <c r="O71" s="337">
        <f t="shared" si="15"/>
        <v>7.5</v>
      </c>
      <c r="P71" s="337">
        <f t="shared" si="16"/>
        <v>2.2857142857142856</v>
      </c>
      <c r="Q71" s="337">
        <f t="shared" si="17"/>
        <v>4.125</v>
      </c>
      <c r="R71" s="337">
        <f t="shared" si="18"/>
        <v>5.422535211267606</v>
      </c>
      <c r="S71" s="337">
        <f t="shared" si="19"/>
        <v>3.466666666666667</v>
      </c>
      <c r="T71" s="337">
        <f t="shared" si="20"/>
        <v>2.2222222222222223</v>
      </c>
      <c r="U71" s="337">
        <f t="shared" si="21"/>
        <v>3.281609195402299</v>
      </c>
      <c r="V71" s="337">
        <f t="shared" si="22"/>
        <v>0</v>
      </c>
      <c r="W71" s="341">
        <f t="shared" si="23"/>
        <v>3.4397244546498276</v>
      </c>
    </row>
    <row r="72" spans="1:23" ht="19.5" customHeight="1">
      <c r="A72" s="276" t="s">
        <v>71</v>
      </c>
      <c r="B72" s="336">
        <f t="shared" si="3"/>
        <v>0</v>
      </c>
      <c r="C72" s="337">
        <f t="shared" si="4"/>
        <v>0.26548672566371684</v>
      </c>
      <c r="D72" s="337">
        <f t="shared" si="5"/>
        <v>0</v>
      </c>
      <c r="E72" s="337">
        <f t="shared" si="6"/>
        <v>0.14285714285714285</v>
      </c>
      <c r="F72" s="337">
        <f t="shared" si="7"/>
        <v>0.07246376811594203</v>
      </c>
      <c r="G72" s="337">
        <f t="shared" si="8"/>
        <v>1.0492610837438423</v>
      </c>
      <c r="H72" s="337">
        <f t="shared" si="9"/>
        <v>0</v>
      </c>
      <c r="I72" s="337">
        <f t="shared" si="10"/>
        <v>0</v>
      </c>
      <c r="J72" s="337">
        <f t="shared" si="11"/>
        <v>0</v>
      </c>
      <c r="K72" s="337">
        <f t="shared" si="12"/>
        <v>0.07692307692307693</v>
      </c>
      <c r="L72" s="338">
        <f t="shared" si="13"/>
        <v>0</v>
      </c>
      <c r="M72" s="339">
        <f t="shared" si="24"/>
        <v>0.21371610845295055</v>
      </c>
      <c r="N72" s="340">
        <f t="shared" si="14"/>
        <v>0</v>
      </c>
      <c r="O72" s="337">
        <f t="shared" si="15"/>
        <v>0</v>
      </c>
      <c r="P72" s="337">
        <f t="shared" si="16"/>
        <v>0</v>
      </c>
      <c r="Q72" s="337">
        <f t="shared" si="17"/>
        <v>0</v>
      </c>
      <c r="R72" s="337">
        <f t="shared" si="18"/>
        <v>0.14084507042253522</v>
      </c>
      <c r="S72" s="337">
        <f t="shared" si="19"/>
        <v>1.8266666666666667</v>
      </c>
      <c r="T72" s="337">
        <f t="shared" si="20"/>
        <v>0</v>
      </c>
      <c r="U72" s="337">
        <f t="shared" si="21"/>
        <v>7.913793103448276</v>
      </c>
      <c r="V72" s="337">
        <f t="shared" si="22"/>
        <v>0.15</v>
      </c>
      <c r="W72" s="341">
        <f t="shared" si="23"/>
        <v>1.774971297359357</v>
      </c>
    </row>
    <row r="73" spans="1:23" ht="28.5" customHeight="1">
      <c r="A73" s="283" t="s">
        <v>72</v>
      </c>
      <c r="B73" s="336">
        <f t="shared" si="3"/>
        <v>0</v>
      </c>
      <c r="C73" s="337">
        <f t="shared" si="4"/>
        <v>0</v>
      </c>
      <c r="D73" s="337">
        <f t="shared" si="5"/>
        <v>0</v>
      </c>
      <c r="E73" s="337">
        <f t="shared" si="6"/>
        <v>0</v>
      </c>
      <c r="F73" s="337">
        <f t="shared" si="7"/>
        <v>0</v>
      </c>
      <c r="G73" s="337">
        <f t="shared" si="8"/>
        <v>0</v>
      </c>
      <c r="H73" s="337">
        <f t="shared" si="9"/>
        <v>0</v>
      </c>
      <c r="I73" s="337">
        <f t="shared" si="10"/>
        <v>0</v>
      </c>
      <c r="J73" s="337">
        <f t="shared" si="11"/>
        <v>0</v>
      </c>
      <c r="K73" s="337">
        <f t="shared" si="12"/>
        <v>0</v>
      </c>
      <c r="L73" s="338">
        <f t="shared" si="13"/>
        <v>0</v>
      </c>
      <c r="M73" s="339">
        <f t="shared" si="24"/>
        <v>0</v>
      </c>
      <c r="N73" s="340">
        <f t="shared" si="14"/>
        <v>0</v>
      </c>
      <c r="O73" s="337">
        <f t="shared" si="15"/>
        <v>0</v>
      </c>
      <c r="P73" s="337">
        <f t="shared" si="16"/>
        <v>0</v>
      </c>
      <c r="Q73" s="337">
        <f t="shared" si="17"/>
        <v>0</v>
      </c>
      <c r="R73" s="337">
        <f t="shared" si="18"/>
        <v>0</v>
      </c>
      <c r="S73" s="337">
        <f t="shared" si="19"/>
        <v>0</v>
      </c>
      <c r="T73" s="337">
        <f t="shared" si="20"/>
        <v>0</v>
      </c>
      <c r="U73" s="337">
        <f t="shared" si="21"/>
        <v>0.3505747126436782</v>
      </c>
      <c r="V73" s="337">
        <f t="shared" si="22"/>
        <v>0.025</v>
      </c>
      <c r="W73" s="341">
        <f t="shared" si="23"/>
        <v>0.07233065442020666</v>
      </c>
    </row>
    <row r="74" spans="1:23" ht="19.5" customHeight="1">
      <c r="A74" s="283" t="s">
        <v>73</v>
      </c>
      <c r="B74" s="336">
        <f t="shared" si="3"/>
        <v>0</v>
      </c>
      <c r="C74" s="337">
        <f t="shared" si="4"/>
        <v>0</v>
      </c>
      <c r="D74" s="337">
        <f t="shared" si="5"/>
        <v>0</v>
      </c>
      <c r="E74" s="337">
        <f t="shared" si="6"/>
        <v>0</v>
      </c>
      <c r="F74" s="337">
        <f t="shared" si="7"/>
        <v>0</v>
      </c>
      <c r="G74" s="337">
        <f t="shared" si="8"/>
        <v>0</v>
      </c>
      <c r="H74" s="337">
        <f t="shared" si="9"/>
        <v>0</v>
      </c>
      <c r="I74" s="337">
        <f t="shared" si="10"/>
        <v>0</v>
      </c>
      <c r="J74" s="337">
        <f t="shared" si="11"/>
        <v>0</v>
      </c>
      <c r="K74" s="337">
        <f t="shared" si="12"/>
        <v>0</v>
      </c>
      <c r="L74" s="338">
        <f t="shared" si="13"/>
        <v>0</v>
      </c>
      <c r="M74" s="339">
        <f t="shared" si="24"/>
        <v>0</v>
      </c>
      <c r="N74" s="340">
        <f t="shared" si="14"/>
        <v>0</v>
      </c>
      <c r="O74" s="337">
        <f t="shared" si="15"/>
        <v>0</v>
      </c>
      <c r="P74" s="337">
        <f t="shared" si="16"/>
        <v>0</v>
      </c>
      <c r="Q74" s="337">
        <f t="shared" si="17"/>
        <v>0</v>
      </c>
      <c r="R74" s="337">
        <f t="shared" si="18"/>
        <v>0</v>
      </c>
      <c r="S74" s="337">
        <f t="shared" si="19"/>
        <v>0</v>
      </c>
      <c r="T74" s="337">
        <f t="shared" si="20"/>
        <v>0</v>
      </c>
      <c r="U74" s="337">
        <f t="shared" si="21"/>
        <v>0</v>
      </c>
      <c r="V74" s="337">
        <f t="shared" si="22"/>
        <v>0</v>
      </c>
      <c r="W74" s="341">
        <f t="shared" si="23"/>
        <v>0</v>
      </c>
    </row>
    <row r="75" spans="1:23" ht="19.5" customHeight="1">
      <c r="A75" s="283" t="s">
        <v>74</v>
      </c>
      <c r="B75" s="336">
        <f t="shared" si="3"/>
        <v>0.16176470588235295</v>
      </c>
      <c r="C75" s="337">
        <f t="shared" si="4"/>
        <v>0.26548672566371684</v>
      </c>
      <c r="D75" s="337">
        <f t="shared" si="5"/>
        <v>4.166666666666667</v>
      </c>
      <c r="E75" s="337">
        <f t="shared" si="6"/>
        <v>4.0285714285714285</v>
      </c>
      <c r="F75" s="337">
        <f t="shared" si="7"/>
        <v>4.202898550724638</v>
      </c>
      <c r="G75" s="337">
        <f t="shared" si="8"/>
        <v>0.24630541871921183</v>
      </c>
      <c r="H75" s="337">
        <f t="shared" si="9"/>
        <v>0.5813953488372093</v>
      </c>
      <c r="I75" s="337">
        <f t="shared" si="10"/>
        <v>0.5641025641025641</v>
      </c>
      <c r="J75" s="337">
        <f t="shared" si="11"/>
        <v>3.6956521739130435</v>
      </c>
      <c r="K75" s="337">
        <f t="shared" si="12"/>
        <v>15.353846153846154</v>
      </c>
      <c r="L75" s="338">
        <f t="shared" si="13"/>
        <v>11.170212765957446</v>
      </c>
      <c r="M75" s="339">
        <f t="shared" si="24"/>
        <v>3.555821371610845</v>
      </c>
      <c r="N75" s="340">
        <f t="shared" si="14"/>
        <v>2.38</v>
      </c>
      <c r="O75" s="337">
        <f t="shared" si="15"/>
        <v>16.866666666666667</v>
      </c>
      <c r="P75" s="337">
        <f t="shared" si="16"/>
        <v>1.3714285714285714</v>
      </c>
      <c r="Q75" s="337">
        <f t="shared" si="17"/>
        <v>8.5</v>
      </c>
      <c r="R75" s="337">
        <f t="shared" si="18"/>
        <v>4.992957746478873</v>
      </c>
      <c r="S75" s="337">
        <f t="shared" si="19"/>
        <v>2.6666666666666665</v>
      </c>
      <c r="T75" s="337">
        <f t="shared" si="20"/>
        <v>2.4</v>
      </c>
      <c r="U75" s="337">
        <f t="shared" si="21"/>
        <v>5.166666666666667</v>
      </c>
      <c r="V75" s="337">
        <f t="shared" si="22"/>
        <v>1.1</v>
      </c>
      <c r="W75" s="341">
        <f t="shared" si="23"/>
        <v>4.7508610792192885</v>
      </c>
    </row>
    <row r="76" spans="1:23" ht="19.5" customHeight="1">
      <c r="A76" s="283" t="s">
        <v>75</v>
      </c>
      <c r="B76" s="336">
        <f t="shared" si="3"/>
        <v>0</v>
      </c>
      <c r="C76" s="337">
        <f t="shared" si="4"/>
        <v>0</v>
      </c>
      <c r="D76" s="337">
        <f t="shared" si="5"/>
        <v>4.166666666666667</v>
      </c>
      <c r="E76" s="337">
        <f t="shared" si="6"/>
        <v>3.914285714285714</v>
      </c>
      <c r="F76" s="337">
        <f t="shared" si="7"/>
        <v>3.6231884057971016</v>
      </c>
      <c r="G76" s="337">
        <f t="shared" si="8"/>
        <v>0.1477832512315271</v>
      </c>
      <c r="H76" s="337">
        <f t="shared" si="9"/>
        <v>0.5232558139534884</v>
      </c>
      <c r="I76" s="337">
        <f t="shared" si="10"/>
        <v>0.3076923076923077</v>
      </c>
      <c r="J76" s="337">
        <f t="shared" si="11"/>
        <v>2.1739130434782608</v>
      </c>
      <c r="K76" s="337">
        <f t="shared" si="12"/>
        <v>15.353846153846154</v>
      </c>
      <c r="L76" s="338">
        <f t="shared" si="13"/>
        <v>11.063829787234043</v>
      </c>
      <c r="M76" s="339">
        <f t="shared" si="24"/>
        <v>3.3014354066985647</v>
      </c>
      <c r="N76" s="340">
        <f t="shared" si="14"/>
        <v>0</v>
      </c>
      <c r="O76" s="337">
        <f t="shared" si="15"/>
        <v>16.866666666666667</v>
      </c>
      <c r="P76" s="337">
        <f t="shared" si="16"/>
        <v>1.3714285714285714</v>
      </c>
      <c r="Q76" s="337">
        <f t="shared" si="17"/>
        <v>8.25</v>
      </c>
      <c r="R76" s="337">
        <f t="shared" si="18"/>
        <v>4.640845070422535</v>
      </c>
      <c r="S76" s="337">
        <f t="shared" si="19"/>
        <v>2.6666666666666665</v>
      </c>
      <c r="T76" s="337">
        <f t="shared" si="20"/>
        <v>2.4</v>
      </c>
      <c r="U76" s="337">
        <f t="shared" si="21"/>
        <v>1.1781609195402298</v>
      </c>
      <c r="V76" s="337">
        <f t="shared" si="22"/>
        <v>1.1</v>
      </c>
      <c r="W76" s="341">
        <f t="shared" si="23"/>
        <v>3.6004592422502872</v>
      </c>
    </row>
    <row r="77" spans="1:23" ht="19.5" customHeight="1">
      <c r="A77" s="283" t="s">
        <v>76</v>
      </c>
      <c r="B77" s="336">
        <f t="shared" si="3"/>
        <v>0</v>
      </c>
      <c r="C77" s="337">
        <f t="shared" si="4"/>
        <v>0</v>
      </c>
      <c r="D77" s="337">
        <f t="shared" si="5"/>
        <v>0</v>
      </c>
      <c r="E77" s="337">
        <f t="shared" si="6"/>
        <v>0</v>
      </c>
      <c r="F77" s="337">
        <f t="shared" si="7"/>
        <v>0</v>
      </c>
      <c r="G77" s="337">
        <f t="shared" si="8"/>
        <v>0</v>
      </c>
      <c r="H77" s="337">
        <f t="shared" si="9"/>
        <v>0</v>
      </c>
      <c r="I77" s="337">
        <f t="shared" si="10"/>
        <v>0</v>
      </c>
      <c r="J77" s="337">
        <f t="shared" si="11"/>
        <v>0</v>
      </c>
      <c r="K77" s="337">
        <f t="shared" si="12"/>
        <v>0</v>
      </c>
      <c r="L77" s="338">
        <f t="shared" si="13"/>
        <v>0</v>
      </c>
      <c r="M77" s="339">
        <f t="shared" si="24"/>
        <v>0</v>
      </c>
      <c r="N77" s="340">
        <f t="shared" si="14"/>
        <v>0</v>
      </c>
      <c r="O77" s="337">
        <f t="shared" si="15"/>
        <v>0</v>
      </c>
      <c r="P77" s="337">
        <f t="shared" si="16"/>
        <v>0</v>
      </c>
      <c r="Q77" s="337">
        <f t="shared" si="17"/>
        <v>0</v>
      </c>
      <c r="R77" s="337">
        <f t="shared" si="18"/>
        <v>0</v>
      </c>
      <c r="S77" s="337">
        <f t="shared" si="19"/>
        <v>0</v>
      </c>
      <c r="T77" s="337">
        <f t="shared" si="20"/>
        <v>0</v>
      </c>
      <c r="U77" s="337">
        <f t="shared" si="21"/>
        <v>0</v>
      </c>
      <c r="V77" s="337">
        <f t="shared" si="22"/>
        <v>0</v>
      </c>
      <c r="W77" s="341">
        <f t="shared" si="23"/>
        <v>0</v>
      </c>
    </row>
    <row r="78" spans="1:23" ht="19.5" customHeight="1">
      <c r="A78" s="283" t="s">
        <v>77</v>
      </c>
      <c r="B78" s="336">
        <f t="shared" si="3"/>
        <v>0</v>
      </c>
      <c r="C78" s="337">
        <f t="shared" si="4"/>
        <v>0</v>
      </c>
      <c r="D78" s="337">
        <f t="shared" si="5"/>
        <v>0</v>
      </c>
      <c r="E78" s="337">
        <f t="shared" si="6"/>
        <v>0</v>
      </c>
      <c r="F78" s="337">
        <f t="shared" si="7"/>
        <v>0</v>
      </c>
      <c r="G78" s="337">
        <f t="shared" si="8"/>
        <v>0</v>
      </c>
      <c r="H78" s="337">
        <f t="shared" si="9"/>
        <v>0</v>
      </c>
      <c r="I78" s="337">
        <f t="shared" si="10"/>
        <v>0</v>
      </c>
      <c r="J78" s="337">
        <f t="shared" si="11"/>
        <v>0</v>
      </c>
      <c r="K78" s="337">
        <f t="shared" si="12"/>
        <v>0</v>
      </c>
      <c r="L78" s="338">
        <f t="shared" si="13"/>
        <v>0</v>
      </c>
      <c r="M78" s="339">
        <f t="shared" si="24"/>
        <v>0</v>
      </c>
      <c r="N78" s="340">
        <f t="shared" si="14"/>
        <v>0</v>
      </c>
      <c r="O78" s="337">
        <f t="shared" si="15"/>
        <v>0</v>
      </c>
      <c r="P78" s="337">
        <f t="shared" si="16"/>
        <v>0</v>
      </c>
      <c r="Q78" s="337">
        <f t="shared" si="17"/>
        <v>0</v>
      </c>
      <c r="R78" s="337">
        <f t="shared" si="18"/>
        <v>0</v>
      </c>
      <c r="S78" s="337">
        <f t="shared" si="19"/>
        <v>0</v>
      </c>
      <c r="T78" s="337">
        <f t="shared" si="20"/>
        <v>0</v>
      </c>
      <c r="U78" s="337">
        <f t="shared" si="21"/>
        <v>0</v>
      </c>
      <c r="V78" s="337">
        <f t="shared" si="22"/>
        <v>0</v>
      </c>
      <c r="W78" s="341">
        <f t="shared" si="23"/>
        <v>0</v>
      </c>
    </row>
    <row r="79" spans="1:23" ht="19.5" customHeight="1">
      <c r="A79" s="283" t="s">
        <v>78</v>
      </c>
      <c r="B79" s="336">
        <f t="shared" si="3"/>
        <v>0</v>
      </c>
      <c r="C79" s="337">
        <f t="shared" si="4"/>
        <v>0</v>
      </c>
      <c r="D79" s="337">
        <f t="shared" si="5"/>
        <v>0</v>
      </c>
      <c r="E79" s="337">
        <f t="shared" si="6"/>
        <v>0</v>
      </c>
      <c r="F79" s="337">
        <f t="shared" si="7"/>
        <v>0.014492753623188406</v>
      </c>
      <c r="G79" s="337">
        <f t="shared" si="8"/>
        <v>0</v>
      </c>
      <c r="H79" s="337">
        <f t="shared" si="9"/>
        <v>0.01744186046511628</v>
      </c>
      <c r="I79" s="337">
        <f t="shared" si="10"/>
        <v>0</v>
      </c>
      <c r="J79" s="337">
        <f t="shared" si="11"/>
        <v>0</v>
      </c>
      <c r="K79" s="337">
        <f t="shared" si="12"/>
        <v>0</v>
      </c>
      <c r="L79" s="338">
        <f t="shared" si="13"/>
        <v>0.3191489361702128</v>
      </c>
      <c r="M79" s="339">
        <f t="shared" si="24"/>
        <v>0.02711323763955343</v>
      </c>
      <c r="N79" s="340">
        <f t="shared" si="14"/>
        <v>0</v>
      </c>
      <c r="O79" s="337">
        <f t="shared" si="15"/>
        <v>0</v>
      </c>
      <c r="P79" s="337">
        <f t="shared" si="16"/>
        <v>0</v>
      </c>
      <c r="Q79" s="337">
        <f t="shared" si="17"/>
        <v>0</v>
      </c>
      <c r="R79" s="337">
        <f t="shared" si="18"/>
        <v>0</v>
      </c>
      <c r="S79" s="337">
        <f t="shared" si="19"/>
        <v>0</v>
      </c>
      <c r="T79" s="337">
        <f t="shared" si="20"/>
        <v>0</v>
      </c>
      <c r="U79" s="337">
        <f t="shared" si="21"/>
        <v>0.034482758620689655</v>
      </c>
      <c r="V79" s="337">
        <f t="shared" si="22"/>
        <v>0</v>
      </c>
      <c r="W79" s="341">
        <f t="shared" si="23"/>
        <v>0.006888633754305396</v>
      </c>
    </row>
    <row r="80" spans="1:23" ht="24.75" customHeight="1">
      <c r="A80" s="283" t="s">
        <v>79</v>
      </c>
      <c r="B80" s="336">
        <f t="shared" si="3"/>
        <v>0</v>
      </c>
      <c r="C80" s="337">
        <f t="shared" si="4"/>
        <v>0</v>
      </c>
      <c r="D80" s="337">
        <f t="shared" si="5"/>
        <v>0</v>
      </c>
      <c r="E80" s="337">
        <f t="shared" si="6"/>
        <v>0</v>
      </c>
      <c r="F80" s="337">
        <f t="shared" si="7"/>
        <v>0</v>
      </c>
      <c r="G80" s="337">
        <f t="shared" si="8"/>
        <v>0</v>
      </c>
      <c r="H80" s="337">
        <f t="shared" si="9"/>
        <v>0</v>
      </c>
      <c r="I80" s="337">
        <f t="shared" si="10"/>
        <v>0</v>
      </c>
      <c r="J80" s="337">
        <f t="shared" si="11"/>
        <v>0</v>
      </c>
      <c r="K80" s="337">
        <f t="shared" si="12"/>
        <v>0</v>
      </c>
      <c r="L80" s="338">
        <f t="shared" si="13"/>
        <v>0</v>
      </c>
      <c r="M80" s="339">
        <f t="shared" si="24"/>
        <v>0</v>
      </c>
      <c r="N80" s="340">
        <f t="shared" si="14"/>
        <v>0</v>
      </c>
      <c r="O80" s="337">
        <f t="shared" si="15"/>
        <v>0</v>
      </c>
      <c r="P80" s="337">
        <f t="shared" si="16"/>
        <v>0</v>
      </c>
      <c r="Q80" s="337">
        <f t="shared" si="17"/>
        <v>0</v>
      </c>
      <c r="R80" s="337">
        <f t="shared" si="18"/>
        <v>0</v>
      </c>
      <c r="S80" s="337">
        <f t="shared" si="19"/>
        <v>0</v>
      </c>
      <c r="T80" s="337">
        <f t="shared" si="20"/>
        <v>0</v>
      </c>
      <c r="U80" s="337">
        <f t="shared" si="21"/>
        <v>0</v>
      </c>
      <c r="V80" s="337">
        <f t="shared" si="22"/>
        <v>0</v>
      </c>
      <c r="W80" s="341">
        <f t="shared" si="23"/>
        <v>0</v>
      </c>
    </row>
    <row r="81" spans="1:23" ht="19.5" customHeight="1">
      <c r="A81" s="283" t="s">
        <v>80</v>
      </c>
      <c r="B81" s="336">
        <f t="shared" si="3"/>
        <v>81.27941176470588</v>
      </c>
      <c r="C81" s="337">
        <f t="shared" si="4"/>
        <v>63.50442477876106</v>
      </c>
      <c r="D81" s="337">
        <f t="shared" si="5"/>
        <v>67.9375</v>
      </c>
      <c r="E81" s="337">
        <f t="shared" si="6"/>
        <v>69.08571428571429</v>
      </c>
      <c r="F81" s="337">
        <f t="shared" si="7"/>
        <v>85.10144927536231</v>
      </c>
      <c r="G81" s="337">
        <f t="shared" si="8"/>
        <v>55.44827586206897</v>
      </c>
      <c r="H81" s="337">
        <f t="shared" si="9"/>
        <v>81.46511627906976</v>
      </c>
      <c r="I81" s="337">
        <f t="shared" si="10"/>
        <v>75.26666666666667</v>
      </c>
      <c r="J81" s="337">
        <f t="shared" si="11"/>
        <v>84.3695652173913</v>
      </c>
      <c r="K81" s="337">
        <f t="shared" si="12"/>
        <v>80.46923076923076</v>
      </c>
      <c r="L81" s="338">
        <f t="shared" si="13"/>
        <v>112.17021276595744</v>
      </c>
      <c r="M81" s="339">
        <f t="shared" si="24"/>
        <v>76.06379585326954</v>
      </c>
      <c r="N81" s="340">
        <f t="shared" si="14"/>
        <v>104.04</v>
      </c>
      <c r="O81" s="337">
        <f t="shared" si="15"/>
        <v>123.35</v>
      </c>
      <c r="P81" s="337">
        <f t="shared" si="16"/>
        <v>143.5142857142857</v>
      </c>
      <c r="Q81" s="337">
        <f t="shared" si="17"/>
        <v>104.3875</v>
      </c>
      <c r="R81" s="337">
        <f t="shared" si="18"/>
        <v>88.05633802816901</v>
      </c>
      <c r="S81" s="337">
        <f t="shared" si="19"/>
        <v>132.42666666666668</v>
      </c>
      <c r="T81" s="337">
        <f t="shared" si="20"/>
        <v>139.56666666666666</v>
      </c>
      <c r="U81" s="337">
        <f t="shared" si="21"/>
        <v>169.1551724137931</v>
      </c>
      <c r="V81" s="337">
        <f t="shared" si="22"/>
        <v>112.85</v>
      </c>
      <c r="W81" s="341">
        <f t="shared" si="23"/>
        <v>125.90126291618829</v>
      </c>
    </row>
    <row r="82" spans="1:23" ht="24.75" customHeight="1">
      <c r="A82" s="283" t="s">
        <v>81</v>
      </c>
      <c r="B82" s="336">
        <f t="shared" si="3"/>
        <v>14.808823529411764</v>
      </c>
      <c r="C82" s="337">
        <f t="shared" si="4"/>
        <v>17.504424778761063</v>
      </c>
      <c r="D82" s="337">
        <f t="shared" si="5"/>
        <v>14.8125</v>
      </c>
      <c r="E82" s="337">
        <f t="shared" si="6"/>
        <v>14.8</v>
      </c>
      <c r="F82" s="337">
        <f t="shared" si="7"/>
        <v>14.81159420289855</v>
      </c>
      <c r="G82" s="337">
        <f t="shared" si="8"/>
        <v>14.807881773399014</v>
      </c>
      <c r="H82" s="337">
        <f t="shared" si="9"/>
        <v>14.80813953488372</v>
      </c>
      <c r="I82" s="337">
        <f t="shared" si="10"/>
        <v>14.805128205128206</v>
      </c>
      <c r="J82" s="337">
        <f t="shared" si="11"/>
        <v>14.804347826086957</v>
      </c>
      <c r="K82" s="337">
        <f t="shared" si="12"/>
        <v>14.807692307692308</v>
      </c>
      <c r="L82" s="338">
        <f t="shared" si="13"/>
        <v>15.574468085106384</v>
      </c>
      <c r="M82" s="339">
        <f t="shared" si="24"/>
        <v>15.107655502392344</v>
      </c>
      <c r="N82" s="340">
        <f t="shared" si="14"/>
        <v>17.5</v>
      </c>
      <c r="O82" s="337">
        <f t="shared" si="15"/>
        <v>17.5</v>
      </c>
      <c r="P82" s="337">
        <f t="shared" si="16"/>
        <v>17.514285714285716</v>
      </c>
      <c r="Q82" s="337">
        <f t="shared" si="17"/>
        <v>17.5125</v>
      </c>
      <c r="R82" s="337">
        <f t="shared" si="18"/>
        <v>20.098591549295776</v>
      </c>
      <c r="S82" s="337">
        <f t="shared" si="19"/>
        <v>16.8</v>
      </c>
      <c r="T82" s="337">
        <f t="shared" si="20"/>
        <v>17.511111111111113</v>
      </c>
      <c r="U82" s="337">
        <f t="shared" si="21"/>
        <v>19.873563218390803</v>
      </c>
      <c r="V82" s="337">
        <f t="shared" si="22"/>
        <v>17.5125</v>
      </c>
      <c r="W82" s="341">
        <f t="shared" si="23"/>
        <v>18.342135476463834</v>
      </c>
    </row>
    <row r="83" spans="1:23" ht="19.5" customHeight="1">
      <c r="A83" s="283" t="s">
        <v>82</v>
      </c>
      <c r="B83" s="336">
        <f t="shared" si="3"/>
        <v>66.47058823529412</v>
      </c>
      <c r="C83" s="337">
        <f t="shared" si="4"/>
        <v>46</v>
      </c>
      <c r="D83" s="337">
        <f t="shared" si="5"/>
        <v>53.125</v>
      </c>
      <c r="E83" s="337">
        <f t="shared" si="6"/>
        <v>54.285714285714285</v>
      </c>
      <c r="F83" s="337">
        <f t="shared" si="7"/>
        <v>70.28985507246377</v>
      </c>
      <c r="G83" s="337">
        <f t="shared" si="8"/>
        <v>40.64039408866995</v>
      </c>
      <c r="H83" s="337">
        <f t="shared" si="9"/>
        <v>66.65697674418605</v>
      </c>
      <c r="I83" s="337">
        <f t="shared" si="10"/>
        <v>60.46153846153846</v>
      </c>
      <c r="J83" s="337">
        <f t="shared" si="11"/>
        <v>69.56521739130434</v>
      </c>
      <c r="K83" s="337">
        <f t="shared" si="12"/>
        <v>65.66153846153846</v>
      </c>
      <c r="L83" s="338">
        <f t="shared" si="13"/>
        <v>96.59574468085107</v>
      </c>
      <c r="M83" s="339">
        <f t="shared" si="24"/>
        <v>60.95614035087719</v>
      </c>
      <c r="N83" s="340">
        <f t="shared" si="14"/>
        <v>86.54</v>
      </c>
      <c r="O83" s="337">
        <f t="shared" si="15"/>
        <v>105.83333333333333</v>
      </c>
      <c r="P83" s="337">
        <f t="shared" si="16"/>
        <v>126</v>
      </c>
      <c r="Q83" s="337">
        <f t="shared" si="17"/>
        <v>86.875</v>
      </c>
      <c r="R83" s="337">
        <f t="shared" si="18"/>
        <v>65.63380281690141</v>
      </c>
      <c r="S83" s="337">
        <f t="shared" si="19"/>
        <v>115.62666666666667</v>
      </c>
      <c r="T83" s="337">
        <f t="shared" si="20"/>
        <v>122.05555555555556</v>
      </c>
      <c r="U83" s="337">
        <f t="shared" si="21"/>
        <v>118.91954022988506</v>
      </c>
      <c r="V83" s="337">
        <f t="shared" si="22"/>
        <v>95.3375</v>
      </c>
      <c r="W83" s="341">
        <f t="shared" si="23"/>
        <v>101.11366245694605</v>
      </c>
    </row>
    <row r="84" spans="1:23" ht="19.5" customHeight="1">
      <c r="A84" s="283" t="s">
        <v>83</v>
      </c>
      <c r="B84" s="336">
        <f t="shared" si="3"/>
        <v>0</v>
      </c>
      <c r="C84" s="337">
        <f t="shared" si="4"/>
        <v>0</v>
      </c>
      <c r="D84" s="337">
        <f t="shared" si="5"/>
        <v>0</v>
      </c>
      <c r="E84" s="337">
        <f t="shared" si="6"/>
        <v>0</v>
      </c>
      <c r="F84" s="337">
        <f t="shared" si="7"/>
        <v>0</v>
      </c>
      <c r="G84" s="337">
        <f t="shared" si="8"/>
        <v>0</v>
      </c>
      <c r="H84" s="337">
        <f t="shared" si="9"/>
        <v>0</v>
      </c>
      <c r="I84" s="337">
        <f t="shared" si="10"/>
        <v>0</v>
      </c>
      <c r="J84" s="337">
        <f t="shared" si="11"/>
        <v>0</v>
      </c>
      <c r="K84" s="337">
        <f t="shared" si="12"/>
        <v>0</v>
      </c>
      <c r="L84" s="338">
        <f t="shared" si="13"/>
        <v>0</v>
      </c>
      <c r="M84" s="339">
        <f t="shared" si="24"/>
        <v>0</v>
      </c>
      <c r="N84" s="340">
        <f t="shared" si="14"/>
        <v>0</v>
      </c>
      <c r="O84" s="337">
        <f t="shared" si="15"/>
        <v>0</v>
      </c>
      <c r="P84" s="337">
        <f t="shared" si="16"/>
        <v>0</v>
      </c>
      <c r="Q84" s="337">
        <f t="shared" si="17"/>
        <v>0</v>
      </c>
      <c r="R84" s="337">
        <f t="shared" si="18"/>
        <v>2.323943661971831</v>
      </c>
      <c r="S84" s="337">
        <f t="shared" si="19"/>
        <v>0</v>
      </c>
      <c r="T84" s="337">
        <f t="shared" si="20"/>
        <v>0</v>
      </c>
      <c r="U84" s="337">
        <f t="shared" si="21"/>
        <v>0</v>
      </c>
      <c r="V84" s="337">
        <f t="shared" si="22"/>
        <v>0</v>
      </c>
      <c r="W84" s="341">
        <f t="shared" si="23"/>
        <v>0.3788748564867968</v>
      </c>
    </row>
    <row r="85" spans="1:23" ht="19.5" customHeight="1" thickBot="1">
      <c r="A85" s="284" t="s">
        <v>118</v>
      </c>
      <c r="B85" s="342">
        <f t="shared" si="3"/>
        <v>0</v>
      </c>
      <c r="C85" s="343">
        <f t="shared" si="4"/>
        <v>0</v>
      </c>
      <c r="D85" s="343">
        <f t="shared" si="5"/>
        <v>0</v>
      </c>
      <c r="E85" s="343">
        <f t="shared" si="6"/>
        <v>0</v>
      </c>
      <c r="F85" s="343">
        <f t="shared" si="7"/>
        <v>0</v>
      </c>
      <c r="G85" s="343">
        <f t="shared" si="8"/>
        <v>0</v>
      </c>
      <c r="H85" s="343">
        <f t="shared" si="9"/>
        <v>0</v>
      </c>
      <c r="I85" s="343">
        <f t="shared" si="10"/>
        <v>0</v>
      </c>
      <c r="J85" s="343">
        <f t="shared" si="11"/>
        <v>0</v>
      </c>
      <c r="K85" s="343">
        <f t="shared" si="12"/>
        <v>0</v>
      </c>
      <c r="L85" s="344">
        <f t="shared" si="13"/>
        <v>0</v>
      </c>
      <c r="M85" s="345">
        <f t="shared" si="24"/>
        <v>0</v>
      </c>
      <c r="N85" s="346">
        <f t="shared" si="14"/>
        <v>0</v>
      </c>
      <c r="O85" s="343">
        <f t="shared" si="15"/>
        <v>0.01</v>
      </c>
      <c r="P85" s="343">
        <f t="shared" si="16"/>
        <v>0</v>
      </c>
      <c r="Q85" s="343">
        <f t="shared" si="17"/>
        <v>0</v>
      </c>
      <c r="R85" s="343">
        <f t="shared" si="18"/>
        <v>0</v>
      </c>
      <c r="S85" s="343">
        <f t="shared" si="19"/>
        <v>0</v>
      </c>
      <c r="T85" s="343">
        <f t="shared" si="20"/>
        <v>0</v>
      </c>
      <c r="U85" s="343">
        <f t="shared" si="21"/>
        <v>30.362068965517242</v>
      </c>
      <c r="V85" s="343">
        <f t="shared" si="22"/>
        <v>0</v>
      </c>
      <c r="W85" s="347">
        <f t="shared" si="23"/>
        <v>6.066130884041332</v>
      </c>
    </row>
    <row r="86" spans="1:23" ht="19.5" customHeight="1" thickBot="1">
      <c r="A86" s="291" t="s">
        <v>84</v>
      </c>
      <c r="B86" s="348">
        <f t="shared" si="3"/>
        <v>301.38235294117646</v>
      </c>
      <c r="C86" s="349">
        <f t="shared" si="4"/>
        <v>229.8230088495575</v>
      </c>
      <c r="D86" s="349">
        <f t="shared" si="5"/>
        <v>229.0625</v>
      </c>
      <c r="E86" s="349">
        <f t="shared" si="6"/>
        <v>234.34285714285716</v>
      </c>
      <c r="F86" s="349">
        <f t="shared" si="7"/>
        <v>300.07246376811594</v>
      </c>
      <c r="G86" s="349">
        <f t="shared" si="8"/>
        <v>211.29556650246306</v>
      </c>
      <c r="H86" s="349">
        <f t="shared" si="9"/>
        <v>257.1220930232558</v>
      </c>
      <c r="I86" s="349">
        <f t="shared" si="10"/>
        <v>252.16923076923078</v>
      </c>
      <c r="J86" s="349">
        <f t="shared" si="11"/>
        <v>276.9782608695652</v>
      </c>
      <c r="K86" s="349">
        <f t="shared" si="12"/>
        <v>300.37692307692305</v>
      </c>
      <c r="L86" s="350">
        <f t="shared" si="13"/>
        <v>347.70212765957444</v>
      </c>
      <c r="M86" s="351">
        <f t="shared" si="24"/>
        <v>261.622009569378</v>
      </c>
      <c r="N86" s="352">
        <f t="shared" si="14"/>
        <v>266.19</v>
      </c>
      <c r="O86" s="349">
        <f t="shared" si="15"/>
        <v>325.3666666666667</v>
      </c>
      <c r="P86" s="349">
        <f t="shared" si="16"/>
        <v>303.34285714285716</v>
      </c>
      <c r="Q86" s="349">
        <f t="shared" si="17"/>
        <v>273.325</v>
      </c>
      <c r="R86" s="349">
        <f t="shared" si="18"/>
        <v>295.76056338028167</v>
      </c>
      <c r="S86" s="349">
        <f t="shared" si="19"/>
        <v>295.72</v>
      </c>
      <c r="T86" s="349">
        <f t="shared" si="20"/>
        <v>273.3</v>
      </c>
      <c r="U86" s="349">
        <f t="shared" si="21"/>
        <v>388.7413793103448</v>
      </c>
      <c r="V86" s="349">
        <f t="shared" si="22"/>
        <v>268.2875</v>
      </c>
      <c r="W86" s="353">
        <f t="shared" si="23"/>
        <v>306.68082663605054</v>
      </c>
    </row>
    <row r="87" spans="1:23" ht="19.5" customHeight="1">
      <c r="A87" s="298" t="s">
        <v>85</v>
      </c>
      <c r="B87" s="354">
        <f t="shared" si="3"/>
        <v>48.05882352941177</v>
      </c>
      <c r="C87" s="355">
        <f t="shared" si="4"/>
        <v>6.725663716814159</v>
      </c>
      <c r="D87" s="355">
        <f t="shared" si="5"/>
        <v>47.5</v>
      </c>
      <c r="E87" s="355">
        <f t="shared" si="6"/>
        <v>40</v>
      </c>
      <c r="F87" s="355">
        <f t="shared" si="7"/>
        <v>46.08695652173913</v>
      </c>
      <c r="G87" s="355">
        <f t="shared" si="8"/>
        <v>36.354679802955665</v>
      </c>
      <c r="H87" s="355">
        <f t="shared" si="9"/>
        <v>40.116279069767444</v>
      </c>
      <c r="I87" s="355">
        <f t="shared" si="10"/>
        <v>41.61025641025641</v>
      </c>
      <c r="J87" s="355">
        <f t="shared" si="11"/>
        <v>46.52173913043478</v>
      </c>
      <c r="K87" s="355">
        <f t="shared" si="12"/>
        <v>39.38461538461539</v>
      </c>
      <c r="L87" s="356">
        <f t="shared" si="13"/>
        <v>51.48936170212766</v>
      </c>
      <c r="M87" s="357">
        <f t="shared" si="24"/>
        <v>39.01275917065391</v>
      </c>
      <c r="N87" s="358">
        <f t="shared" si="14"/>
        <v>36.55</v>
      </c>
      <c r="O87" s="355">
        <f t="shared" si="15"/>
        <v>48.6</v>
      </c>
      <c r="P87" s="355">
        <f t="shared" si="16"/>
        <v>22.957142857142856</v>
      </c>
      <c r="Q87" s="355">
        <f t="shared" si="17"/>
        <v>46.25</v>
      </c>
      <c r="R87" s="355">
        <f t="shared" si="18"/>
        <v>42.67605633802817</v>
      </c>
      <c r="S87" s="355">
        <f t="shared" si="19"/>
        <v>46.74666666666667</v>
      </c>
      <c r="T87" s="355">
        <f t="shared" si="20"/>
        <v>40</v>
      </c>
      <c r="U87" s="355">
        <f t="shared" si="21"/>
        <v>47.94252873563219</v>
      </c>
      <c r="V87" s="355">
        <f t="shared" si="22"/>
        <v>9.7625</v>
      </c>
      <c r="W87" s="359">
        <f t="shared" si="23"/>
        <v>39.227324913892076</v>
      </c>
    </row>
    <row r="88" spans="1:23" ht="19.5" customHeight="1">
      <c r="A88" s="305" t="s">
        <v>86</v>
      </c>
      <c r="B88" s="336">
        <f t="shared" si="3"/>
        <v>27.794117647058822</v>
      </c>
      <c r="C88" s="337">
        <f t="shared" si="4"/>
        <v>0</v>
      </c>
      <c r="D88" s="337">
        <f t="shared" si="5"/>
        <v>29.166666666666668</v>
      </c>
      <c r="E88" s="337">
        <f t="shared" si="6"/>
        <v>28.285714285714285</v>
      </c>
      <c r="F88" s="337">
        <f t="shared" si="7"/>
        <v>28.26086956521739</v>
      </c>
      <c r="G88" s="337">
        <f t="shared" si="8"/>
        <v>24.926108374384235</v>
      </c>
      <c r="H88" s="337">
        <f t="shared" si="9"/>
        <v>26.412790697674417</v>
      </c>
      <c r="I88" s="337">
        <f t="shared" si="10"/>
        <v>27.4</v>
      </c>
      <c r="J88" s="337">
        <f t="shared" si="11"/>
        <v>33.15217391304348</v>
      </c>
      <c r="K88" s="337">
        <f t="shared" si="12"/>
        <v>26.153846153846153</v>
      </c>
      <c r="L88" s="338">
        <f t="shared" si="13"/>
        <v>38.297872340425535</v>
      </c>
      <c r="M88" s="339">
        <f t="shared" si="24"/>
        <v>25.69059011164274</v>
      </c>
      <c r="N88" s="340">
        <f t="shared" si="14"/>
        <v>25.8</v>
      </c>
      <c r="O88" s="337">
        <f t="shared" si="15"/>
        <v>31.666666666666668</v>
      </c>
      <c r="P88" s="337">
        <f t="shared" si="16"/>
        <v>9.071428571428571</v>
      </c>
      <c r="Q88" s="337">
        <f t="shared" si="17"/>
        <v>29.375</v>
      </c>
      <c r="R88" s="337">
        <f t="shared" si="18"/>
        <v>30.281690140845072</v>
      </c>
      <c r="S88" s="337">
        <f t="shared" si="19"/>
        <v>26.88</v>
      </c>
      <c r="T88" s="337">
        <f t="shared" si="20"/>
        <v>25.555555555555557</v>
      </c>
      <c r="U88" s="337">
        <f t="shared" si="21"/>
        <v>26.270114942528735</v>
      </c>
      <c r="V88" s="337">
        <f t="shared" si="22"/>
        <v>0</v>
      </c>
      <c r="W88" s="341">
        <f t="shared" si="23"/>
        <v>23.710677382319172</v>
      </c>
    </row>
    <row r="89" spans="1:23" ht="19.5" customHeight="1">
      <c r="A89" s="305" t="s">
        <v>87</v>
      </c>
      <c r="B89" s="336">
        <f t="shared" si="3"/>
        <v>1.3235294117647058</v>
      </c>
      <c r="C89" s="337">
        <f t="shared" si="4"/>
        <v>0.9734513274336283</v>
      </c>
      <c r="D89" s="337">
        <f t="shared" si="5"/>
        <v>1.6666666666666667</v>
      </c>
      <c r="E89" s="337">
        <f t="shared" si="6"/>
        <v>0.8571428571428571</v>
      </c>
      <c r="F89" s="337">
        <f t="shared" si="7"/>
        <v>1.5942028985507246</v>
      </c>
      <c r="G89" s="337">
        <f t="shared" si="8"/>
        <v>0.46798029556650245</v>
      </c>
      <c r="H89" s="337">
        <f t="shared" si="9"/>
        <v>0.4941860465116279</v>
      </c>
      <c r="I89" s="337">
        <f t="shared" si="10"/>
        <v>0.1794871794871795</v>
      </c>
      <c r="J89" s="337">
        <f t="shared" si="11"/>
        <v>0.32608695652173914</v>
      </c>
      <c r="K89" s="337">
        <f t="shared" si="12"/>
        <v>0.9230769230769231</v>
      </c>
      <c r="L89" s="338">
        <f t="shared" si="13"/>
        <v>0.6382978723404256</v>
      </c>
      <c r="M89" s="339">
        <f t="shared" si="24"/>
        <v>0.6977671451355661</v>
      </c>
      <c r="N89" s="340">
        <f t="shared" si="14"/>
        <v>1.75</v>
      </c>
      <c r="O89" s="337">
        <f t="shared" si="15"/>
        <v>1.4166666666666667</v>
      </c>
      <c r="P89" s="337">
        <f t="shared" si="16"/>
        <v>1.7142857142857142</v>
      </c>
      <c r="Q89" s="337">
        <f t="shared" si="17"/>
        <v>0.875</v>
      </c>
      <c r="R89" s="337">
        <f t="shared" si="18"/>
        <v>1.056338028169014</v>
      </c>
      <c r="S89" s="337">
        <f t="shared" si="19"/>
        <v>2.4</v>
      </c>
      <c r="T89" s="337">
        <f t="shared" si="20"/>
        <v>0.7777777777777778</v>
      </c>
      <c r="U89" s="337">
        <f t="shared" si="21"/>
        <v>1.5114942528735633</v>
      </c>
      <c r="V89" s="337">
        <f t="shared" si="22"/>
        <v>0.5625</v>
      </c>
      <c r="W89" s="341">
        <f t="shared" si="23"/>
        <v>1.3295063145809414</v>
      </c>
    </row>
    <row r="90" spans="1:23" ht="19.5" customHeight="1">
      <c r="A90" s="305" t="s">
        <v>88</v>
      </c>
      <c r="B90" s="336">
        <f t="shared" si="3"/>
        <v>5.926470588235294</v>
      </c>
      <c r="C90" s="337">
        <f t="shared" si="4"/>
        <v>0.8849557522123894</v>
      </c>
      <c r="D90" s="337">
        <f t="shared" si="5"/>
        <v>4.166666666666667</v>
      </c>
      <c r="E90" s="337">
        <f t="shared" si="6"/>
        <v>2.857142857142857</v>
      </c>
      <c r="F90" s="337">
        <f t="shared" si="7"/>
        <v>5.797101449275362</v>
      </c>
      <c r="G90" s="337">
        <f t="shared" si="8"/>
        <v>3.9901477832512313</v>
      </c>
      <c r="H90" s="337">
        <f t="shared" si="9"/>
        <v>4.651162790697675</v>
      </c>
      <c r="I90" s="337">
        <f t="shared" si="10"/>
        <v>4.543589743589743</v>
      </c>
      <c r="J90" s="337">
        <f t="shared" si="11"/>
        <v>1.6304347826086956</v>
      </c>
      <c r="K90" s="337">
        <f t="shared" si="12"/>
        <v>1.5384615384615385</v>
      </c>
      <c r="L90" s="338">
        <f t="shared" si="13"/>
        <v>1.9148936170212767</v>
      </c>
      <c r="M90" s="339">
        <f t="shared" si="24"/>
        <v>3.452153110047847</v>
      </c>
      <c r="N90" s="340">
        <f t="shared" si="14"/>
        <v>1.1</v>
      </c>
      <c r="O90" s="337">
        <f t="shared" si="15"/>
        <v>4.55</v>
      </c>
      <c r="P90" s="337">
        <f t="shared" si="16"/>
        <v>2.857142857142857</v>
      </c>
      <c r="Q90" s="337">
        <f t="shared" si="17"/>
        <v>4.375</v>
      </c>
      <c r="R90" s="337">
        <f t="shared" si="18"/>
        <v>2.816901408450704</v>
      </c>
      <c r="S90" s="337">
        <f t="shared" si="19"/>
        <v>3.3333333333333335</v>
      </c>
      <c r="T90" s="337">
        <f t="shared" si="20"/>
        <v>7</v>
      </c>
      <c r="U90" s="337">
        <f t="shared" si="21"/>
        <v>6.810344827586207</v>
      </c>
      <c r="V90" s="337">
        <f t="shared" si="22"/>
        <v>0.45</v>
      </c>
      <c r="W90" s="341">
        <f t="shared" si="23"/>
        <v>3.9425947187141217</v>
      </c>
    </row>
    <row r="91" spans="1:23" ht="19.5" customHeight="1">
      <c r="A91" s="305" t="s">
        <v>89</v>
      </c>
      <c r="B91" s="336">
        <f t="shared" si="3"/>
        <v>6.455882352941177</v>
      </c>
      <c r="C91" s="337">
        <f t="shared" si="4"/>
        <v>3.5398230088495577</v>
      </c>
      <c r="D91" s="337">
        <f t="shared" si="5"/>
        <v>10.416666666666666</v>
      </c>
      <c r="E91" s="337">
        <f t="shared" si="6"/>
        <v>0.5</v>
      </c>
      <c r="F91" s="337">
        <f t="shared" si="7"/>
        <v>10.434782608695652</v>
      </c>
      <c r="G91" s="337">
        <f t="shared" si="8"/>
        <v>0.5911330049261084</v>
      </c>
      <c r="H91" s="337">
        <f t="shared" si="9"/>
        <v>8.13953488372093</v>
      </c>
      <c r="I91" s="337">
        <f t="shared" si="10"/>
        <v>6.153846153846154</v>
      </c>
      <c r="J91" s="337">
        <f t="shared" si="11"/>
        <v>10.869565217391305</v>
      </c>
      <c r="K91" s="337">
        <f t="shared" si="12"/>
        <v>7.6923076923076925</v>
      </c>
      <c r="L91" s="338">
        <f t="shared" si="13"/>
        <v>10.638297872340425</v>
      </c>
      <c r="M91" s="339">
        <f t="shared" si="24"/>
        <v>6.231259968102074</v>
      </c>
      <c r="N91" s="340">
        <f t="shared" si="14"/>
        <v>7.2</v>
      </c>
      <c r="O91" s="337">
        <f t="shared" si="15"/>
        <v>10.966666666666667</v>
      </c>
      <c r="P91" s="337">
        <f t="shared" si="16"/>
        <v>9.142857142857142</v>
      </c>
      <c r="Q91" s="337">
        <f t="shared" si="17"/>
        <v>11.625</v>
      </c>
      <c r="R91" s="337">
        <f t="shared" si="18"/>
        <v>6.056338028169014</v>
      </c>
      <c r="S91" s="337">
        <f t="shared" si="19"/>
        <v>5.466666666666667</v>
      </c>
      <c r="T91" s="337">
        <f t="shared" si="20"/>
        <v>6.666666666666667</v>
      </c>
      <c r="U91" s="337">
        <f t="shared" si="21"/>
        <v>10.281609195402298</v>
      </c>
      <c r="V91" s="337">
        <f t="shared" si="22"/>
        <v>1.8125</v>
      </c>
      <c r="W91" s="341">
        <f t="shared" si="23"/>
        <v>7.752009184845006</v>
      </c>
    </row>
    <row r="92" spans="1:23" ht="19.5" customHeight="1">
      <c r="A92" s="305" t="s">
        <v>90</v>
      </c>
      <c r="B92" s="336">
        <f t="shared" si="3"/>
        <v>6.5588235294117645</v>
      </c>
      <c r="C92" s="337">
        <f t="shared" si="4"/>
        <v>1.3274336283185841</v>
      </c>
      <c r="D92" s="337">
        <f t="shared" si="5"/>
        <v>2.0833333333333335</v>
      </c>
      <c r="E92" s="337">
        <f t="shared" si="6"/>
        <v>7.5</v>
      </c>
      <c r="F92" s="337">
        <f t="shared" si="7"/>
        <v>0</v>
      </c>
      <c r="G92" s="337">
        <f t="shared" si="8"/>
        <v>6.379310344827586</v>
      </c>
      <c r="H92" s="337">
        <f t="shared" si="9"/>
        <v>0.4186046511627907</v>
      </c>
      <c r="I92" s="337">
        <f t="shared" si="10"/>
        <v>3.3333333333333335</v>
      </c>
      <c r="J92" s="337">
        <f t="shared" si="11"/>
        <v>0.5434782608695652</v>
      </c>
      <c r="K92" s="337">
        <f t="shared" si="12"/>
        <v>3.076923076923077</v>
      </c>
      <c r="L92" s="338">
        <f t="shared" si="13"/>
        <v>0</v>
      </c>
      <c r="M92" s="339">
        <f t="shared" si="24"/>
        <v>2.940988835725678</v>
      </c>
      <c r="N92" s="340">
        <f t="shared" si="14"/>
        <v>0.7</v>
      </c>
      <c r="O92" s="337">
        <f t="shared" si="15"/>
        <v>0</v>
      </c>
      <c r="P92" s="337">
        <f t="shared" si="16"/>
        <v>0.17142857142857143</v>
      </c>
      <c r="Q92" s="337">
        <f t="shared" si="17"/>
        <v>0</v>
      </c>
      <c r="R92" s="337">
        <f t="shared" si="18"/>
        <v>2.464788732394366</v>
      </c>
      <c r="S92" s="337">
        <f t="shared" si="19"/>
        <v>8.666666666666666</v>
      </c>
      <c r="T92" s="337">
        <f t="shared" si="20"/>
        <v>0</v>
      </c>
      <c r="U92" s="337">
        <f t="shared" si="21"/>
        <v>3.0689655172413794</v>
      </c>
      <c r="V92" s="337">
        <f t="shared" si="22"/>
        <v>6.9375</v>
      </c>
      <c r="W92" s="341">
        <f t="shared" si="23"/>
        <v>2.4925373134328357</v>
      </c>
    </row>
    <row r="93" spans="1:23" ht="19.5" customHeight="1">
      <c r="A93" s="305" t="s">
        <v>91</v>
      </c>
      <c r="B93" s="336">
        <f t="shared" si="3"/>
        <v>16.41176470588235</v>
      </c>
      <c r="C93" s="337">
        <f t="shared" si="4"/>
        <v>19.513274336283185</v>
      </c>
      <c r="D93" s="337">
        <f t="shared" si="5"/>
        <v>18.75</v>
      </c>
      <c r="E93" s="337">
        <f t="shared" si="6"/>
        <v>18.47142857142857</v>
      </c>
      <c r="F93" s="337">
        <f t="shared" si="7"/>
        <v>14.202898550724637</v>
      </c>
      <c r="G93" s="337">
        <f t="shared" si="8"/>
        <v>16.00985221674877</v>
      </c>
      <c r="H93" s="337">
        <f t="shared" si="9"/>
        <v>21.802325581395348</v>
      </c>
      <c r="I93" s="337">
        <f t="shared" si="10"/>
        <v>20.27179487179487</v>
      </c>
      <c r="J93" s="337">
        <f t="shared" si="11"/>
        <v>33.69565217391305</v>
      </c>
      <c r="K93" s="337">
        <f t="shared" si="12"/>
        <v>23.076923076923077</v>
      </c>
      <c r="L93" s="338">
        <f t="shared" si="13"/>
        <v>40.95744680851064</v>
      </c>
      <c r="M93" s="339">
        <f t="shared" si="24"/>
        <v>21.84768740031898</v>
      </c>
      <c r="N93" s="340">
        <f t="shared" si="14"/>
        <v>19.9</v>
      </c>
      <c r="O93" s="337">
        <f t="shared" si="15"/>
        <v>25.883333333333333</v>
      </c>
      <c r="P93" s="337">
        <f t="shared" si="16"/>
        <v>4.0285714285714285</v>
      </c>
      <c r="Q93" s="337">
        <f t="shared" si="17"/>
        <v>16.75</v>
      </c>
      <c r="R93" s="337">
        <f t="shared" si="18"/>
        <v>19.014084507042252</v>
      </c>
      <c r="S93" s="337">
        <f t="shared" si="19"/>
        <v>11.066666666666666</v>
      </c>
      <c r="T93" s="337">
        <f t="shared" si="20"/>
        <v>25.555555555555557</v>
      </c>
      <c r="U93" s="337">
        <f t="shared" si="21"/>
        <v>20.695402298850574</v>
      </c>
      <c r="V93" s="337">
        <f t="shared" si="22"/>
        <v>21.35</v>
      </c>
      <c r="W93" s="341">
        <f t="shared" si="23"/>
        <v>18.718714121699197</v>
      </c>
    </row>
    <row r="94" spans="1:23" ht="19.5" customHeight="1">
      <c r="A94" s="305" t="s">
        <v>92</v>
      </c>
      <c r="B94" s="336">
        <f t="shared" si="3"/>
        <v>8.044117647058824</v>
      </c>
      <c r="C94" s="337">
        <f t="shared" si="4"/>
        <v>3.4513274336283186</v>
      </c>
      <c r="D94" s="337">
        <f t="shared" si="5"/>
        <v>16.666666666666668</v>
      </c>
      <c r="E94" s="337">
        <f t="shared" si="6"/>
        <v>5.328571428571428</v>
      </c>
      <c r="F94" s="337">
        <f t="shared" si="7"/>
        <v>6.666666666666667</v>
      </c>
      <c r="G94" s="337">
        <f t="shared" si="8"/>
        <v>5.41871921182266</v>
      </c>
      <c r="H94" s="337">
        <f t="shared" si="9"/>
        <v>8.953488372093023</v>
      </c>
      <c r="I94" s="337">
        <f t="shared" si="10"/>
        <v>8.466666666666667</v>
      </c>
      <c r="J94" s="337">
        <f t="shared" si="11"/>
        <v>15.217391304347826</v>
      </c>
      <c r="K94" s="337">
        <f t="shared" si="12"/>
        <v>22.807692307692307</v>
      </c>
      <c r="L94" s="338">
        <f t="shared" si="13"/>
        <v>12.76595744680851</v>
      </c>
      <c r="M94" s="339">
        <f t="shared" si="24"/>
        <v>9.909090909090908</v>
      </c>
      <c r="N94" s="340">
        <f t="shared" si="14"/>
        <v>17.5</v>
      </c>
      <c r="O94" s="337">
        <f t="shared" si="15"/>
        <v>14.5</v>
      </c>
      <c r="P94" s="337">
        <f t="shared" si="16"/>
        <v>1.3571428571428572</v>
      </c>
      <c r="Q94" s="337">
        <f t="shared" si="17"/>
        <v>7</v>
      </c>
      <c r="R94" s="337">
        <f t="shared" si="18"/>
        <v>7.394366197183099</v>
      </c>
      <c r="S94" s="337">
        <f t="shared" si="19"/>
        <v>8.866666666666667</v>
      </c>
      <c r="T94" s="337">
        <f t="shared" si="20"/>
        <v>8.88888888888889</v>
      </c>
      <c r="U94" s="337">
        <f t="shared" si="21"/>
        <v>4.339080459770115</v>
      </c>
      <c r="V94" s="337">
        <f t="shared" si="22"/>
        <v>6.6125</v>
      </c>
      <c r="W94" s="341">
        <f t="shared" si="23"/>
        <v>8.121699196326063</v>
      </c>
    </row>
    <row r="95" spans="1:23" ht="30" customHeight="1">
      <c r="A95" s="305" t="s">
        <v>93</v>
      </c>
      <c r="B95" s="336">
        <f t="shared" si="3"/>
        <v>5.573529411764706</v>
      </c>
      <c r="C95" s="337">
        <f t="shared" si="4"/>
        <v>0</v>
      </c>
      <c r="D95" s="337">
        <f t="shared" si="5"/>
        <v>0</v>
      </c>
      <c r="E95" s="337">
        <f t="shared" si="6"/>
        <v>12.142857142857142</v>
      </c>
      <c r="F95" s="337">
        <f t="shared" si="7"/>
        <v>0</v>
      </c>
      <c r="G95" s="337">
        <f t="shared" si="8"/>
        <v>8.374384236453203</v>
      </c>
      <c r="H95" s="337">
        <f t="shared" si="9"/>
        <v>8.924418604651162</v>
      </c>
      <c r="I95" s="337">
        <f t="shared" si="10"/>
        <v>7.153846153846154</v>
      </c>
      <c r="J95" s="337">
        <f t="shared" si="11"/>
        <v>13.043478260869565</v>
      </c>
      <c r="K95" s="337">
        <f t="shared" si="12"/>
        <v>0.038461538461538464</v>
      </c>
      <c r="L95" s="338">
        <f t="shared" si="13"/>
        <v>18.085106382978722</v>
      </c>
      <c r="M95" s="339">
        <f t="shared" si="24"/>
        <v>6.988835725677831</v>
      </c>
      <c r="N95" s="340">
        <f t="shared" si="14"/>
        <v>0.2</v>
      </c>
      <c r="O95" s="337">
        <f t="shared" si="15"/>
        <v>10.05</v>
      </c>
      <c r="P95" s="337">
        <f t="shared" si="16"/>
        <v>2.2857142857142856</v>
      </c>
      <c r="Q95" s="337">
        <f t="shared" si="17"/>
        <v>8.75</v>
      </c>
      <c r="R95" s="337">
        <f t="shared" si="18"/>
        <v>7.746478873239437</v>
      </c>
      <c r="S95" s="337">
        <f t="shared" si="19"/>
        <v>0.3333333333333333</v>
      </c>
      <c r="T95" s="337">
        <f t="shared" si="20"/>
        <v>13.333333333333334</v>
      </c>
      <c r="U95" s="337">
        <f t="shared" si="21"/>
        <v>13.563218390804598</v>
      </c>
      <c r="V95" s="337">
        <f t="shared" si="22"/>
        <v>12.3</v>
      </c>
      <c r="W95" s="341">
        <f t="shared" si="23"/>
        <v>8.211251435132032</v>
      </c>
    </row>
    <row r="96" spans="1:23" ht="19.5" customHeight="1">
      <c r="A96" s="305" t="s">
        <v>94</v>
      </c>
      <c r="B96" s="336">
        <f t="shared" si="3"/>
        <v>0</v>
      </c>
      <c r="C96" s="337">
        <f t="shared" si="4"/>
        <v>0</v>
      </c>
      <c r="D96" s="337">
        <f t="shared" si="5"/>
        <v>0</v>
      </c>
      <c r="E96" s="337">
        <f t="shared" si="6"/>
        <v>0</v>
      </c>
      <c r="F96" s="337">
        <f t="shared" si="7"/>
        <v>6.086956521739131</v>
      </c>
      <c r="G96" s="337">
        <f t="shared" si="8"/>
        <v>0</v>
      </c>
      <c r="H96" s="337">
        <f t="shared" si="9"/>
        <v>0</v>
      </c>
      <c r="I96" s="337">
        <f t="shared" si="10"/>
        <v>0</v>
      </c>
      <c r="J96" s="337">
        <f t="shared" si="11"/>
        <v>0</v>
      </c>
      <c r="K96" s="337">
        <f t="shared" si="12"/>
        <v>0</v>
      </c>
      <c r="L96" s="338">
        <f t="shared" si="13"/>
        <v>0</v>
      </c>
      <c r="M96" s="339">
        <f t="shared" si="24"/>
        <v>0.3349282296650718</v>
      </c>
      <c r="N96" s="340">
        <f t="shared" si="14"/>
        <v>1.4</v>
      </c>
      <c r="O96" s="337">
        <f t="shared" si="15"/>
        <v>0</v>
      </c>
      <c r="P96" s="337">
        <f t="shared" si="16"/>
        <v>0</v>
      </c>
      <c r="Q96" s="337">
        <f t="shared" si="17"/>
        <v>0</v>
      </c>
      <c r="R96" s="337">
        <f t="shared" si="18"/>
        <v>0</v>
      </c>
      <c r="S96" s="337">
        <f t="shared" si="19"/>
        <v>0</v>
      </c>
      <c r="T96" s="337">
        <f t="shared" si="20"/>
        <v>0</v>
      </c>
      <c r="U96" s="337">
        <f t="shared" si="21"/>
        <v>0</v>
      </c>
      <c r="V96" s="337">
        <f t="shared" si="22"/>
        <v>0</v>
      </c>
      <c r="W96" s="341">
        <f t="shared" si="23"/>
        <v>0.16073478760045926</v>
      </c>
    </row>
    <row r="97" spans="1:23" ht="19.5" customHeight="1">
      <c r="A97" s="305" t="s">
        <v>95</v>
      </c>
      <c r="B97" s="336">
        <f t="shared" si="3"/>
        <v>0</v>
      </c>
      <c r="C97" s="337">
        <f t="shared" si="4"/>
        <v>13.654867256637168</v>
      </c>
      <c r="D97" s="337">
        <f t="shared" si="5"/>
        <v>0</v>
      </c>
      <c r="E97" s="337">
        <f t="shared" si="6"/>
        <v>0</v>
      </c>
      <c r="F97" s="337">
        <f t="shared" si="7"/>
        <v>0</v>
      </c>
      <c r="G97" s="337">
        <f t="shared" si="8"/>
        <v>0</v>
      </c>
      <c r="H97" s="337">
        <f t="shared" si="9"/>
        <v>0</v>
      </c>
      <c r="I97" s="337">
        <f t="shared" si="10"/>
        <v>0</v>
      </c>
      <c r="J97" s="337">
        <f t="shared" si="11"/>
        <v>0</v>
      </c>
      <c r="K97" s="337">
        <f t="shared" si="12"/>
        <v>0</v>
      </c>
      <c r="L97" s="338">
        <f t="shared" si="13"/>
        <v>3.723404255319149</v>
      </c>
      <c r="M97" s="339">
        <f t="shared" si="24"/>
        <v>1.5095693779904307</v>
      </c>
      <c r="N97" s="340">
        <f t="shared" si="14"/>
        <v>0</v>
      </c>
      <c r="O97" s="337">
        <f t="shared" si="15"/>
        <v>0</v>
      </c>
      <c r="P97" s="337">
        <f t="shared" si="16"/>
        <v>0</v>
      </c>
      <c r="Q97" s="337">
        <f t="shared" si="17"/>
        <v>0</v>
      </c>
      <c r="R97" s="337">
        <f t="shared" si="18"/>
        <v>0</v>
      </c>
      <c r="S97" s="337">
        <f t="shared" si="19"/>
        <v>0</v>
      </c>
      <c r="T97" s="337">
        <f t="shared" si="20"/>
        <v>0</v>
      </c>
      <c r="U97" s="337">
        <f t="shared" si="21"/>
        <v>0</v>
      </c>
      <c r="V97" s="337">
        <f t="shared" si="22"/>
        <v>0</v>
      </c>
      <c r="W97" s="341">
        <f t="shared" si="23"/>
        <v>0</v>
      </c>
    </row>
    <row r="98" spans="1:23" ht="15">
      <c r="A98" s="305" t="s">
        <v>96</v>
      </c>
      <c r="B98" s="336">
        <f t="shared" si="3"/>
        <v>2.7941176470588234</v>
      </c>
      <c r="C98" s="337">
        <f t="shared" si="4"/>
        <v>2.4070796460176993</v>
      </c>
      <c r="D98" s="337">
        <f t="shared" si="5"/>
        <v>2.0833333333333335</v>
      </c>
      <c r="E98" s="337">
        <f t="shared" si="6"/>
        <v>1</v>
      </c>
      <c r="F98" s="337">
        <f t="shared" si="7"/>
        <v>1.4492753623188406</v>
      </c>
      <c r="G98" s="337">
        <f t="shared" si="8"/>
        <v>2.2167487684729066</v>
      </c>
      <c r="H98" s="337">
        <f t="shared" si="9"/>
        <v>3.9244186046511627</v>
      </c>
      <c r="I98" s="337">
        <f t="shared" si="10"/>
        <v>4.651282051282052</v>
      </c>
      <c r="J98" s="337">
        <f t="shared" si="11"/>
        <v>5.434782608695652</v>
      </c>
      <c r="K98" s="337">
        <f t="shared" si="12"/>
        <v>0.23076923076923078</v>
      </c>
      <c r="L98" s="338">
        <f t="shared" si="13"/>
        <v>6.382978723404255</v>
      </c>
      <c r="M98" s="339">
        <f t="shared" si="24"/>
        <v>3.1052631578947367</v>
      </c>
      <c r="N98" s="340">
        <f t="shared" si="14"/>
        <v>0.8</v>
      </c>
      <c r="O98" s="337">
        <f t="shared" si="15"/>
        <v>1.3333333333333333</v>
      </c>
      <c r="P98" s="337">
        <f t="shared" si="16"/>
        <v>0.38571428571428573</v>
      </c>
      <c r="Q98" s="337">
        <f t="shared" si="17"/>
        <v>1</v>
      </c>
      <c r="R98" s="337">
        <f t="shared" si="18"/>
        <v>3.8732394366197185</v>
      </c>
      <c r="S98" s="337">
        <f t="shared" si="19"/>
        <v>1.8666666666666667</v>
      </c>
      <c r="T98" s="337">
        <f t="shared" si="20"/>
        <v>3.888888888888889</v>
      </c>
      <c r="U98" s="337">
        <f t="shared" si="21"/>
        <v>2.793103448275862</v>
      </c>
      <c r="V98" s="337">
        <f t="shared" si="22"/>
        <v>2.4375</v>
      </c>
      <c r="W98" s="341">
        <f t="shared" si="23"/>
        <v>2.2824339839265213</v>
      </c>
    </row>
    <row r="99" spans="1:23" ht="22.5" customHeight="1">
      <c r="A99" s="305" t="s">
        <v>97</v>
      </c>
      <c r="B99" s="336">
        <f t="shared" si="3"/>
        <v>0</v>
      </c>
      <c r="C99" s="337">
        <f t="shared" si="4"/>
        <v>0</v>
      </c>
      <c r="D99" s="337">
        <f t="shared" si="5"/>
        <v>0</v>
      </c>
      <c r="E99" s="337">
        <f t="shared" si="6"/>
        <v>0</v>
      </c>
      <c r="F99" s="337">
        <f t="shared" si="7"/>
        <v>0</v>
      </c>
      <c r="G99" s="337">
        <f t="shared" si="8"/>
        <v>0</v>
      </c>
      <c r="H99" s="337">
        <f t="shared" si="9"/>
        <v>0</v>
      </c>
      <c r="I99" s="337">
        <f t="shared" si="10"/>
        <v>0</v>
      </c>
      <c r="J99" s="337">
        <f t="shared" si="11"/>
        <v>0</v>
      </c>
      <c r="K99" s="337">
        <f t="shared" si="12"/>
        <v>0</v>
      </c>
      <c r="L99" s="338">
        <f t="shared" si="13"/>
        <v>0</v>
      </c>
      <c r="M99" s="339">
        <f t="shared" si="24"/>
        <v>0</v>
      </c>
      <c r="N99" s="340">
        <f t="shared" si="14"/>
        <v>0</v>
      </c>
      <c r="O99" s="337">
        <f t="shared" si="15"/>
        <v>0</v>
      </c>
      <c r="P99" s="337">
        <f t="shared" si="16"/>
        <v>0</v>
      </c>
      <c r="Q99" s="337">
        <f t="shared" si="17"/>
        <v>0</v>
      </c>
      <c r="R99" s="337">
        <f t="shared" si="18"/>
        <v>0</v>
      </c>
      <c r="S99" s="337">
        <f t="shared" si="19"/>
        <v>0</v>
      </c>
      <c r="T99" s="337">
        <f t="shared" si="20"/>
        <v>0</v>
      </c>
      <c r="U99" s="337">
        <f t="shared" si="21"/>
        <v>0</v>
      </c>
      <c r="V99" s="337">
        <f t="shared" si="22"/>
        <v>0</v>
      </c>
      <c r="W99" s="341">
        <f t="shared" si="23"/>
        <v>0</v>
      </c>
    </row>
    <row r="100" spans="1:23" ht="15">
      <c r="A100" s="305" t="s">
        <v>98</v>
      </c>
      <c r="B100" s="336">
        <f t="shared" si="3"/>
        <v>7.882352941176471</v>
      </c>
      <c r="C100" s="337">
        <f t="shared" si="4"/>
        <v>0.8849557522123894</v>
      </c>
      <c r="D100" s="337">
        <f t="shared" si="5"/>
        <v>10.833333333333334</v>
      </c>
      <c r="E100" s="337">
        <f t="shared" si="6"/>
        <v>5.314285714285714</v>
      </c>
      <c r="F100" s="337">
        <f t="shared" si="7"/>
        <v>13.333333333333334</v>
      </c>
      <c r="G100" s="337">
        <f t="shared" si="8"/>
        <v>3.3497536945812807</v>
      </c>
      <c r="H100" s="337">
        <f t="shared" si="9"/>
        <v>6.308139534883721</v>
      </c>
      <c r="I100" s="337">
        <f t="shared" si="10"/>
        <v>19.743589743589745</v>
      </c>
      <c r="J100" s="337">
        <f t="shared" si="11"/>
        <v>2.717391304347826</v>
      </c>
      <c r="K100" s="337">
        <f t="shared" si="12"/>
        <v>22.076923076923077</v>
      </c>
      <c r="L100" s="338">
        <f t="shared" si="13"/>
        <v>1.5957446808510638</v>
      </c>
      <c r="M100" s="339">
        <f t="shared" si="24"/>
        <v>9.037480063795853</v>
      </c>
      <c r="N100" s="340">
        <f t="shared" si="14"/>
        <v>4.58</v>
      </c>
      <c r="O100" s="337">
        <f t="shared" si="15"/>
        <v>12.333333333333334</v>
      </c>
      <c r="P100" s="337">
        <f t="shared" si="16"/>
        <v>2</v>
      </c>
      <c r="Q100" s="337">
        <f t="shared" si="17"/>
        <v>9.6875</v>
      </c>
      <c r="R100" s="337">
        <f t="shared" si="18"/>
        <v>3.1690140845070425</v>
      </c>
      <c r="S100" s="337">
        <f t="shared" si="19"/>
        <v>3.7333333333333334</v>
      </c>
      <c r="T100" s="337">
        <f t="shared" si="20"/>
        <v>1.6666666666666667</v>
      </c>
      <c r="U100" s="337">
        <f t="shared" si="21"/>
        <v>8.224137931034482</v>
      </c>
      <c r="V100" s="337">
        <f t="shared" si="22"/>
        <v>6.625</v>
      </c>
      <c r="W100" s="341">
        <f t="shared" si="23"/>
        <v>5.687715269804822</v>
      </c>
    </row>
    <row r="101" spans="1:23" ht="15" customHeight="1">
      <c r="A101" s="305" t="s">
        <v>99</v>
      </c>
      <c r="B101" s="336">
        <f t="shared" si="3"/>
        <v>1.5294117647058822</v>
      </c>
      <c r="C101" s="337">
        <f t="shared" si="4"/>
        <v>0.35398230088495575</v>
      </c>
      <c r="D101" s="337">
        <f t="shared" si="5"/>
        <v>0.4166666666666667</v>
      </c>
      <c r="E101" s="337">
        <f t="shared" si="6"/>
        <v>0.8571428571428571</v>
      </c>
      <c r="F101" s="337">
        <f t="shared" si="7"/>
        <v>2.318840579710145</v>
      </c>
      <c r="G101" s="337">
        <f t="shared" si="8"/>
        <v>0.4433497536945813</v>
      </c>
      <c r="H101" s="337">
        <f t="shared" si="9"/>
        <v>0.5232558139534884</v>
      </c>
      <c r="I101" s="337">
        <f t="shared" si="10"/>
        <v>0.5128205128205128</v>
      </c>
      <c r="J101" s="337">
        <f t="shared" si="11"/>
        <v>0.5434782608695652</v>
      </c>
      <c r="K101" s="337">
        <f t="shared" si="12"/>
        <v>0.7692307692307693</v>
      </c>
      <c r="L101" s="338">
        <f t="shared" si="13"/>
        <v>1.0638297872340425</v>
      </c>
      <c r="M101" s="339">
        <f t="shared" si="24"/>
        <v>0.7288676236044657</v>
      </c>
      <c r="N101" s="340">
        <f t="shared" si="14"/>
        <v>1.8</v>
      </c>
      <c r="O101" s="337">
        <f t="shared" si="15"/>
        <v>1.0833333333333333</v>
      </c>
      <c r="P101" s="337">
        <f t="shared" si="16"/>
        <v>1.8857142857142857</v>
      </c>
      <c r="Q101" s="337">
        <f t="shared" si="17"/>
        <v>0.875</v>
      </c>
      <c r="R101" s="337">
        <f t="shared" si="18"/>
        <v>1.056338028169014</v>
      </c>
      <c r="S101" s="337">
        <f t="shared" si="19"/>
        <v>1.7333333333333334</v>
      </c>
      <c r="T101" s="337">
        <f t="shared" si="20"/>
        <v>0.6666666666666666</v>
      </c>
      <c r="U101" s="337">
        <f t="shared" si="21"/>
        <v>0.7413793103448276</v>
      </c>
      <c r="V101" s="337">
        <f t="shared" si="22"/>
        <v>0.5625</v>
      </c>
      <c r="W101" s="341">
        <f t="shared" si="23"/>
        <v>1.103329506314581</v>
      </c>
    </row>
    <row r="102" spans="1:25" ht="15">
      <c r="A102" s="305" t="s">
        <v>100</v>
      </c>
      <c r="B102" s="336">
        <f t="shared" si="3"/>
        <v>0.08823529411764706</v>
      </c>
      <c r="C102" s="337">
        <f t="shared" si="4"/>
        <v>0.08849557522123894</v>
      </c>
      <c r="D102" s="337">
        <f t="shared" si="5"/>
        <v>0.4166666666666667</v>
      </c>
      <c r="E102" s="337">
        <f t="shared" si="6"/>
        <v>0.07142857142857142</v>
      </c>
      <c r="F102" s="337">
        <f t="shared" si="7"/>
        <v>0.43478260869565216</v>
      </c>
      <c r="G102" s="337">
        <f t="shared" si="8"/>
        <v>0.024630541871921183</v>
      </c>
      <c r="H102" s="337">
        <f t="shared" si="9"/>
        <v>0.05232558139534884</v>
      </c>
      <c r="I102" s="337">
        <f t="shared" si="10"/>
        <v>0.05128205128205128</v>
      </c>
      <c r="J102" s="337">
        <f t="shared" si="11"/>
        <v>0</v>
      </c>
      <c r="K102" s="337">
        <f t="shared" si="12"/>
        <v>0.038461538461538464</v>
      </c>
      <c r="L102" s="338">
        <f t="shared" si="13"/>
        <v>0.10638297872340426</v>
      </c>
      <c r="M102" s="339">
        <f t="shared" si="24"/>
        <v>0.08771929824561403</v>
      </c>
      <c r="N102" s="340">
        <f t="shared" si="14"/>
        <v>0.05</v>
      </c>
      <c r="O102" s="337">
        <f t="shared" si="15"/>
        <v>0.03333333333333333</v>
      </c>
      <c r="P102" s="337">
        <f t="shared" si="16"/>
        <v>0</v>
      </c>
      <c r="Q102" s="337">
        <f t="shared" si="17"/>
        <v>0.0625</v>
      </c>
      <c r="R102" s="337">
        <f t="shared" si="18"/>
        <v>0.07042253521126761</v>
      </c>
      <c r="S102" s="337">
        <f t="shared" si="19"/>
        <v>0.6666666666666666</v>
      </c>
      <c r="T102" s="337">
        <f t="shared" si="20"/>
        <v>0.03333333333333333</v>
      </c>
      <c r="U102" s="337">
        <f t="shared" si="21"/>
        <v>0.028735632183908046</v>
      </c>
      <c r="V102" s="337">
        <f t="shared" si="22"/>
        <v>0.075</v>
      </c>
      <c r="W102" s="341">
        <f t="shared" si="23"/>
        <v>0.09873708381171067</v>
      </c>
      <c r="Y102" s="150"/>
    </row>
    <row r="103" spans="1:25" ht="22.5" customHeight="1" hidden="1" thickBot="1">
      <c r="A103" s="305" t="s">
        <v>101</v>
      </c>
      <c r="B103" s="336">
        <f t="shared" si="3"/>
        <v>13.294117647058824</v>
      </c>
      <c r="C103" s="337">
        <f t="shared" si="4"/>
        <v>56.876106194690266</v>
      </c>
      <c r="D103" s="337">
        <f t="shared" si="5"/>
        <v>10.416666666666666</v>
      </c>
      <c r="E103" s="337">
        <f t="shared" si="6"/>
        <v>7.5</v>
      </c>
      <c r="F103" s="337">
        <f t="shared" si="7"/>
        <v>14.420289855072463</v>
      </c>
      <c r="G103" s="337">
        <f t="shared" si="8"/>
        <v>11.32512315270936</v>
      </c>
      <c r="H103" s="337">
        <f t="shared" si="9"/>
        <v>5.813953488372093</v>
      </c>
      <c r="I103" s="337">
        <f t="shared" si="10"/>
        <v>6.0717948717948715</v>
      </c>
      <c r="J103" s="337">
        <f t="shared" si="11"/>
        <v>6.521739130434782</v>
      </c>
      <c r="K103" s="337">
        <f t="shared" si="12"/>
        <v>9.23076923076923</v>
      </c>
      <c r="L103" s="338">
        <f t="shared" si="13"/>
        <v>12.76595744680851</v>
      </c>
      <c r="M103" s="339">
        <f t="shared" si="24"/>
        <v>13.424242424242424</v>
      </c>
      <c r="N103" s="340">
        <f t="shared" si="14"/>
        <v>10.7</v>
      </c>
      <c r="O103" s="337">
        <f t="shared" si="15"/>
        <v>16.333333333333332</v>
      </c>
      <c r="P103" s="337">
        <f t="shared" si="16"/>
        <v>75.64285714285714</v>
      </c>
      <c r="Q103" s="337">
        <f t="shared" si="17"/>
        <v>11.5</v>
      </c>
      <c r="R103" s="337">
        <f t="shared" si="18"/>
        <v>13.52112676056338</v>
      </c>
      <c r="S103" s="337">
        <f t="shared" si="19"/>
        <v>35.333333333333336</v>
      </c>
      <c r="T103" s="337">
        <f t="shared" si="20"/>
        <v>11.11111111111111</v>
      </c>
      <c r="U103" s="337">
        <f t="shared" si="21"/>
        <v>6.068965517241379</v>
      </c>
      <c r="V103" s="337">
        <f t="shared" si="22"/>
        <v>57.25</v>
      </c>
      <c r="W103" s="341">
        <f t="shared" si="23"/>
        <v>22.35476463834673</v>
      </c>
      <c r="X103" s="360">
        <f>N103+O103+P103+Q103+R103+S103+T103+U103+V103</f>
        <v>237.46072719843966</v>
      </c>
      <c r="Y103" s="361">
        <f>M103+W103+X103</f>
        <v>273.2397342610288</v>
      </c>
    </row>
    <row r="104" spans="1:23" ht="15">
      <c r="A104" s="305" t="s">
        <v>102</v>
      </c>
      <c r="B104" s="336">
        <f t="shared" si="3"/>
        <v>1.5</v>
      </c>
      <c r="C104" s="337">
        <f t="shared" si="4"/>
        <v>0.7964601769911505</v>
      </c>
      <c r="D104" s="337">
        <f t="shared" si="5"/>
        <v>2.7083333333333335</v>
      </c>
      <c r="E104" s="337">
        <f t="shared" si="6"/>
        <v>0.014285714285714285</v>
      </c>
      <c r="F104" s="337">
        <f t="shared" si="7"/>
        <v>1.1594202898550725</v>
      </c>
      <c r="G104" s="337">
        <f t="shared" si="8"/>
        <v>0.6650246305418719</v>
      </c>
      <c r="H104" s="337">
        <f t="shared" si="9"/>
        <v>0.6104651162790697</v>
      </c>
      <c r="I104" s="337">
        <f t="shared" si="10"/>
        <v>0.47692307692307695</v>
      </c>
      <c r="J104" s="337">
        <f t="shared" si="11"/>
        <v>0.7608695652173914</v>
      </c>
      <c r="K104" s="337">
        <f t="shared" si="12"/>
        <v>0.7692307692307693</v>
      </c>
      <c r="L104" s="338">
        <f t="shared" si="13"/>
        <v>1.0638297872340425</v>
      </c>
      <c r="M104" s="339">
        <f t="shared" si="24"/>
        <v>0.8022328548644339</v>
      </c>
      <c r="N104" s="340">
        <f t="shared" si="14"/>
        <v>1.75</v>
      </c>
      <c r="O104" s="337">
        <f t="shared" si="15"/>
        <v>2</v>
      </c>
      <c r="P104" s="337">
        <f t="shared" si="16"/>
        <v>2.2857142857142856</v>
      </c>
      <c r="Q104" s="337">
        <f t="shared" si="17"/>
        <v>0.75</v>
      </c>
      <c r="R104" s="337">
        <f t="shared" si="18"/>
        <v>0.704225352112676</v>
      </c>
      <c r="S104" s="337">
        <f t="shared" si="19"/>
        <v>1.8666666666666667</v>
      </c>
      <c r="T104" s="337">
        <f t="shared" si="20"/>
        <v>1.6666666666666667</v>
      </c>
      <c r="U104" s="337">
        <f t="shared" si="21"/>
        <v>0.7528735632183908</v>
      </c>
      <c r="V104" s="337">
        <f t="shared" si="22"/>
        <v>0.5625</v>
      </c>
      <c r="W104" s="341">
        <f t="shared" si="23"/>
        <v>1.2411021814006888</v>
      </c>
    </row>
    <row r="105" spans="1:23" ht="15">
      <c r="A105" s="305" t="s">
        <v>103</v>
      </c>
      <c r="B105" s="336">
        <f t="shared" si="3"/>
        <v>0</v>
      </c>
      <c r="C105" s="337">
        <f t="shared" si="4"/>
        <v>0</v>
      </c>
      <c r="D105" s="337">
        <f t="shared" si="5"/>
        <v>0</v>
      </c>
      <c r="E105" s="337">
        <f t="shared" si="6"/>
        <v>0</v>
      </c>
      <c r="F105" s="337">
        <f t="shared" si="7"/>
        <v>0</v>
      </c>
      <c r="G105" s="337">
        <f t="shared" si="8"/>
        <v>0.22660098522167488</v>
      </c>
      <c r="H105" s="337">
        <f t="shared" si="9"/>
        <v>0</v>
      </c>
      <c r="I105" s="337">
        <f t="shared" si="10"/>
        <v>0.12307692307692308</v>
      </c>
      <c r="J105" s="337">
        <f t="shared" si="11"/>
        <v>0.05434782608695652</v>
      </c>
      <c r="K105" s="337">
        <f t="shared" si="12"/>
        <v>0</v>
      </c>
      <c r="L105" s="338">
        <f t="shared" si="13"/>
        <v>0</v>
      </c>
      <c r="M105" s="339">
        <f t="shared" si="24"/>
        <v>0.05980861244019139</v>
      </c>
      <c r="N105" s="340">
        <f t="shared" si="14"/>
        <v>0.35</v>
      </c>
      <c r="O105" s="337">
        <f t="shared" si="15"/>
        <v>0.5</v>
      </c>
      <c r="P105" s="337">
        <f t="shared" si="16"/>
        <v>46.57142857142857</v>
      </c>
      <c r="Q105" s="337">
        <f t="shared" si="17"/>
        <v>0</v>
      </c>
      <c r="R105" s="337">
        <f t="shared" si="18"/>
        <v>1.408450704225352</v>
      </c>
      <c r="S105" s="337">
        <f t="shared" si="19"/>
        <v>0</v>
      </c>
      <c r="T105" s="337">
        <f t="shared" si="20"/>
        <v>0</v>
      </c>
      <c r="U105" s="337">
        <f t="shared" si="21"/>
        <v>0.028735632183908046</v>
      </c>
      <c r="V105" s="337">
        <f t="shared" si="22"/>
        <v>0.075</v>
      </c>
      <c r="W105" s="341">
        <f t="shared" si="23"/>
        <v>4.059701492537314</v>
      </c>
    </row>
    <row r="106" spans="1:23" ht="15">
      <c r="A106" s="305" t="s">
        <v>104</v>
      </c>
      <c r="B106" s="336">
        <f t="shared" si="3"/>
        <v>11.794117647058824</v>
      </c>
      <c r="C106" s="337">
        <f t="shared" si="4"/>
        <v>56.07964601769911</v>
      </c>
      <c r="D106" s="337">
        <f t="shared" si="5"/>
        <v>7.708333333333333</v>
      </c>
      <c r="E106" s="337">
        <f t="shared" si="6"/>
        <v>7.485714285714286</v>
      </c>
      <c r="F106" s="337">
        <f t="shared" si="7"/>
        <v>13.26086956521739</v>
      </c>
      <c r="G106" s="337">
        <f t="shared" si="8"/>
        <v>10.433497536945813</v>
      </c>
      <c r="H106" s="337">
        <f t="shared" si="9"/>
        <v>5.203488372093023</v>
      </c>
      <c r="I106" s="337">
        <f t="shared" si="10"/>
        <v>5.4512820512820515</v>
      </c>
      <c r="J106" s="337">
        <f t="shared" si="11"/>
        <v>5.706521739130435</v>
      </c>
      <c r="K106" s="337">
        <f t="shared" si="12"/>
        <v>8.461538461538462</v>
      </c>
      <c r="L106" s="338">
        <f t="shared" si="13"/>
        <v>11.702127659574469</v>
      </c>
      <c r="M106" s="339">
        <f t="shared" si="24"/>
        <v>12.559011164274322</v>
      </c>
      <c r="N106" s="340">
        <f t="shared" si="14"/>
        <v>8.6</v>
      </c>
      <c r="O106" s="337">
        <f t="shared" si="15"/>
        <v>13.833333333333334</v>
      </c>
      <c r="P106" s="337">
        <f t="shared" si="16"/>
        <v>26.785714285714285</v>
      </c>
      <c r="Q106" s="337">
        <f t="shared" si="17"/>
        <v>10.75</v>
      </c>
      <c r="R106" s="337">
        <f t="shared" si="18"/>
        <v>12.816901408450704</v>
      </c>
      <c r="S106" s="337">
        <f t="shared" si="19"/>
        <v>36.13333333333333</v>
      </c>
      <c r="T106" s="337">
        <f t="shared" si="20"/>
        <v>9.444444444444445</v>
      </c>
      <c r="U106" s="337">
        <f t="shared" si="21"/>
        <v>5.287356321839081</v>
      </c>
      <c r="V106" s="337">
        <f t="shared" si="22"/>
        <v>56.6125</v>
      </c>
      <c r="W106" s="341">
        <f t="shared" si="23"/>
        <v>17.513203214695753</v>
      </c>
    </row>
    <row r="107" spans="1:23" ht="15">
      <c r="A107" s="305" t="s">
        <v>105</v>
      </c>
      <c r="B107" s="336">
        <f t="shared" si="3"/>
        <v>204.5441176470588</v>
      </c>
      <c r="C107" s="337">
        <f t="shared" si="4"/>
        <v>174.39823008849558</v>
      </c>
      <c r="D107" s="337">
        <f t="shared" si="5"/>
        <v>130.83333333333334</v>
      </c>
      <c r="E107" s="337">
        <f t="shared" si="6"/>
        <v>153.77142857142857</v>
      </c>
      <c r="F107" s="337">
        <f t="shared" si="7"/>
        <v>200.8985507246377</v>
      </c>
      <c r="G107" s="337">
        <f t="shared" si="8"/>
        <v>151.1576354679803</v>
      </c>
      <c r="H107" s="337">
        <f t="shared" si="9"/>
        <v>166.63372093023256</v>
      </c>
      <c r="I107" s="337">
        <f t="shared" si="10"/>
        <v>157.73333333333332</v>
      </c>
      <c r="J107" s="337">
        <f t="shared" si="11"/>
        <v>168.92391304347825</v>
      </c>
      <c r="K107" s="337">
        <f t="shared" si="12"/>
        <v>195.06153846153848</v>
      </c>
      <c r="L107" s="338">
        <f t="shared" si="13"/>
        <v>232.45744680851064</v>
      </c>
      <c r="M107" s="339">
        <f t="shared" si="24"/>
        <v>173.34609250398725</v>
      </c>
      <c r="N107" s="340">
        <f t="shared" si="14"/>
        <v>183.9</v>
      </c>
      <c r="O107" s="337">
        <f t="shared" si="15"/>
        <v>227.61666666666667</v>
      </c>
      <c r="P107" s="337">
        <f t="shared" si="16"/>
        <v>209.14285714285714</v>
      </c>
      <c r="Q107" s="337">
        <f t="shared" si="17"/>
        <v>181.475</v>
      </c>
      <c r="R107" s="337">
        <f t="shared" si="18"/>
        <v>215.1267605633803</v>
      </c>
      <c r="S107" s="337">
        <f t="shared" si="19"/>
        <v>232.49333333333334</v>
      </c>
      <c r="T107" s="337">
        <f t="shared" si="20"/>
        <v>191.22222222222223</v>
      </c>
      <c r="U107" s="337">
        <f t="shared" si="21"/>
        <v>301.86206896551727</v>
      </c>
      <c r="V107" s="337">
        <f t="shared" si="22"/>
        <v>159.9125</v>
      </c>
      <c r="W107" s="341">
        <f t="shared" si="23"/>
        <v>220.1113662456946</v>
      </c>
    </row>
    <row r="108" spans="1:23" ht="15">
      <c r="A108" s="305" t="s">
        <v>106</v>
      </c>
      <c r="B108" s="336">
        <f t="shared" si="3"/>
        <v>150.5735294117647</v>
      </c>
      <c r="C108" s="337">
        <f t="shared" si="4"/>
        <v>125.80530973451327</v>
      </c>
      <c r="D108" s="337">
        <f t="shared" si="5"/>
        <v>96.45833333333333</v>
      </c>
      <c r="E108" s="337">
        <f t="shared" si="6"/>
        <v>113.48571428571428</v>
      </c>
      <c r="F108" s="337">
        <f t="shared" si="7"/>
        <v>148.65217391304347</v>
      </c>
      <c r="G108" s="337">
        <f t="shared" si="8"/>
        <v>111.87192118226601</v>
      </c>
      <c r="H108" s="337">
        <f t="shared" si="9"/>
        <v>123.31976744186046</v>
      </c>
      <c r="I108" s="337">
        <f t="shared" si="10"/>
        <v>115.64102564102564</v>
      </c>
      <c r="J108" s="337">
        <f t="shared" si="11"/>
        <v>125.6086956521739</v>
      </c>
      <c r="K108" s="337">
        <f t="shared" si="12"/>
        <v>142.75384615384615</v>
      </c>
      <c r="L108" s="338">
        <f t="shared" si="13"/>
        <v>171.79787234042553</v>
      </c>
      <c r="M108" s="339">
        <f t="shared" si="24"/>
        <v>127.60765550239235</v>
      </c>
      <c r="N108" s="340">
        <f t="shared" si="14"/>
        <v>135.9</v>
      </c>
      <c r="O108" s="337">
        <f t="shared" si="15"/>
        <v>168.6</v>
      </c>
      <c r="P108" s="337">
        <f t="shared" si="16"/>
        <v>152</v>
      </c>
      <c r="Q108" s="337">
        <f t="shared" si="17"/>
        <v>133.7875</v>
      </c>
      <c r="R108" s="337">
        <f t="shared" si="18"/>
        <v>158.16901408450704</v>
      </c>
      <c r="S108" s="337">
        <f t="shared" si="19"/>
        <v>172.25333333333333</v>
      </c>
      <c r="T108" s="337">
        <f t="shared" si="20"/>
        <v>141.22222222222223</v>
      </c>
      <c r="U108" s="337">
        <f t="shared" si="21"/>
        <v>223.70689655172413</v>
      </c>
      <c r="V108" s="337">
        <f t="shared" si="22"/>
        <v>117.4</v>
      </c>
      <c r="W108" s="341">
        <f t="shared" si="23"/>
        <v>162.4052812858783</v>
      </c>
    </row>
    <row r="109" spans="1:23" ht="15">
      <c r="A109" s="305" t="s">
        <v>107</v>
      </c>
      <c r="B109" s="336">
        <f t="shared" si="3"/>
        <v>144.9264705882353</v>
      </c>
      <c r="C109" s="337">
        <f t="shared" si="4"/>
        <v>123.23893805309734</v>
      </c>
      <c r="D109" s="337">
        <f t="shared" si="5"/>
        <v>94.375</v>
      </c>
      <c r="E109" s="337">
        <f t="shared" si="6"/>
        <v>113.05714285714286</v>
      </c>
      <c r="F109" s="337">
        <f t="shared" si="7"/>
        <v>147.8985507246377</v>
      </c>
      <c r="G109" s="337">
        <f t="shared" si="8"/>
        <v>110.83743842364532</v>
      </c>
      <c r="H109" s="337">
        <f t="shared" si="9"/>
        <v>122.44767441860465</v>
      </c>
      <c r="I109" s="337">
        <f t="shared" si="10"/>
        <v>115.64102564102564</v>
      </c>
      <c r="J109" s="337">
        <f t="shared" si="11"/>
        <v>124.18478260869566</v>
      </c>
      <c r="K109" s="337">
        <f t="shared" si="12"/>
        <v>141.98461538461538</v>
      </c>
      <c r="L109" s="338">
        <f t="shared" si="13"/>
        <v>171.46808510638297</v>
      </c>
      <c r="M109" s="339">
        <f t="shared" si="24"/>
        <v>126.42902711323764</v>
      </c>
      <c r="N109" s="340">
        <f t="shared" si="14"/>
        <v>132.9</v>
      </c>
      <c r="O109" s="337">
        <f t="shared" si="15"/>
        <v>167.6</v>
      </c>
      <c r="P109" s="337">
        <f t="shared" si="16"/>
        <v>150.85714285714286</v>
      </c>
      <c r="Q109" s="337">
        <f t="shared" si="17"/>
        <v>130.0375</v>
      </c>
      <c r="R109" s="337">
        <f t="shared" si="18"/>
        <v>156.7605633802817</v>
      </c>
      <c r="S109" s="337">
        <f t="shared" si="19"/>
        <v>167.33333333333334</v>
      </c>
      <c r="T109" s="337">
        <f t="shared" si="20"/>
        <v>140</v>
      </c>
      <c r="U109" s="337">
        <f t="shared" si="21"/>
        <v>222.27011494252875</v>
      </c>
      <c r="V109" s="337">
        <f t="shared" si="22"/>
        <v>116.1</v>
      </c>
      <c r="W109" s="341">
        <f t="shared" si="23"/>
        <v>160.36969001148105</v>
      </c>
    </row>
    <row r="110" spans="1:23" ht="15">
      <c r="A110" s="305" t="s">
        <v>108</v>
      </c>
      <c r="B110" s="336">
        <f t="shared" si="3"/>
        <v>5.647058823529412</v>
      </c>
      <c r="C110" s="337">
        <f t="shared" si="4"/>
        <v>2.566371681415929</v>
      </c>
      <c r="D110" s="337">
        <f t="shared" si="5"/>
        <v>2.0833333333333335</v>
      </c>
      <c r="E110" s="337">
        <f t="shared" si="6"/>
        <v>0.42857142857142855</v>
      </c>
      <c r="F110" s="337">
        <f t="shared" si="7"/>
        <v>0.7246376811594203</v>
      </c>
      <c r="G110" s="337">
        <f t="shared" si="8"/>
        <v>1.0344827586206897</v>
      </c>
      <c r="H110" s="337">
        <f t="shared" si="9"/>
        <v>0.872093023255814</v>
      </c>
      <c r="I110" s="337">
        <f t="shared" si="10"/>
        <v>0</v>
      </c>
      <c r="J110" s="337">
        <f t="shared" si="11"/>
        <v>0.5434782608695652</v>
      </c>
      <c r="K110" s="337">
        <f t="shared" si="12"/>
        <v>0.7692307692307693</v>
      </c>
      <c r="L110" s="338">
        <f t="shared" si="13"/>
        <v>0.32978723404255317</v>
      </c>
      <c r="M110" s="339">
        <f t="shared" si="24"/>
        <v>1.11244019138756</v>
      </c>
      <c r="N110" s="340">
        <f t="shared" si="14"/>
        <v>3</v>
      </c>
      <c r="O110" s="337">
        <f t="shared" si="15"/>
        <v>1</v>
      </c>
      <c r="P110" s="337">
        <f t="shared" si="16"/>
        <v>1.1428571428571428</v>
      </c>
      <c r="Q110" s="337">
        <f t="shared" si="17"/>
        <v>3.75</v>
      </c>
      <c r="R110" s="337">
        <f t="shared" si="18"/>
        <v>1.408450704225352</v>
      </c>
      <c r="S110" s="337">
        <f t="shared" si="19"/>
        <v>4.92</v>
      </c>
      <c r="T110" s="337">
        <f t="shared" si="20"/>
        <v>1.2222222222222223</v>
      </c>
      <c r="U110" s="337">
        <f t="shared" si="21"/>
        <v>1.4367816091954022</v>
      </c>
      <c r="V110" s="337">
        <f t="shared" si="22"/>
        <v>1.3</v>
      </c>
      <c r="W110" s="341">
        <f t="shared" si="23"/>
        <v>2.0355912743972446</v>
      </c>
    </row>
    <row r="111" spans="1:23" ht="15">
      <c r="A111" s="305" t="s">
        <v>109</v>
      </c>
      <c r="B111" s="336">
        <f t="shared" si="3"/>
        <v>53.970588235294116</v>
      </c>
      <c r="C111" s="337">
        <f t="shared" si="4"/>
        <v>48.5929203539823</v>
      </c>
      <c r="D111" s="337">
        <f t="shared" si="5"/>
        <v>34.375</v>
      </c>
      <c r="E111" s="337">
        <f t="shared" si="6"/>
        <v>40.285714285714285</v>
      </c>
      <c r="F111" s="337">
        <f t="shared" si="7"/>
        <v>52.2463768115942</v>
      </c>
      <c r="G111" s="337">
        <f t="shared" si="8"/>
        <v>39.285714285714285</v>
      </c>
      <c r="H111" s="337">
        <f t="shared" si="9"/>
        <v>43.31395348837209</v>
      </c>
      <c r="I111" s="337">
        <f t="shared" si="10"/>
        <v>42.09230769230769</v>
      </c>
      <c r="J111" s="337">
        <f t="shared" si="11"/>
        <v>44.19565217391305</v>
      </c>
      <c r="K111" s="337">
        <f t="shared" si="12"/>
        <v>52.30769230769231</v>
      </c>
      <c r="L111" s="338">
        <f t="shared" si="13"/>
        <v>60.659574468085104</v>
      </c>
      <c r="M111" s="339">
        <f t="shared" si="24"/>
        <v>45.803030303030305</v>
      </c>
      <c r="N111" s="340">
        <f t="shared" si="14"/>
        <v>48</v>
      </c>
      <c r="O111" s="337">
        <f t="shared" si="15"/>
        <v>59.016666666666666</v>
      </c>
      <c r="P111" s="337">
        <f t="shared" si="16"/>
        <v>57.142857142857146</v>
      </c>
      <c r="Q111" s="337">
        <f t="shared" si="17"/>
        <v>47.6875</v>
      </c>
      <c r="R111" s="337">
        <f t="shared" si="18"/>
        <v>56.95774647887324</v>
      </c>
      <c r="S111" s="337">
        <f t="shared" si="19"/>
        <v>60.24</v>
      </c>
      <c r="T111" s="337">
        <f t="shared" si="20"/>
        <v>50</v>
      </c>
      <c r="U111" s="337">
        <f t="shared" si="21"/>
        <v>78.15517241379311</v>
      </c>
      <c r="V111" s="337">
        <f t="shared" si="22"/>
        <v>42.5125</v>
      </c>
      <c r="W111" s="341">
        <f t="shared" si="23"/>
        <v>57.7060849598163</v>
      </c>
    </row>
    <row r="112" spans="1:23" ht="15">
      <c r="A112" s="305" t="s">
        <v>110</v>
      </c>
      <c r="B112" s="336">
        <f t="shared" si="3"/>
        <v>0</v>
      </c>
      <c r="C112" s="337">
        <f t="shared" si="4"/>
        <v>0</v>
      </c>
      <c r="D112" s="337">
        <f t="shared" si="5"/>
        <v>0</v>
      </c>
      <c r="E112" s="337">
        <f t="shared" si="6"/>
        <v>0</v>
      </c>
      <c r="F112" s="337">
        <f t="shared" si="7"/>
        <v>0</v>
      </c>
      <c r="G112" s="337">
        <f t="shared" si="8"/>
        <v>0.04433497536945813</v>
      </c>
      <c r="H112" s="337">
        <f t="shared" si="9"/>
        <v>0</v>
      </c>
      <c r="I112" s="337">
        <f t="shared" si="10"/>
        <v>0</v>
      </c>
      <c r="J112" s="337">
        <f t="shared" si="11"/>
        <v>0</v>
      </c>
      <c r="K112" s="337">
        <f t="shared" si="12"/>
        <v>0</v>
      </c>
      <c r="L112" s="338">
        <f t="shared" si="13"/>
        <v>0</v>
      </c>
      <c r="M112" s="339">
        <f t="shared" si="24"/>
        <v>0.007177033492822967</v>
      </c>
      <c r="N112" s="340">
        <f t="shared" si="14"/>
        <v>0</v>
      </c>
      <c r="O112" s="337">
        <f t="shared" si="15"/>
        <v>0</v>
      </c>
      <c r="P112" s="337">
        <f t="shared" si="16"/>
        <v>0</v>
      </c>
      <c r="Q112" s="337">
        <f t="shared" si="17"/>
        <v>0</v>
      </c>
      <c r="R112" s="337">
        <f t="shared" si="18"/>
        <v>0</v>
      </c>
      <c r="S112" s="337">
        <f t="shared" si="19"/>
        <v>0</v>
      </c>
      <c r="T112" s="337">
        <f t="shared" si="20"/>
        <v>0</v>
      </c>
      <c r="U112" s="337">
        <f t="shared" si="21"/>
        <v>0.10919540229885058</v>
      </c>
      <c r="V112" s="337">
        <f t="shared" si="22"/>
        <v>0</v>
      </c>
      <c r="W112" s="341">
        <f t="shared" si="23"/>
        <v>0.021814006888633754</v>
      </c>
    </row>
    <row r="113" spans="1:23" ht="15">
      <c r="A113" s="305" t="s">
        <v>111</v>
      </c>
      <c r="B113" s="336">
        <f t="shared" si="3"/>
        <v>0.014705882352941176</v>
      </c>
      <c r="C113" s="337">
        <f t="shared" si="4"/>
        <v>0</v>
      </c>
      <c r="D113" s="337">
        <f t="shared" si="5"/>
        <v>0</v>
      </c>
      <c r="E113" s="337">
        <f t="shared" si="6"/>
        <v>0</v>
      </c>
      <c r="F113" s="337">
        <f t="shared" si="7"/>
        <v>0.07246376811594203</v>
      </c>
      <c r="G113" s="337">
        <f t="shared" si="8"/>
        <v>0</v>
      </c>
      <c r="H113" s="337">
        <f t="shared" si="9"/>
        <v>0.011627906976744186</v>
      </c>
      <c r="I113" s="337">
        <f t="shared" si="10"/>
        <v>0</v>
      </c>
      <c r="J113" s="337">
        <f t="shared" si="11"/>
        <v>0.05434782608695652</v>
      </c>
      <c r="K113" s="337">
        <f t="shared" si="12"/>
        <v>0.015384615384615385</v>
      </c>
      <c r="L113" s="338">
        <f t="shared" si="13"/>
        <v>0</v>
      </c>
      <c r="M113" s="339">
        <f t="shared" si="24"/>
        <v>0.011961722488038277</v>
      </c>
      <c r="N113" s="340">
        <f t="shared" si="14"/>
        <v>0.03</v>
      </c>
      <c r="O113" s="337">
        <f t="shared" si="15"/>
        <v>0</v>
      </c>
      <c r="P113" s="337">
        <f t="shared" si="16"/>
        <v>0.04285714285714286</v>
      </c>
      <c r="Q113" s="337">
        <f t="shared" si="17"/>
        <v>0.25</v>
      </c>
      <c r="R113" s="337">
        <f t="shared" si="18"/>
        <v>0</v>
      </c>
      <c r="S113" s="337">
        <f t="shared" si="19"/>
        <v>0.06666666666666667</v>
      </c>
      <c r="T113" s="337">
        <f t="shared" si="20"/>
        <v>0</v>
      </c>
      <c r="U113" s="337">
        <f t="shared" si="21"/>
        <v>0.5919540229885057</v>
      </c>
      <c r="V113" s="337">
        <f t="shared" si="22"/>
        <v>0.0125</v>
      </c>
      <c r="W113" s="341">
        <f t="shared" si="23"/>
        <v>0.1549942594718714</v>
      </c>
    </row>
    <row r="114" spans="1:23" ht="15">
      <c r="A114" s="305" t="s">
        <v>112</v>
      </c>
      <c r="B114" s="336">
        <f t="shared" si="3"/>
        <v>1.75</v>
      </c>
      <c r="C114" s="337">
        <f t="shared" si="4"/>
        <v>1.3274336283185841</v>
      </c>
      <c r="D114" s="337">
        <f t="shared" si="5"/>
        <v>1.25</v>
      </c>
      <c r="E114" s="337">
        <f t="shared" si="6"/>
        <v>1.7142857142857142</v>
      </c>
      <c r="F114" s="337">
        <f t="shared" si="7"/>
        <v>2.463768115942029</v>
      </c>
      <c r="G114" s="337">
        <f t="shared" si="8"/>
        <v>1.083743842364532</v>
      </c>
      <c r="H114" s="337">
        <f t="shared" si="9"/>
        <v>1.2325581395348837</v>
      </c>
      <c r="I114" s="337">
        <f t="shared" si="10"/>
        <v>0.6153846153846154</v>
      </c>
      <c r="J114" s="337">
        <f t="shared" si="11"/>
        <v>1.25</v>
      </c>
      <c r="K114" s="337">
        <f t="shared" si="12"/>
        <v>1.9230769230769231</v>
      </c>
      <c r="L114" s="338">
        <f t="shared" si="13"/>
        <v>7.446808510638298</v>
      </c>
      <c r="M114" s="339">
        <f t="shared" si="24"/>
        <v>1.7830940988835726</v>
      </c>
      <c r="N114" s="340">
        <f t="shared" si="14"/>
        <v>2.26</v>
      </c>
      <c r="O114" s="337">
        <f t="shared" si="15"/>
        <v>1.7666666666666666</v>
      </c>
      <c r="P114" s="337">
        <f t="shared" si="16"/>
        <v>1.2142857142857142</v>
      </c>
      <c r="Q114" s="337">
        <f t="shared" si="17"/>
        <v>1.875</v>
      </c>
      <c r="R114" s="337">
        <f t="shared" si="18"/>
        <v>4.838028169014085</v>
      </c>
      <c r="S114" s="337">
        <f t="shared" si="19"/>
        <v>2</v>
      </c>
      <c r="T114" s="337">
        <f t="shared" si="20"/>
        <v>1.1111111111111112</v>
      </c>
      <c r="U114" s="337">
        <f t="shared" si="21"/>
        <v>6.971264367816092</v>
      </c>
      <c r="V114" s="337">
        <f t="shared" si="22"/>
        <v>1.1375</v>
      </c>
      <c r="W114" s="341">
        <f t="shared" si="23"/>
        <v>3.2238805970149254</v>
      </c>
    </row>
    <row r="115" spans="1:23" ht="15">
      <c r="A115" s="305" t="s">
        <v>113</v>
      </c>
      <c r="B115" s="336">
        <f t="shared" si="3"/>
        <v>0</v>
      </c>
      <c r="C115" s="337">
        <f t="shared" si="4"/>
        <v>0</v>
      </c>
      <c r="D115" s="337">
        <f t="shared" si="5"/>
        <v>0</v>
      </c>
      <c r="E115" s="337">
        <f t="shared" si="6"/>
        <v>0</v>
      </c>
      <c r="F115" s="337">
        <f t="shared" si="7"/>
        <v>0</v>
      </c>
      <c r="G115" s="337">
        <f t="shared" si="8"/>
        <v>0</v>
      </c>
      <c r="H115" s="337">
        <f t="shared" si="9"/>
        <v>0</v>
      </c>
      <c r="I115" s="337">
        <f t="shared" si="10"/>
        <v>0</v>
      </c>
      <c r="J115" s="337">
        <f t="shared" si="11"/>
        <v>0</v>
      </c>
      <c r="K115" s="337">
        <f t="shared" si="12"/>
        <v>0</v>
      </c>
      <c r="L115" s="338">
        <f t="shared" si="13"/>
        <v>0</v>
      </c>
      <c r="M115" s="339">
        <f t="shared" si="24"/>
        <v>0</v>
      </c>
      <c r="N115" s="340">
        <f t="shared" si="14"/>
        <v>0</v>
      </c>
      <c r="O115" s="337">
        <f t="shared" si="15"/>
        <v>0</v>
      </c>
      <c r="P115" s="337">
        <f t="shared" si="16"/>
        <v>0</v>
      </c>
      <c r="Q115" s="337">
        <f t="shared" si="17"/>
        <v>0</v>
      </c>
      <c r="R115" s="337">
        <f t="shared" si="18"/>
        <v>0</v>
      </c>
      <c r="S115" s="337">
        <f t="shared" si="19"/>
        <v>0</v>
      </c>
      <c r="T115" s="337">
        <f t="shared" si="20"/>
        <v>0</v>
      </c>
      <c r="U115" s="337">
        <f t="shared" si="21"/>
        <v>0</v>
      </c>
      <c r="V115" s="337">
        <f t="shared" si="22"/>
        <v>0</v>
      </c>
      <c r="W115" s="341">
        <f t="shared" si="23"/>
        <v>0</v>
      </c>
    </row>
    <row r="116" spans="1:23" ht="15">
      <c r="A116" s="305" t="s">
        <v>114</v>
      </c>
      <c r="B116" s="336">
        <f t="shared" si="3"/>
        <v>7.8088235294117645</v>
      </c>
      <c r="C116" s="337">
        <f t="shared" si="4"/>
        <v>16.646017699115045</v>
      </c>
      <c r="D116" s="337">
        <f t="shared" si="5"/>
        <v>8.333333333333334</v>
      </c>
      <c r="E116" s="337">
        <f t="shared" si="6"/>
        <v>6.642857142857143</v>
      </c>
      <c r="F116" s="337">
        <f t="shared" si="7"/>
        <v>9.391304347826088</v>
      </c>
      <c r="G116" s="337">
        <f t="shared" si="8"/>
        <v>4.29064039408867</v>
      </c>
      <c r="H116" s="337">
        <f t="shared" si="9"/>
        <v>14.627906976744185</v>
      </c>
      <c r="I116" s="337">
        <f t="shared" si="10"/>
        <v>5.558974358974359</v>
      </c>
      <c r="J116" s="337">
        <f t="shared" si="11"/>
        <v>21.630434782608695</v>
      </c>
      <c r="K116" s="337">
        <f t="shared" si="12"/>
        <v>8.8</v>
      </c>
      <c r="L116" s="338">
        <f t="shared" si="13"/>
        <v>21.73404255319149</v>
      </c>
      <c r="M116" s="339">
        <f t="shared" si="24"/>
        <v>10.823763955342903</v>
      </c>
      <c r="N116" s="340">
        <f t="shared" si="14"/>
        <v>7.35</v>
      </c>
      <c r="O116" s="337">
        <f t="shared" si="15"/>
        <v>51.5</v>
      </c>
      <c r="P116" s="337">
        <f t="shared" si="16"/>
        <v>2.757142857142857</v>
      </c>
      <c r="Q116" s="337">
        <f t="shared" si="17"/>
        <v>4.6</v>
      </c>
      <c r="R116" s="337">
        <f t="shared" si="18"/>
        <v>11.577464788732394</v>
      </c>
      <c r="S116" s="337">
        <f t="shared" si="19"/>
        <v>18.653333333333332</v>
      </c>
      <c r="T116" s="337">
        <f t="shared" si="20"/>
        <v>7.377777777777778</v>
      </c>
      <c r="U116" s="337">
        <f t="shared" si="21"/>
        <v>13.96551724137931</v>
      </c>
      <c r="V116" s="337">
        <f t="shared" si="22"/>
        <v>11.9</v>
      </c>
      <c r="W116" s="341">
        <f t="shared" si="23"/>
        <v>13.17451205510907</v>
      </c>
    </row>
    <row r="117" spans="1:23" ht="15">
      <c r="A117" s="305" t="s">
        <v>115</v>
      </c>
      <c r="B117" s="336">
        <f t="shared" si="3"/>
        <v>0</v>
      </c>
      <c r="C117" s="337">
        <f t="shared" si="4"/>
        <v>0</v>
      </c>
      <c r="D117" s="337">
        <f t="shared" si="5"/>
        <v>0.3125</v>
      </c>
      <c r="E117" s="337">
        <f t="shared" si="6"/>
        <v>0</v>
      </c>
      <c r="F117" s="337">
        <f t="shared" si="7"/>
        <v>0</v>
      </c>
      <c r="G117" s="337">
        <f t="shared" si="8"/>
        <v>0</v>
      </c>
      <c r="H117" s="337">
        <f t="shared" si="9"/>
        <v>0</v>
      </c>
      <c r="I117" s="337">
        <f t="shared" si="10"/>
        <v>0</v>
      </c>
      <c r="J117" s="337">
        <f t="shared" si="11"/>
        <v>0</v>
      </c>
      <c r="K117" s="337">
        <f t="shared" si="12"/>
        <v>0</v>
      </c>
      <c r="L117" s="338">
        <f t="shared" si="13"/>
        <v>0</v>
      </c>
      <c r="M117" s="339">
        <f t="shared" si="24"/>
        <v>0.011961722488038277</v>
      </c>
      <c r="N117" s="340">
        <f t="shared" si="14"/>
        <v>0</v>
      </c>
      <c r="O117" s="337">
        <f t="shared" si="15"/>
        <v>0.4166666666666667</v>
      </c>
      <c r="P117" s="337">
        <f t="shared" si="16"/>
        <v>0</v>
      </c>
      <c r="Q117" s="337">
        <f t="shared" si="17"/>
        <v>0</v>
      </c>
      <c r="R117" s="337">
        <f t="shared" si="18"/>
        <v>0</v>
      </c>
      <c r="S117" s="337">
        <f t="shared" si="19"/>
        <v>0</v>
      </c>
      <c r="T117" s="337">
        <f t="shared" si="20"/>
        <v>0</v>
      </c>
      <c r="U117" s="337">
        <f t="shared" si="21"/>
        <v>0.2471264367816092</v>
      </c>
      <c r="V117" s="337">
        <f t="shared" si="22"/>
        <v>0</v>
      </c>
      <c r="W117" s="341">
        <f t="shared" si="23"/>
        <v>0.07807118254879448</v>
      </c>
    </row>
    <row r="118" spans="1:23" ht="15.75" thickBot="1">
      <c r="A118" s="306" t="s">
        <v>116</v>
      </c>
      <c r="B118" s="342">
        <f t="shared" si="3"/>
        <v>0</v>
      </c>
      <c r="C118" s="343">
        <f t="shared" si="4"/>
        <v>0</v>
      </c>
      <c r="D118" s="343">
        <f t="shared" si="5"/>
        <v>0</v>
      </c>
      <c r="E118" s="343">
        <f t="shared" si="6"/>
        <v>0</v>
      </c>
      <c r="F118" s="343">
        <f t="shared" si="7"/>
        <v>0</v>
      </c>
      <c r="G118" s="343">
        <f t="shared" si="8"/>
        <v>0</v>
      </c>
      <c r="H118" s="343">
        <f t="shared" si="9"/>
        <v>0</v>
      </c>
      <c r="I118" s="343">
        <f t="shared" si="10"/>
        <v>0</v>
      </c>
      <c r="J118" s="343">
        <f t="shared" si="11"/>
        <v>0</v>
      </c>
      <c r="K118" s="343">
        <f t="shared" si="12"/>
        <v>0</v>
      </c>
      <c r="L118" s="344">
        <f t="shared" si="13"/>
        <v>0</v>
      </c>
      <c r="M118" s="345">
        <f t="shared" si="24"/>
        <v>0</v>
      </c>
      <c r="N118" s="346">
        <f t="shared" si="14"/>
        <v>0</v>
      </c>
      <c r="O118" s="343">
        <f t="shared" si="15"/>
        <v>0</v>
      </c>
      <c r="P118" s="343">
        <f t="shared" si="16"/>
        <v>0.32857142857142857</v>
      </c>
      <c r="Q118" s="343">
        <f t="shared" si="17"/>
        <v>0</v>
      </c>
      <c r="R118" s="343">
        <f t="shared" si="18"/>
        <v>0</v>
      </c>
      <c r="S118" s="343">
        <f t="shared" si="19"/>
        <v>0</v>
      </c>
      <c r="T118" s="343">
        <f t="shared" si="20"/>
        <v>0</v>
      </c>
      <c r="U118" s="343">
        <f t="shared" si="21"/>
        <v>0</v>
      </c>
      <c r="V118" s="343">
        <f t="shared" si="22"/>
        <v>0</v>
      </c>
      <c r="W118" s="347">
        <f t="shared" si="23"/>
        <v>0.02640642939150402</v>
      </c>
    </row>
    <row r="119" spans="1:23" ht="15.75" thickBot="1">
      <c r="A119" s="362" t="s">
        <v>117</v>
      </c>
      <c r="B119" s="363">
        <f t="shared" si="3"/>
        <v>301.38235294117646</v>
      </c>
      <c r="C119" s="364">
        <f t="shared" si="4"/>
        <v>276.8141592920354</v>
      </c>
      <c r="D119" s="364">
        <f t="shared" si="5"/>
        <v>229.0625</v>
      </c>
      <c r="E119" s="364">
        <f t="shared" si="6"/>
        <v>234.34285714285716</v>
      </c>
      <c r="F119" s="364">
        <f t="shared" si="7"/>
        <v>303.6231884057971</v>
      </c>
      <c r="G119" s="364">
        <f t="shared" si="8"/>
        <v>224.08374384236453</v>
      </c>
      <c r="H119" s="364">
        <f t="shared" si="9"/>
        <v>257.1220930232558</v>
      </c>
      <c r="I119" s="364">
        <f t="shared" si="10"/>
        <v>252.16923076923078</v>
      </c>
      <c r="J119" s="364">
        <f t="shared" si="11"/>
        <v>281.85869565217394</v>
      </c>
      <c r="K119" s="364">
        <f t="shared" si="12"/>
        <v>300.37692307692305</v>
      </c>
      <c r="L119" s="365">
        <f t="shared" si="13"/>
        <v>369.6170212765957</v>
      </c>
      <c r="M119" s="366">
        <f t="shared" si="24"/>
        <v>270.12280701754383</v>
      </c>
      <c r="N119" s="367">
        <f t="shared" si="14"/>
        <v>267.12</v>
      </c>
      <c r="O119" s="364">
        <f t="shared" si="15"/>
        <v>385.56666666666666</v>
      </c>
      <c r="P119" s="364">
        <f t="shared" si="16"/>
        <v>320</v>
      </c>
      <c r="Q119" s="364">
        <f t="shared" si="17"/>
        <v>273.325</v>
      </c>
      <c r="R119" s="364">
        <f t="shared" si="18"/>
        <v>311.2957746478873</v>
      </c>
      <c r="S119" s="364">
        <f t="shared" si="19"/>
        <v>352.49333333333334</v>
      </c>
      <c r="T119" s="364">
        <f t="shared" si="20"/>
        <v>278.74444444444447</v>
      </c>
      <c r="U119" s="364">
        <f t="shared" si="21"/>
        <v>407.44827586206895</v>
      </c>
      <c r="V119" s="364">
        <f t="shared" si="22"/>
        <v>268.8375</v>
      </c>
      <c r="W119" s="368">
        <f t="shared" si="23"/>
        <v>324.04477611940297</v>
      </c>
    </row>
    <row r="120" spans="1:24" ht="16.5" customHeight="1" thickBot="1">
      <c r="A120" s="370" t="s">
        <v>237</v>
      </c>
      <c r="B120" s="371">
        <f aca="true" t="shared" si="25" ref="B120:V120">(B58-B55)/B63</f>
        <v>293.5735294117647</v>
      </c>
      <c r="C120" s="371">
        <f t="shared" si="25"/>
        <v>260.16814159292034</v>
      </c>
      <c r="D120" s="371">
        <f t="shared" si="25"/>
        <v>220.72916666666666</v>
      </c>
      <c r="E120" s="371">
        <f t="shared" si="25"/>
        <v>227.7</v>
      </c>
      <c r="F120" s="371">
        <f t="shared" si="25"/>
        <v>294.231884057971</v>
      </c>
      <c r="G120" s="371">
        <f t="shared" si="25"/>
        <v>219.79310344827587</v>
      </c>
      <c r="H120" s="371">
        <f t="shared" si="25"/>
        <v>242.49418604651163</v>
      </c>
      <c r="I120" s="371">
        <f t="shared" si="25"/>
        <v>246.6102564102564</v>
      </c>
      <c r="J120" s="371">
        <f t="shared" si="25"/>
        <v>260.2282608695652</v>
      </c>
      <c r="K120" s="371">
        <f t="shared" si="25"/>
        <v>291.5769230769231</v>
      </c>
      <c r="L120" s="371">
        <f t="shared" si="25"/>
        <v>347.8829787234043</v>
      </c>
      <c r="M120" s="372">
        <f t="shared" si="25"/>
        <v>259.29904306220095</v>
      </c>
      <c r="N120" s="371">
        <f t="shared" si="25"/>
        <v>259.77</v>
      </c>
      <c r="O120" s="371">
        <f t="shared" si="25"/>
        <v>334.06666666666666</v>
      </c>
      <c r="P120" s="371">
        <f t="shared" si="25"/>
        <v>317.24285714285713</v>
      </c>
      <c r="Q120" s="371">
        <f t="shared" si="25"/>
        <v>268.725</v>
      </c>
      <c r="R120" s="371">
        <f t="shared" si="25"/>
        <v>299.71830985915494</v>
      </c>
      <c r="S120" s="371">
        <f t="shared" si="25"/>
        <v>333.84</v>
      </c>
      <c r="T120" s="371">
        <f t="shared" si="25"/>
        <v>271.3666666666667</v>
      </c>
      <c r="U120" s="371">
        <f t="shared" si="25"/>
        <v>393.48275862068965</v>
      </c>
      <c r="V120" s="371">
        <f t="shared" si="25"/>
        <v>256.9375</v>
      </c>
      <c r="W120" s="373">
        <f>(X58-X55)/X63</f>
        <v>310.8702640642939</v>
      </c>
      <c r="X120" s="369"/>
    </row>
  </sheetData>
  <mergeCells count="1">
    <mergeCell ref="B64:W64"/>
  </mergeCells>
  <printOptions/>
  <pageMargins left="0.75" right="0.75" top="1" bottom="1" header="0.4921259845" footer="0.4921259845"/>
  <pageSetup fitToHeight="2" horizontalDpi="600" verticalDpi="600" orientation="landscape" paperSize="8" scale="55" r:id="rId1"/>
  <headerFooter alignWithMargins="0">
    <oddHeader>&amp;R
</oddHeader>
    <oddFooter>&amp;C&amp;P</oddFooter>
  </headerFooter>
  <rowBreaks count="1" manualBreakCount="1">
    <brk id="63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T99"/>
  <sheetViews>
    <sheetView view="pageBreakPreview" zoomScale="70" zoomScaleNormal="90" zoomScaleSheetLayoutView="70" workbookViewId="0" topLeftCell="A1">
      <selection activeCell="A77" sqref="A77"/>
    </sheetView>
  </sheetViews>
  <sheetFormatPr defaultColWidth="9.00390625" defaultRowHeight="12.75"/>
  <cols>
    <col min="1" max="1" width="27.875" style="138" customWidth="1"/>
    <col min="2" max="2" width="14.625" style="138" customWidth="1"/>
    <col min="3" max="3" width="13.75390625" style="138" customWidth="1"/>
    <col min="4" max="4" width="11.875" style="154" customWidth="1"/>
    <col min="5" max="5" width="14.625" style="147" customWidth="1"/>
    <col min="6" max="6" width="13.75390625" style="138" customWidth="1"/>
    <col min="7" max="12" width="11.87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128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27838</v>
      </c>
      <c r="E7" s="169">
        <v>29141</v>
      </c>
      <c r="F7" s="170">
        <f>E7-D7</f>
        <v>1303</v>
      </c>
      <c r="G7" s="171">
        <f>E7/D7</f>
        <v>1.0468065234571449</v>
      </c>
      <c r="H7" s="172">
        <f>H8+H9+H10+H11+H12+H13</f>
        <v>28755</v>
      </c>
      <c r="I7" s="173"/>
      <c r="J7" s="174">
        <f>H7+I7</f>
        <v>28755</v>
      </c>
      <c r="K7" s="175">
        <f>J7-E7</f>
        <v>-386</v>
      </c>
      <c r="L7" s="176">
        <f>J7/E7</f>
        <v>0.9867540578566281</v>
      </c>
    </row>
    <row r="8" spans="1:12" ht="14.25">
      <c r="A8" s="465" t="s">
        <v>66</v>
      </c>
      <c r="B8" s="465"/>
      <c r="C8" s="465"/>
      <c r="D8" s="143">
        <v>9848</v>
      </c>
      <c r="E8" s="140">
        <v>10422</v>
      </c>
      <c r="F8" s="160">
        <f aca="true" t="shared" si="0" ref="F8:F60">E8-D8</f>
        <v>574</v>
      </c>
      <c r="G8" s="161">
        <f aca="true" t="shared" si="1" ref="G8:G60">E8/D8</f>
        <v>1.058285946385053</v>
      </c>
      <c r="H8" s="141">
        <v>10300</v>
      </c>
      <c r="I8" s="142"/>
      <c r="J8" s="174">
        <f aca="true" t="shared" si="2" ref="J8:J60">H8+I8</f>
        <v>10300</v>
      </c>
      <c r="K8" s="164">
        <f aca="true" t="shared" si="3" ref="K8:K60">J8-E8</f>
        <v>-122</v>
      </c>
      <c r="L8" s="165">
        <f aca="true" t="shared" si="4" ref="L8:L60">J8/E8</f>
        <v>0.9882939934753406</v>
      </c>
    </row>
    <row r="9" spans="1:12" ht="14.25">
      <c r="A9" s="465" t="s">
        <v>67</v>
      </c>
      <c r="B9" s="465"/>
      <c r="C9" s="465"/>
      <c r="D9" s="143">
        <v>14010</v>
      </c>
      <c r="E9" s="140">
        <v>14515</v>
      </c>
      <c r="F9" s="160">
        <f t="shared" si="0"/>
        <v>505</v>
      </c>
      <c r="G9" s="161">
        <f t="shared" si="1"/>
        <v>1.03604568165596</v>
      </c>
      <c r="H9" s="141">
        <v>14300</v>
      </c>
      <c r="I9" s="142"/>
      <c r="J9" s="174">
        <f t="shared" si="2"/>
        <v>14300</v>
      </c>
      <c r="K9" s="164">
        <f t="shared" si="3"/>
        <v>-215</v>
      </c>
      <c r="L9" s="165">
        <f t="shared" si="4"/>
        <v>0.9851877368239752</v>
      </c>
    </row>
    <row r="10" spans="1:12" ht="14.25">
      <c r="A10" s="465" t="s">
        <v>68</v>
      </c>
      <c r="B10" s="465"/>
      <c r="C10" s="465"/>
      <c r="D10" s="143">
        <v>11</v>
      </c>
      <c r="E10" s="140">
        <v>15</v>
      </c>
      <c r="F10" s="160">
        <f t="shared" si="0"/>
        <v>4</v>
      </c>
      <c r="G10" s="161">
        <f t="shared" si="1"/>
        <v>1.3636363636363635</v>
      </c>
      <c r="H10" s="141">
        <v>15</v>
      </c>
      <c r="I10" s="142"/>
      <c r="J10" s="174">
        <f t="shared" si="2"/>
        <v>15</v>
      </c>
      <c r="K10" s="164">
        <f t="shared" si="3"/>
        <v>0</v>
      </c>
      <c r="L10" s="165">
        <f t="shared" si="4"/>
        <v>1</v>
      </c>
    </row>
    <row r="11" spans="1:12" ht="14.25">
      <c r="A11" s="465" t="s">
        <v>69</v>
      </c>
      <c r="B11" s="465"/>
      <c r="C11" s="465"/>
      <c r="D11" s="143">
        <v>3271</v>
      </c>
      <c r="E11" s="140">
        <v>3350</v>
      </c>
      <c r="F11" s="160">
        <f t="shared" si="0"/>
        <v>79</v>
      </c>
      <c r="G11" s="161">
        <f t="shared" si="1"/>
        <v>1.0241516355854479</v>
      </c>
      <c r="H11" s="141">
        <v>3350</v>
      </c>
      <c r="I11" s="142"/>
      <c r="J11" s="174">
        <f t="shared" si="2"/>
        <v>3350</v>
      </c>
      <c r="K11" s="164">
        <f t="shared" si="3"/>
        <v>0</v>
      </c>
      <c r="L11" s="165">
        <f t="shared" si="4"/>
        <v>1</v>
      </c>
    </row>
    <row r="12" spans="1:12" ht="14.25">
      <c r="A12" s="465" t="s">
        <v>70</v>
      </c>
      <c r="B12" s="465"/>
      <c r="C12" s="465"/>
      <c r="D12" s="143">
        <v>676</v>
      </c>
      <c r="E12" s="140">
        <v>822</v>
      </c>
      <c r="F12" s="160">
        <f t="shared" si="0"/>
        <v>146</v>
      </c>
      <c r="G12" s="161">
        <f t="shared" si="1"/>
        <v>1.2159763313609468</v>
      </c>
      <c r="H12" s="141">
        <v>770</v>
      </c>
      <c r="I12" s="142"/>
      <c r="J12" s="174">
        <f t="shared" si="2"/>
        <v>770</v>
      </c>
      <c r="K12" s="164">
        <f t="shared" si="3"/>
        <v>-52</v>
      </c>
      <c r="L12" s="165">
        <f t="shared" si="4"/>
        <v>0.9367396593673966</v>
      </c>
    </row>
    <row r="13" spans="1:12" ht="14.25">
      <c r="A13" s="465" t="s">
        <v>71</v>
      </c>
      <c r="B13" s="465"/>
      <c r="C13" s="465"/>
      <c r="D13" s="143">
        <v>22</v>
      </c>
      <c r="E13" s="140">
        <v>17</v>
      </c>
      <c r="F13" s="160">
        <f t="shared" si="0"/>
        <v>-5</v>
      </c>
      <c r="G13" s="161">
        <f t="shared" si="1"/>
        <v>0.7727272727272727</v>
      </c>
      <c r="H13" s="141">
        <v>20</v>
      </c>
      <c r="I13" s="142"/>
      <c r="J13" s="174">
        <f t="shared" si="2"/>
        <v>20</v>
      </c>
      <c r="K13" s="164">
        <f t="shared" si="3"/>
        <v>3</v>
      </c>
      <c r="L13" s="165">
        <f t="shared" si="4"/>
        <v>1.1764705882352942</v>
      </c>
    </row>
    <row r="14" spans="1:20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485</v>
      </c>
      <c r="E16" s="140">
        <v>923</v>
      </c>
      <c r="F16" s="160">
        <f t="shared" si="0"/>
        <v>438</v>
      </c>
      <c r="G16" s="161">
        <f t="shared" si="1"/>
        <v>1.9030927835051545</v>
      </c>
      <c r="H16" s="141">
        <v>709</v>
      </c>
      <c r="I16" s="142"/>
      <c r="J16" s="174">
        <v>709</v>
      </c>
      <c r="K16" s="164">
        <f t="shared" si="3"/>
        <v>-214</v>
      </c>
      <c r="L16" s="165">
        <f t="shared" si="4"/>
        <v>0.7681473456121344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201</v>
      </c>
      <c r="E17" s="140">
        <v>878</v>
      </c>
      <c r="F17" s="160">
        <f t="shared" si="0"/>
        <v>677</v>
      </c>
      <c r="G17" s="161">
        <f t="shared" si="1"/>
        <v>4.3681592039801</v>
      </c>
      <c r="H17" s="141">
        <v>659</v>
      </c>
      <c r="I17" s="142"/>
      <c r="J17" s="174">
        <v>659</v>
      </c>
      <c r="K17" s="164">
        <f t="shared" si="3"/>
        <v>-219</v>
      </c>
      <c r="L17" s="165">
        <f t="shared" si="4"/>
        <v>0.7505694760820045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>
        <v>0</v>
      </c>
      <c r="E18" s="140">
        <v>0</v>
      </c>
      <c r="F18" s="160">
        <f t="shared" si="0"/>
        <v>0</v>
      </c>
      <c r="G18" s="161"/>
      <c r="H18" s="141">
        <v>0</v>
      </c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>
        <v>0</v>
      </c>
      <c r="E19" s="140">
        <v>0</v>
      </c>
      <c r="F19" s="160">
        <f t="shared" si="0"/>
        <v>0</v>
      </c>
      <c r="G19" s="161"/>
      <c r="H19" s="141">
        <v>0</v>
      </c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>
        <v>0</v>
      </c>
      <c r="E20" s="140">
        <v>0</v>
      </c>
      <c r="F20" s="160">
        <f t="shared" si="0"/>
        <v>0</v>
      </c>
      <c r="G20" s="161"/>
      <c r="H20" s="141">
        <v>0</v>
      </c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>
        <v>0</v>
      </c>
      <c r="E21" s="140">
        <v>0</v>
      </c>
      <c r="F21" s="160">
        <f t="shared" si="0"/>
        <v>0</v>
      </c>
      <c r="G21" s="161"/>
      <c r="H21" s="141">
        <v>0</v>
      </c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13904</v>
      </c>
      <c r="E22" s="177">
        <v>14143</v>
      </c>
      <c r="F22" s="160">
        <f t="shared" si="0"/>
        <v>239</v>
      </c>
      <c r="G22" s="161">
        <f t="shared" si="1"/>
        <v>1.0171892980437285</v>
      </c>
      <c r="H22" s="172">
        <v>12504</v>
      </c>
      <c r="I22" s="173"/>
      <c r="J22" s="174">
        <f t="shared" si="2"/>
        <v>12504</v>
      </c>
      <c r="K22" s="164">
        <f t="shared" si="3"/>
        <v>-1639</v>
      </c>
      <c r="L22" s="165">
        <f t="shared" si="4"/>
        <v>0.8841122816941243</v>
      </c>
    </row>
    <row r="23" spans="1:12" ht="14.25">
      <c r="A23" s="456" t="s">
        <v>81</v>
      </c>
      <c r="B23" s="456"/>
      <c r="C23" s="456"/>
      <c r="D23" s="143">
        <v>3375</v>
      </c>
      <c r="E23" s="140">
        <v>3087</v>
      </c>
      <c r="F23" s="160">
        <f t="shared" si="0"/>
        <v>-288</v>
      </c>
      <c r="G23" s="161">
        <f t="shared" si="1"/>
        <v>0.9146666666666666</v>
      </c>
      <c r="H23" s="141">
        <v>2854</v>
      </c>
      <c r="I23" s="142"/>
      <c r="J23" s="174">
        <f t="shared" si="2"/>
        <v>2854</v>
      </c>
      <c r="K23" s="164">
        <f t="shared" si="3"/>
        <v>-233</v>
      </c>
      <c r="L23" s="165">
        <f t="shared" si="4"/>
        <v>0.9245221898283122</v>
      </c>
    </row>
    <row r="24" spans="1:12" ht="14.25">
      <c r="A24" s="456" t="s">
        <v>82</v>
      </c>
      <c r="B24" s="456"/>
      <c r="C24" s="456"/>
      <c r="D24" s="143">
        <v>10165</v>
      </c>
      <c r="E24" s="140">
        <v>10523</v>
      </c>
      <c r="F24" s="160">
        <f t="shared" si="0"/>
        <v>358</v>
      </c>
      <c r="G24" s="161">
        <f t="shared" si="1"/>
        <v>1.0352188883423512</v>
      </c>
      <c r="H24" s="141">
        <v>9320</v>
      </c>
      <c r="I24" s="142"/>
      <c r="J24" s="174">
        <f t="shared" si="2"/>
        <v>9320</v>
      </c>
      <c r="K24" s="164">
        <f t="shared" si="3"/>
        <v>-1203</v>
      </c>
      <c r="L24" s="165">
        <f t="shared" si="4"/>
        <v>0.8856789888814977</v>
      </c>
    </row>
    <row r="25" spans="1:12" ht="14.25">
      <c r="A25" s="456" t="s">
        <v>83</v>
      </c>
      <c r="B25" s="456"/>
      <c r="C25" s="456"/>
      <c r="D25" s="143">
        <v>364</v>
      </c>
      <c r="E25" s="140">
        <v>533</v>
      </c>
      <c r="F25" s="160">
        <f t="shared" si="0"/>
        <v>169</v>
      </c>
      <c r="G25" s="161">
        <f t="shared" si="1"/>
        <v>1.4642857142857142</v>
      </c>
      <c r="H25" s="141">
        <v>330</v>
      </c>
      <c r="I25" s="142"/>
      <c r="J25" s="174">
        <f t="shared" si="2"/>
        <v>330</v>
      </c>
      <c r="K25" s="164">
        <f t="shared" si="3"/>
        <v>-203</v>
      </c>
      <c r="L25" s="165">
        <f t="shared" si="4"/>
        <v>0.6191369606003753</v>
      </c>
    </row>
    <row r="26" spans="1:12" ht="15" thickBot="1">
      <c r="A26" s="494" t="s">
        <v>118</v>
      </c>
      <c r="B26" s="494"/>
      <c r="C26" s="494"/>
      <c r="D26" s="159">
        <v>0</v>
      </c>
      <c r="E26" s="148">
        <v>0</v>
      </c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42227</v>
      </c>
      <c r="E27" s="180">
        <v>44242</v>
      </c>
      <c r="F27" s="181">
        <f t="shared" si="0"/>
        <v>2015</v>
      </c>
      <c r="G27" s="182">
        <f t="shared" si="1"/>
        <v>1.0477182845099107</v>
      </c>
      <c r="H27" s="183">
        <v>41998</v>
      </c>
      <c r="I27" s="184"/>
      <c r="J27" s="185">
        <f t="shared" si="2"/>
        <v>41998</v>
      </c>
      <c r="K27" s="183">
        <f t="shared" si="3"/>
        <v>-2244</v>
      </c>
      <c r="L27" s="186">
        <f t="shared" si="4"/>
        <v>0.9492789656887121</v>
      </c>
    </row>
    <row r="28" spans="1:12" ht="14.25">
      <c r="A28" s="495" t="s">
        <v>85</v>
      </c>
      <c r="B28" s="495"/>
      <c r="C28" s="495"/>
      <c r="D28" s="187">
        <v>6867</v>
      </c>
      <c r="E28" s="188">
        <v>6127</v>
      </c>
      <c r="F28" s="189">
        <f t="shared" si="0"/>
        <v>-740</v>
      </c>
      <c r="G28" s="190">
        <f t="shared" si="1"/>
        <v>0.892238240862094</v>
      </c>
      <c r="H28" s="191">
        <v>6060</v>
      </c>
      <c r="I28" s="192"/>
      <c r="J28" s="193">
        <f t="shared" si="2"/>
        <v>6060</v>
      </c>
      <c r="K28" s="194">
        <f t="shared" si="3"/>
        <v>-67</v>
      </c>
      <c r="L28" s="195">
        <f t="shared" si="4"/>
        <v>0.9890647951689244</v>
      </c>
    </row>
    <row r="29" spans="1:12" ht="14.25">
      <c r="A29" s="441" t="s">
        <v>86</v>
      </c>
      <c r="B29" s="441"/>
      <c r="C29" s="441"/>
      <c r="D29" s="143">
        <v>3865</v>
      </c>
      <c r="E29" s="140">
        <v>4379</v>
      </c>
      <c r="F29" s="160">
        <f t="shared" si="0"/>
        <v>514</v>
      </c>
      <c r="G29" s="161">
        <f t="shared" si="1"/>
        <v>1.1329883570504529</v>
      </c>
      <c r="H29" s="141">
        <v>4300</v>
      </c>
      <c r="I29" s="142"/>
      <c r="J29" s="174">
        <f t="shared" si="2"/>
        <v>4300</v>
      </c>
      <c r="K29" s="164">
        <f t="shared" si="3"/>
        <v>-79</v>
      </c>
      <c r="L29" s="165">
        <f t="shared" si="4"/>
        <v>0.9819593514501027</v>
      </c>
    </row>
    <row r="30" spans="1:12" ht="14.25">
      <c r="A30" s="441" t="s">
        <v>87</v>
      </c>
      <c r="B30" s="441"/>
      <c r="C30" s="441"/>
      <c r="D30" s="143">
        <v>92</v>
      </c>
      <c r="E30" s="140">
        <v>126</v>
      </c>
      <c r="F30" s="160">
        <f t="shared" si="0"/>
        <v>34</v>
      </c>
      <c r="G30" s="161">
        <f t="shared" si="1"/>
        <v>1.3695652173913044</v>
      </c>
      <c r="H30" s="141">
        <v>150</v>
      </c>
      <c r="I30" s="142"/>
      <c r="J30" s="174">
        <f t="shared" si="2"/>
        <v>150</v>
      </c>
      <c r="K30" s="164">
        <f t="shared" si="3"/>
        <v>24</v>
      </c>
      <c r="L30" s="165">
        <f t="shared" si="4"/>
        <v>1.1904761904761905</v>
      </c>
    </row>
    <row r="31" spans="1:12" ht="14.25">
      <c r="A31" s="441" t="s">
        <v>88</v>
      </c>
      <c r="B31" s="441"/>
      <c r="C31" s="441"/>
      <c r="D31" s="143">
        <v>1364</v>
      </c>
      <c r="E31" s="140">
        <v>370</v>
      </c>
      <c r="F31" s="160">
        <f t="shared" si="0"/>
        <v>-994</v>
      </c>
      <c r="G31" s="161">
        <f t="shared" si="1"/>
        <v>0.27126099706744866</v>
      </c>
      <c r="H31" s="141">
        <v>400</v>
      </c>
      <c r="I31" s="142"/>
      <c r="J31" s="174">
        <f t="shared" si="2"/>
        <v>400</v>
      </c>
      <c r="K31" s="164">
        <f t="shared" si="3"/>
        <v>30</v>
      </c>
      <c r="L31" s="165">
        <f t="shared" si="4"/>
        <v>1.0810810810810811</v>
      </c>
    </row>
    <row r="32" spans="1:12" ht="14.25">
      <c r="A32" s="441" t="s">
        <v>89</v>
      </c>
      <c r="B32" s="441"/>
      <c r="C32" s="441"/>
      <c r="D32" s="143">
        <v>1058</v>
      </c>
      <c r="E32" s="140">
        <v>894</v>
      </c>
      <c r="F32" s="160">
        <f t="shared" si="0"/>
        <v>-164</v>
      </c>
      <c r="G32" s="161">
        <f t="shared" si="1"/>
        <v>0.8449905482041588</v>
      </c>
      <c r="H32" s="141">
        <v>860</v>
      </c>
      <c r="I32" s="142"/>
      <c r="J32" s="174">
        <f t="shared" si="2"/>
        <v>860</v>
      </c>
      <c r="K32" s="164">
        <f t="shared" si="3"/>
        <v>-34</v>
      </c>
      <c r="L32" s="165">
        <f t="shared" si="4"/>
        <v>0.9619686800894854</v>
      </c>
    </row>
    <row r="33" spans="1:12" ht="14.25">
      <c r="A33" s="441" t="s">
        <v>90</v>
      </c>
      <c r="B33" s="441"/>
      <c r="C33" s="441"/>
      <c r="D33" s="143">
        <v>488</v>
      </c>
      <c r="E33" s="140">
        <v>349</v>
      </c>
      <c r="F33" s="160">
        <f t="shared" si="0"/>
        <v>-139</v>
      </c>
      <c r="G33" s="161">
        <f t="shared" si="1"/>
        <v>0.7151639344262295</v>
      </c>
      <c r="H33" s="141">
        <v>350</v>
      </c>
      <c r="I33" s="142"/>
      <c r="J33" s="174">
        <f t="shared" si="2"/>
        <v>350</v>
      </c>
      <c r="K33" s="164">
        <f t="shared" si="3"/>
        <v>1</v>
      </c>
      <c r="L33" s="165">
        <f t="shared" si="4"/>
        <v>1.002865329512894</v>
      </c>
    </row>
    <row r="34" spans="1:12" ht="14.25">
      <c r="A34" s="441" t="s">
        <v>91</v>
      </c>
      <c r="B34" s="441"/>
      <c r="C34" s="441"/>
      <c r="D34" s="196">
        <v>2711</v>
      </c>
      <c r="E34" s="177">
        <v>2677</v>
      </c>
      <c r="F34" s="197">
        <f t="shared" si="0"/>
        <v>-34</v>
      </c>
      <c r="G34" s="198">
        <f t="shared" si="1"/>
        <v>0.9874585023976392</v>
      </c>
      <c r="H34" s="172">
        <v>2700</v>
      </c>
      <c r="I34" s="173"/>
      <c r="J34" s="174">
        <f t="shared" si="2"/>
        <v>2700</v>
      </c>
      <c r="K34" s="199">
        <f t="shared" si="3"/>
        <v>23</v>
      </c>
      <c r="L34" s="200">
        <f t="shared" si="4"/>
        <v>1.0085917071348525</v>
      </c>
    </row>
    <row r="35" spans="1:12" ht="14.25">
      <c r="A35" s="441" t="s">
        <v>92</v>
      </c>
      <c r="B35" s="441"/>
      <c r="C35" s="441"/>
      <c r="D35" s="143">
        <v>953</v>
      </c>
      <c r="E35" s="140">
        <v>1021</v>
      </c>
      <c r="F35" s="160">
        <f t="shared" si="0"/>
        <v>68</v>
      </c>
      <c r="G35" s="161">
        <f t="shared" si="1"/>
        <v>1.0713536201469045</v>
      </c>
      <c r="H35" s="141">
        <v>1050</v>
      </c>
      <c r="I35" s="142"/>
      <c r="J35" s="174">
        <f t="shared" si="2"/>
        <v>1050</v>
      </c>
      <c r="K35" s="164">
        <f t="shared" si="3"/>
        <v>29</v>
      </c>
      <c r="L35" s="165">
        <f t="shared" si="4"/>
        <v>1.0284035259549462</v>
      </c>
    </row>
    <row r="36" spans="1:12" ht="14.25">
      <c r="A36" s="441" t="s">
        <v>93</v>
      </c>
      <c r="B36" s="441"/>
      <c r="C36" s="441"/>
      <c r="D36" s="143">
        <v>1163</v>
      </c>
      <c r="E36" s="140">
        <v>1101</v>
      </c>
      <c r="F36" s="160">
        <f t="shared" si="0"/>
        <v>-62</v>
      </c>
      <c r="G36" s="161">
        <f t="shared" si="1"/>
        <v>0.9466895958727429</v>
      </c>
      <c r="H36" s="141">
        <v>1100</v>
      </c>
      <c r="I36" s="142"/>
      <c r="J36" s="174">
        <f t="shared" si="2"/>
        <v>1100</v>
      </c>
      <c r="K36" s="164">
        <f t="shared" si="3"/>
        <v>-1</v>
      </c>
      <c r="L36" s="165">
        <f t="shared" si="4"/>
        <v>0.9990917347865577</v>
      </c>
    </row>
    <row r="37" spans="1:12" ht="14.25">
      <c r="A37" s="441" t="s">
        <v>94</v>
      </c>
      <c r="B37" s="441"/>
      <c r="C37" s="441"/>
      <c r="D37" s="143">
        <v>0</v>
      </c>
      <c r="E37" s="140">
        <v>0</v>
      </c>
      <c r="F37" s="160">
        <f t="shared" si="0"/>
        <v>0</v>
      </c>
      <c r="G37" s="161"/>
      <c r="H37" s="141">
        <v>0</v>
      </c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>
        <v>0</v>
      </c>
      <c r="E38" s="140">
        <v>0</v>
      </c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592</v>
      </c>
      <c r="E39" s="140">
        <v>555</v>
      </c>
      <c r="F39" s="160">
        <f t="shared" si="0"/>
        <v>-37</v>
      </c>
      <c r="G39" s="161">
        <f t="shared" si="1"/>
        <v>0.9375</v>
      </c>
      <c r="H39" s="141">
        <v>550</v>
      </c>
      <c r="I39" s="142"/>
      <c r="J39" s="174">
        <f t="shared" si="2"/>
        <v>550</v>
      </c>
      <c r="K39" s="164">
        <f t="shared" si="3"/>
        <v>-5</v>
      </c>
      <c r="L39" s="165">
        <f t="shared" si="4"/>
        <v>0.990990990990991</v>
      </c>
    </row>
    <row r="40" spans="1:12" ht="14.25">
      <c r="A40" s="441" t="s">
        <v>97</v>
      </c>
      <c r="B40" s="441"/>
      <c r="C40" s="441"/>
      <c r="D40" s="143">
        <v>0</v>
      </c>
      <c r="E40" s="140">
        <v>0</v>
      </c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546</v>
      </c>
      <c r="E41" s="140">
        <v>411</v>
      </c>
      <c r="F41" s="160">
        <f t="shared" si="0"/>
        <v>-135</v>
      </c>
      <c r="G41" s="161">
        <f t="shared" si="1"/>
        <v>0.7527472527472527</v>
      </c>
      <c r="H41" s="141">
        <v>450</v>
      </c>
      <c r="I41" s="142"/>
      <c r="J41" s="174">
        <f t="shared" si="2"/>
        <v>450</v>
      </c>
      <c r="K41" s="164">
        <f t="shared" si="3"/>
        <v>39</v>
      </c>
      <c r="L41" s="165">
        <f t="shared" si="4"/>
        <v>1.094890510948905</v>
      </c>
    </row>
    <row r="42" spans="1:12" ht="14.25">
      <c r="A42" s="441" t="s">
        <v>99</v>
      </c>
      <c r="B42" s="441"/>
      <c r="C42" s="441"/>
      <c r="D42" s="143">
        <v>66</v>
      </c>
      <c r="E42" s="140">
        <v>173</v>
      </c>
      <c r="F42" s="160">
        <f t="shared" si="0"/>
        <v>107</v>
      </c>
      <c r="G42" s="161">
        <f t="shared" si="1"/>
        <v>2.621212121212121</v>
      </c>
      <c r="H42" s="141">
        <v>150</v>
      </c>
      <c r="I42" s="142"/>
      <c r="J42" s="174">
        <f t="shared" si="2"/>
        <v>150</v>
      </c>
      <c r="K42" s="164">
        <f t="shared" si="3"/>
        <v>-23</v>
      </c>
      <c r="L42" s="165">
        <f t="shared" si="4"/>
        <v>0.8670520231213873</v>
      </c>
    </row>
    <row r="43" spans="1:12" ht="14.25">
      <c r="A43" s="441" t="s">
        <v>100</v>
      </c>
      <c r="B43" s="441"/>
      <c r="C43" s="441"/>
      <c r="D43" s="143">
        <v>8</v>
      </c>
      <c r="E43" s="140">
        <v>10</v>
      </c>
      <c r="F43" s="160">
        <f t="shared" si="0"/>
        <v>2</v>
      </c>
      <c r="G43" s="161">
        <f t="shared" si="1"/>
        <v>1.25</v>
      </c>
      <c r="H43" s="141">
        <v>10</v>
      </c>
      <c r="I43" s="142"/>
      <c r="J43" s="174">
        <f t="shared" si="2"/>
        <v>10</v>
      </c>
      <c r="K43" s="164">
        <f t="shared" si="3"/>
        <v>0</v>
      </c>
      <c r="L43" s="165">
        <f t="shared" si="4"/>
        <v>1</v>
      </c>
    </row>
    <row r="44" spans="1:12" ht="14.25">
      <c r="A44" s="441" t="s">
        <v>101</v>
      </c>
      <c r="B44" s="441"/>
      <c r="C44" s="441"/>
      <c r="D44" s="143">
        <v>1796</v>
      </c>
      <c r="E44" s="140">
        <v>1830</v>
      </c>
      <c r="F44" s="160">
        <f t="shared" si="0"/>
        <v>34</v>
      </c>
      <c r="G44" s="161">
        <f t="shared" si="1"/>
        <v>1.0189309576837418</v>
      </c>
      <c r="H44" s="141">
        <v>1920</v>
      </c>
      <c r="I44" s="142"/>
      <c r="J44" s="174">
        <f t="shared" si="2"/>
        <v>1920</v>
      </c>
      <c r="K44" s="164">
        <f t="shared" si="3"/>
        <v>90</v>
      </c>
      <c r="L44" s="165">
        <f t="shared" si="4"/>
        <v>1.0491803278688525</v>
      </c>
    </row>
    <row r="45" spans="1:15" ht="14.25">
      <c r="A45" s="441" t="s">
        <v>102</v>
      </c>
      <c r="B45" s="441"/>
      <c r="C45" s="441"/>
      <c r="D45" s="143">
        <v>174</v>
      </c>
      <c r="E45" s="140">
        <v>104</v>
      </c>
      <c r="F45" s="160">
        <f t="shared" si="0"/>
        <v>-70</v>
      </c>
      <c r="G45" s="161">
        <f t="shared" si="1"/>
        <v>0.5977011494252874</v>
      </c>
      <c r="H45" s="141">
        <v>100</v>
      </c>
      <c r="I45" s="142"/>
      <c r="J45" s="174">
        <f t="shared" si="2"/>
        <v>100</v>
      </c>
      <c r="K45" s="164">
        <f t="shared" si="3"/>
        <v>-4</v>
      </c>
      <c r="L45" s="165">
        <f t="shared" si="4"/>
        <v>0.9615384615384616</v>
      </c>
      <c r="O45" s="147"/>
    </row>
    <row r="46" spans="1:12" ht="14.25">
      <c r="A46" s="441" t="s">
        <v>103</v>
      </c>
      <c r="B46" s="441"/>
      <c r="C46" s="441"/>
      <c r="D46" s="143">
        <v>0</v>
      </c>
      <c r="E46" s="140">
        <v>0</v>
      </c>
      <c r="F46" s="160">
        <f t="shared" si="0"/>
        <v>0</v>
      </c>
      <c r="G46" s="161"/>
      <c r="H46" s="141">
        <v>200</v>
      </c>
      <c r="I46" s="142"/>
      <c r="J46" s="174">
        <f t="shared" si="2"/>
        <v>200</v>
      </c>
      <c r="K46" s="164">
        <f t="shared" si="3"/>
        <v>200</v>
      </c>
      <c r="L46" s="165"/>
    </row>
    <row r="47" spans="1:12" ht="14.25">
      <c r="A47" s="441" t="s">
        <v>104</v>
      </c>
      <c r="B47" s="441"/>
      <c r="C47" s="441"/>
      <c r="D47" s="143">
        <v>1622</v>
      </c>
      <c r="E47" s="140">
        <v>1711</v>
      </c>
      <c r="F47" s="160">
        <f t="shared" si="0"/>
        <v>89</v>
      </c>
      <c r="G47" s="161">
        <f t="shared" si="1"/>
        <v>1.0548705302096177</v>
      </c>
      <c r="H47" s="141">
        <v>1820</v>
      </c>
      <c r="I47" s="142"/>
      <c r="J47" s="174">
        <f t="shared" si="2"/>
        <v>1820</v>
      </c>
      <c r="K47" s="164">
        <f t="shared" si="3"/>
        <v>109</v>
      </c>
      <c r="L47" s="165">
        <f t="shared" si="4"/>
        <v>1.0637054354178843</v>
      </c>
    </row>
    <row r="48" spans="1:12" ht="14.25">
      <c r="A48" s="441" t="s">
        <v>105</v>
      </c>
      <c r="B48" s="441"/>
      <c r="C48" s="441"/>
      <c r="D48" s="196">
        <v>28253</v>
      </c>
      <c r="E48" s="177">
        <v>30583</v>
      </c>
      <c r="F48" s="197">
        <f t="shared" si="0"/>
        <v>2330</v>
      </c>
      <c r="G48" s="198">
        <f t="shared" si="1"/>
        <v>1.0824691183237178</v>
      </c>
      <c r="H48" s="172">
        <v>30548</v>
      </c>
      <c r="I48" s="173"/>
      <c r="J48" s="174">
        <f t="shared" si="2"/>
        <v>30548</v>
      </c>
      <c r="K48" s="199">
        <f t="shared" si="3"/>
        <v>-35</v>
      </c>
      <c r="L48" s="200">
        <f t="shared" si="4"/>
        <v>0.9988555733577478</v>
      </c>
    </row>
    <row r="49" spans="1:12" ht="14.25">
      <c r="A49" s="441" t="s">
        <v>106</v>
      </c>
      <c r="B49" s="441"/>
      <c r="C49" s="441"/>
      <c r="D49" s="143">
        <v>20907</v>
      </c>
      <c r="E49" s="140">
        <v>22484</v>
      </c>
      <c r="F49" s="160">
        <f t="shared" si="0"/>
        <v>1577</v>
      </c>
      <c r="G49" s="161">
        <f t="shared" si="1"/>
        <v>1.0754292820586406</v>
      </c>
      <c r="H49" s="141">
        <v>22460</v>
      </c>
      <c r="I49" s="142"/>
      <c r="J49" s="174">
        <f t="shared" si="2"/>
        <v>22460</v>
      </c>
      <c r="K49" s="164">
        <f t="shared" si="3"/>
        <v>-24</v>
      </c>
      <c r="L49" s="165">
        <f t="shared" si="4"/>
        <v>0.99893257427504</v>
      </c>
    </row>
    <row r="50" spans="1:12" ht="14.25">
      <c r="A50" s="441" t="s">
        <v>107</v>
      </c>
      <c r="B50" s="441"/>
      <c r="C50" s="441"/>
      <c r="D50" s="143">
        <v>20732</v>
      </c>
      <c r="E50" s="140">
        <v>22267</v>
      </c>
      <c r="F50" s="160">
        <f t="shared" si="0"/>
        <v>1535</v>
      </c>
      <c r="G50" s="161">
        <f t="shared" si="1"/>
        <v>1.0740401311981478</v>
      </c>
      <c r="H50" s="141">
        <v>22260</v>
      </c>
      <c r="I50" s="142"/>
      <c r="J50" s="174">
        <f t="shared" si="2"/>
        <v>22260</v>
      </c>
      <c r="K50" s="164">
        <f t="shared" si="3"/>
        <v>-7</v>
      </c>
      <c r="L50" s="165">
        <f t="shared" si="4"/>
        <v>0.9996856334486011</v>
      </c>
    </row>
    <row r="51" spans="1:12" ht="14.25">
      <c r="A51" s="441" t="s">
        <v>108</v>
      </c>
      <c r="B51" s="441"/>
      <c r="C51" s="441"/>
      <c r="D51" s="143">
        <v>175</v>
      </c>
      <c r="E51" s="140">
        <v>200</v>
      </c>
      <c r="F51" s="160">
        <f t="shared" si="0"/>
        <v>25</v>
      </c>
      <c r="G51" s="161">
        <f t="shared" si="1"/>
        <v>1.1428571428571428</v>
      </c>
      <c r="H51" s="141">
        <v>200</v>
      </c>
      <c r="I51" s="142"/>
      <c r="J51" s="174">
        <f t="shared" si="2"/>
        <v>200</v>
      </c>
      <c r="K51" s="164">
        <f t="shared" si="3"/>
        <v>0</v>
      </c>
      <c r="L51" s="165">
        <f t="shared" si="4"/>
        <v>1</v>
      </c>
    </row>
    <row r="52" spans="1:12" ht="14.25">
      <c r="A52" s="441" t="s">
        <v>109</v>
      </c>
      <c r="B52" s="441"/>
      <c r="C52" s="441"/>
      <c r="D52" s="143">
        <v>7346</v>
      </c>
      <c r="E52" s="140">
        <v>8183</v>
      </c>
      <c r="F52" s="160">
        <f t="shared" si="0"/>
        <v>837</v>
      </c>
      <c r="G52" s="161">
        <f t="shared" si="1"/>
        <v>1.1139395589436427</v>
      </c>
      <c r="H52" s="141">
        <v>8088</v>
      </c>
      <c r="I52" s="142"/>
      <c r="J52" s="174">
        <f t="shared" si="2"/>
        <v>8088</v>
      </c>
      <c r="K52" s="164">
        <f t="shared" si="3"/>
        <v>-95</v>
      </c>
      <c r="L52" s="165">
        <f t="shared" si="4"/>
        <v>0.9883905658071612</v>
      </c>
    </row>
    <row r="53" spans="1:12" ht="14.25">
      <c r="A53" s="441" t="s">
        <v>110</v>
      </c>
      <c r="B53" s="441"/>
      <c r="C53" s="441"/>
      <c r="D53" s="143">
        <v>0</v>
      </c>
      <c r="E53" s="140">
        <v>0</v>
      </c>
      <c r="F53" s="160">
        <f t="shared" si="0"/>
        <v>0</v>
      </c>
      <c r="G53" s="161"/>
      <c r="H53" s="141">
        <v>0</v>
      </c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>
        <v>0</v>
      </c>
      <c r="E54" s="140">
        <v>0</v>
      </c>
      <c r="F54" s="160">
        <f t="shared" si="0"/>
        <v>0</v>
      </c>
      <c r="G54" s="161"/>
      <c r="H54" s="141">
        <v>0</v>
      </c>
      <c r="I54" s="142"/>
      <c r="J54" s="174">
        <f t="shared" si="2"/>
        <v>0</v>
      </c>
      <c r="K54" s="164">
        <f t="shared" si="3"/>
        <v>0</v>
      </c>
      <c r="L54" s="165"/>
    </row>
    <row r="55" spans="1:12" ht="14.25">
      <c r="A55" s="441" t="s">
        <v>112</v>
      </c>
      <c r="B55" s="441"/>
      <c r="C55" s="441"/>
      <c r="D55" s="143">
        <v>419</v>
      </c>
      <c r="E55" s="140">
        <v>798</v>
      </c>
      <c r="F55" s="160">
        <f t="shared" si="0"/>
        <v>379</v>
      </c>
      <c r="G55" s="161">
        <f t="shared" si="1"/>
        <v>1.9045346062052506</v>
      </c>
      <c r="H55" s="141">
        <v>687</v>
      </c>
      <c r="I55" s="142"/>
      <c r="J55" s="174">
        <f t="shared" si="2"/>
        <v>687</v>
      </c>
      <c r="K55" s="164">
        <f t="shared" si="3"/>
        <v>-111</v>
      </c>
      <c r="L55" s="165">
        <f t="shared" si="4"/>
        <v>0.8609022556390977</v>
      </c>
    </row>
    <row r="56" spans="1:12" ht="14.25">
      <c r="A56" s="441" t="s">
        <v>113</v>
      </c>
      <c r="B56" s="441"/>
      <c r="C56" s="441"/>
      <c r="D56" s="143">
        <v>0</v>
      </c>
      <c r="E56" s="140">
        <v>0</v>
      </c>
      <c r="F56" s="160">
        <f t="shared" si="0"/>
        <v>0</v>
      </c>
      <c r="G56" s="161"/>
      <c r="H56" s="141">
        <v>0</v>
      </c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1520</v>
      </c>
      <c r="E57" s="140">
        <v>1517</v>
      </c>
      <c r="F57" s="160">
        <f t="shared" si="0"/>
        <v>-3</v>
      </c>
      <c r="G57" s="161">
        <f t="shared" si="1"/>
        <v>0.9980263157894737</v>
      </c>
      <c r="H57" s="141">
        <v>1644</v>
      </c>
      <c r="I57" s="142"/>
      <c r="J57" s="174">
        <f t="shared" si="2"/>
        <v>1644</v>
      </c>
      <c r="K57" s="164">
        <f t="shared" si="3"/>
        <v>127</v>
      </c>
      <c r="L57" s="165">
        <f t="shared" si="4"/>
        <v>1.083717864205669</v>
      </c>
    </row>
    <row r="58" spans="1:12" ht="14.25">
      <c r="A58" s="441" t="s">
        <v>115</v>
      </c>
      <c r="B58" s="441"/>
      <c r="C58" s="441"/>
      <c r="D58" s="143">
        <v>0</v>
      </c>
      <c r="E58" s="140">
        <v>0</v>
      </c>
      <c r="F58" s="160">
        <f t="shared" si="0"/>
        <v>0</v>
      </c>
      <c r="G58" s="161"/>
      <c r="H58" s="141">
        <v>0</v>
      </c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>
        <v>0</v>
      </c>
      <c r="E59" s="148">
        <v>0</v>
      </c>
      <c r="F59" s="162">
        <f t="shared" si="0"/>
        <v>0</v>
      </c>
      <c r="G59" s="163"/>
      <c r="H59" s="145">
        <v>0</v>
      </c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42185</v>
      </c>
      <c r="E60" s="180">
        <v>44242</v>
      </c>
      <c r="F60" s="181">
        <f t="shared" si="0"/>
        <v>2057</v>
      </c>
      <c r="G60" s="182">
        <f t="shared" si="1"/>
        <v>1.048761408083442</v>
      </c>
      <c r="H60" s="183">
        <v>44204</v>
      </c>
      <c r="I60" s="184"/>
      <c r="J60" s="185">
        <f t="shared" si="2"/>
        <v>44204</v>
      </c>
      <c r="K60" s="183">
        <f t="shared" si="3"/>
        <v>-38</v>
      </c>
      <c r="L60" s="186">
        <f t="shared" si="4"/>
        <v>0.9991410876542651</v>
      </c>
    </row>
    <row r="61" spans="1:14" s="6" customFormat="1" ht="15">
      <c r="A61" s="447" t="s">
        <v>17</v>
      </c>
      <c r="B61" s="447"/>
      <c r="C61" s="447"/>
      <c r="D61" s="96">
        <f>SUM(D27-D60)</f>
        <v>42</v>
      </c>
      <c r="E61" s="96">
        <f>SUM(E27-E60)</f>
        <v>0</v>
      </c>
      <c r="F61" s="96"/>
      <c r="G61" s="96"/>
      <c r="H61" s="96">
        <f>SUM(H27-H60)</f>
        <v>-2206</v>
      </c>
      <c r="I61" s="96"/>
      <c r="J61" s="96">
        <f>J27-J60</f>
        <v>-2206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220</v>
      </c>
      <c r="B67" s="382"/>
      <c r="C67" s="13">
        <v>500</v>
      </c>
      <c r="D67" s="14"/>
      <c r="E67" s="382" t="s">
        <v>226</v>
      </c>
      <c r="F67" s="382"/>
      <c r="G67" s="382"/>
      <c r="H67" s="382"/>
      <c r="I67" s="15">
        <v>100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221</v>
      </c>
      <c r="B68" s="382"/>
      <c r="C68" s="13">
        <v>140</v>
      </c>
      <c r="D68" s="14"/>
      <c r="E68" s="380" t="s">
        <v>227</v>
      </c>
      <c r="F68" s="380"/>
      <c r="G68" s="380"/>
      <c r="H68" s="380"/>
      <c r="I68" s="16">
        <v>40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222</v>
      </c>
      <c r="B69" s="382"/>
      <c r="C69" s="13">
        <v>150</v>
      </c>
      <c r="D69" s="14"/>
      <c r="E69" s="380" t="s">
        <v>228</v>
      </c>
      <c r="F69" s="380"/>
      <c r="G69" s="380"/>
      <c r="H69" s="380"/>
      <c r="I69" s="16">
        <v>50</v>
      </c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223</v>
      </c>
      <c r="B70" s="382"/>
      <c r="C70" s="13">
        <v>85</v>
      </c>
      <c r="D70" s="14"/>
      <c r="E70" s="380" t="s">
        <v>200</v>
      </c>
      <c r="F70" s="380"/>
      <c r="G70" s="380"/>
      <c r="H70" s="380"/>
      <c r="I70" s="16">
        <v>30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 t="s">
        <v>224</v>
      </c>
      <c r="B71" s="384"/>
      <c r="C71" s="15">
        <v>110</v>
      </c>
      <c r="D71" s="14"/>
      <c r="E71" s="380" t="s">
        <v>229</v>
      </c>
      <c r="F71" s="380"/>
      <c r="G71" s="380"/>
      <c r="H71" s="380"/>
      <c r="I71" s="28">
        <v>30</v>
      </c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 t="s">
        <v>225</v>
      </c>
      <c r="B72" s="384"/>
      <c r="C72" s="13">
        <v>120</v>
      </c>
      <c r="D72" s="14"/>
      <c r="E72" s="380" t="s">
        <v>314</v>
      </c>
      <c r="F72" s="380"/>
      <c r="G72" s="380"/>
      <c r="H72" s="380"/>
      <c r="I72" s="28">
        <v>200</v>
      </c>
      <c r="J72" s="11"/>
      <c r="K72" s="11"/>
      <c r="L72" s="11"/>
      <c r="M72" s="11"/>
      <c r="N72" s="11"/>
    </row>
    <row r="73" spans="1:14" s="6" customFormat="1" ht="15">
      <c r="A73" s="383" t="s">
        <v>337</v>
      </c>
      <c r="B73" s="384"/>
      <c r="C73" s="13">
        <v>550</v>
      </c>
      <c r="D73" s="14"/>
      <c r="E73" s="409"/>
      <c r="F73" s="409"/>
      <c r="G73" s="409"/>
      <c r="H73" s="409"/>
      <c r="I73" s="28"/>
      <c r="J73" s="11"/>
      <c r="K73" s="11"/>
      <c r="L73" s="11"/>
      <c r="M73" s="11"/>
      <c r="N73" s="11"/>
    </row>
    <row r="74" spans="1:14" s="6" customFormat="1" ht="15">
      <c r="A74" s="383" t="s">
        <v>313</v>
      </c>
      <c r="B74" s="384"/>
      <c r="C74" s="33">
        <v>200</v>
      </c>
      <c r="D74" s="14"/>
      <c r="E74" s="409"/>
      <c r="F74" s="409"/>
      <c r="G74" s="409"/>
      <c r="H74" s="409"/>
      <c r="I74" s="263"/>
      <c r="J74" s="11"/>
      <c r="K74" s="11"/>
      <c r="L74" s="11"/>
      <c r="M74" s="11"/>
      <c r="N74" s="11"/>
    </row>
    <row r="75" spans="1:14" s="6" customFormat="1" ht="15.75" thickBot="1">
      <c r="A75" s="383" t="s">
        <v>177</v>
      </c>
      <c r="B75" s="384"/>
      <c r="C75" s="253">
        <v>687</v>
      </c>
      <c r="D75" s="14"/>
      <c r="E75" s="409"/>
      <c r="F75" s="409"/>
      <c r="G75" s="409"/>
      <c r="H75" s="409"/>
      <c r="I75" s="34"/>
      <c r="J75" s="11"/>
      <c r="K75" s="11"/>
      <c r="L75" s="11"/>
      <c r="M75" s="11"/>
      <c r="N75" s="11"/>
    </row>
    <row r="76" spans="1:14" s="6" customFormat="1" ht="15.75" thickBot="1">
      <c r="A76" s="405" t="s">
        <v>12</v>
      </c>
      <c r="B76" s="406"/>
      <c r="C76" s="35">
        <f>SUM(C67:C75)</f>
        <v>2542</v>
      </c>
      <c r="D76" s="36"/>
      <c r="E76" s="404" t="s">
        <v>12</v>
      </c>
      <c r="F76" s="404"/>
      <c r="G76" s="404"/>
      <c r="H76" s="404"/>
      <c r="I76" s="37">
        <f>SUM(I67:I74)</f>
        <v>450</v>
      </c>
      <c r="J76" s="11"/>
      <c r="K76" s="11"/>
      <c r="L76" s="11"/>
      <c r="M76" s="11"/>
      <c r="N76" s="38"/>
    </row>
    <row r="77" spans="1:5" s="10" customFormat="1" ht="13.5" customHeight="1">
      <c r="A77" s="374" t="s">
        <v>333</v>
      </c>
      <c r="B77" s="39"/>
      <c r="C77" s="39"/>
      <c r="D77" s="39"/>
      <c r="E77" s="39"/>
    </row>
    <row r="78" spans="1:12" s="10" customFormat="1" ht="15.75" thickBot="1">
      <c r="A78" s="5" t="s">
        <v>152</v>
      </c>
      <c r="B78" s="40"/>
      <c r="C78" s="40"/>
      <c r="D78" s="40"/>
      <c r="E78" s="41"/>
      <c r="F78" s="42"/>
      <c r="G78" s="42"/>
      <c r="H78" s="14"/>
      <c r="I78" s="40"/>
      <c r="J78" s="40" t="s">
        <v>46</v>
      </c>
      <c r="K78" s="40"/>
      <c r="L78" s="41"/>
    </row>
    <row r="79" spans="1:11" s="10" customFormat="1" ht="15.75" thickBot="1">
      <c r="A79" s="427" t="s">
        <v>31</v>
      </c>
      <c r="B79" s="428" t="s">
        <v>153</v>
      </c>
      <c r="C79" s="412" t="s">
        <v>154</v>
      </c>
      <c r="D79" s="412"/>
      <c r="E79" s="412"/>
      <c r="F79" s="412"/>
      <c r="G79" s="412"/>
      <c r="H79" s="412"/>
      <c r="I79" s="412"/>
      <c r="J79" s="413" t="s">
        <v>155</v>
      </c>
      <c r="K79" s="6"/>
    </row>
    <row r="80" spans="1:11" s="10" customFormat="1" ht="12.75" customHeight="1" thickBot="1">
      <c r="A80" s="427"/>
      <c r="B80" s="428"/>
      <c r="C80" s="414" t="s">
        <v>32</v>
      </c>
      <c r="D80" s="415" t="s">
        <v>33</v>
      </c>
      <c r="E80" s="415"/>
      <c r="F80" s="415"/>
      <c r="G80" s="415"/>
      <c r="H80" s="415"/>
      <c r="I80" s="415"/>
      <c r="J80" s="413"/>
      <c r="K80" s="6"/>
    </row>
    <row r="81" spans="1:11" s="10" customFormat="1" ht="15.75" thickBot="1">
      <c r="A81" s="427"/>
      <c r="B81" s="428"/>
      <c r="C81" s="414"/>
      <c r="D81" s="43">
        <v>1</v>
      </c>
      <c r="E81" s="43">
        <v>2</v>
      </c>
      <c r="F81" s="43">
        <v>3</v>
      </c>
      <c r="G81" s="43">
        <v>4</v>
      </c>
      <c r="H81" s="43">
        <v>5</v>
      </c>
      <c r="I81" s="44">
        <v>6</v>
      </c>
      <c r="J81" s="413"/>
      <c r="K81" s="6"/>
    </row>
    <row r="82" spans="1:11" s="10" customFormat="1" ht="15.75" thickBot="1">
      <c r="A82" s="45">
        <v>80949</v>
      </c>
      <c r="B82" s="46">
        <v>17905</v>
      </c>
      <c r="C82" s="47">
        <v>1644</v>
      </c>
      <c r="D82" s="48">
        <v>105</v>
      </c>
      <c r="E82" s="48">
        <v>719</v>
      </c>
      <c r="F82" s="48">
        <v>133</v>
      </c>
      <c r="G82" s="48">
        <v>0</v>
      </c>
      <c r="H82" s="49">
        <v>687</v>
      </c>
      <c r="I82" s="50"/>
      <c r="J82" s="51">
        <v>61400</v>
      </c>
      <c r="K82" s="6"/>
    </row>
    <row r="83" spans="1:5" s="10" customFormat="1" ht="13.5" customHeight="1">
      <c r="A83" s="36"/>
      <c r="B83" s="39"/>
      <c r="C83" s="39"/>
      <c r="D83" s="39"/>
      <c r="E83" s="39"/>
    </row>
    <row r="84" spans="1:12" s="10" customFormat="1" ht="15.75" thickBot="1">
      <c r="A84" s="5" t="s">
        <v>63</v>
      </c>
      <c r="B84" s="40"/>
      <c r="C84" s="40"/>
      <c r="D84" s="40"/>
      <c r="E84" s="41"/>
      <c r="F84" s="52"/>
      <c r="G84" s="42"/>
      <c r="H84" s="14"/>
      <c r="I84" s="40"/>
      <c r="J84" s="40"/>
      <c r="K84" s="40"/>
      <c r="L84" s="40" t="s">
        <v>46</v>
      </c>
    </row>
    <row r="85" spans="1:12" s="10" customFormat="1" ht="15.75" thickBot="1">
      <c r="A85" s="416" t="s">
        <v>43</v>
      </c>
      <c r="B85" s="430" t="s">
        <v>156</v>
      </c>
      <c r="C85" s="431" t="s">
        <v>119</v>
      </c>
      <c r="D85" s="431"/>
      <c r="E85" s="431"/>
      <c r="F85" s="431"/>
      <c r="G85" s="432" t="s">
        <v>157</v>
      </c>
      <c r="H85" s="433" t="s">
        <v>34</v>
      </c>
      <c r="I85" s="429" t="s">
        <v>159</v>
      </c>
      <c r="J85" s="429"/>
      <c r="K85" s="429"/>
      <c r="L85" s="429"/>
    </row>
    <row r="86" spans="1:12" s="10" customFormat="1" ht="30.75" thickBot="1">
      <c r="A86" s="416"/>
      <c r="B86" s="430"/>
      <c r="C86" s="53" t="s">
        <v>120</v>
      </c>
      <c r="D86" s="54" t="s">
        <v>35</v>
      </c>
      <c r="E86" s="54" t="s">
        <v>36</v>
      </c>
      <c r="F86" s="55" t="s">
        <v>121</v>
      </c>
      <c r="G86" s="432"/>
      <c r="H86" s="433"/>
      <c r="I86" s="56" t="s">
        <v>158</v>
      </c>
      <c r="J86" s="57" t="s">
        <v>335</v>
      </c>
      <c r="K86" s="57" t="s">
        <v>36</v>
      </c>
      <c r="L86" s="58" t="s">
        <v>160</v>
      </c>
    </row>
    <row r="87" spans="1:12" s="10" customFormat="1" ht="15">
      <c r="A87" s="59" t="s">
        <v>37</v>
      </c>
      <c r="B87" s="60">
        <v>4781.53</v>
      </c>
      <c r="C87" s="61" t="s">
        <v>38</v>
      </c>
      <c r="D87" s="62" t="s">
        <v>38</v>
      </c>
      <c r="E87" s="62" t="s">
        <v>38</v>
      </c>
      <c r="F87" s="63"/>
      <c r="G87" s="64">
        <v>4237.66</v>
      </c>
      <c r="H87" s="65" t="s">
        <v>38</v>
      </c>
      <c r="I87" s="66" t="s">
        <v>38</v>
      </c>
      <c r="J87" s="67" t="s">
        <v>38</v>
      </c>
      <c r="K87" s="67" t="s">
        <v>38</v>
      </c>
      <c r="L87" s="68" t="s">
        <v>38</v>
      </c>
    </row>
    <row r="88" spans="1:13" s="10" customFormat="1" ht="15">
      <c r="A88" s="69" t="s">
        <v>39</v>
      </c>
      <c r="B88" s="70">
        <v>112.54</v>
      </c>
      <c r="C88" s="71">
        <v>113</v>
      </c>
      <c r="D88" s="72">
        <v>0</v>
      </c>
      <c r="E88" s="72">
        <v>0</v>
      </c>
      <c r="F88" s="73">
        <f>C88+D88-E88</f>
        <v>113</v>
      </c>
      <c r="G88" s="74">
        <v>112.54</v>
      </c>
      <c r="H88" s="75">
        <f>+G88-F88</f>
        <v>-0.45999999999999375</v>
      </c>
      <c r="I88" s="71">
        <v>113</v>
      </c>
      <c r="J88" s="72">
        <v>0</v>
      </c>
      <c r="K88" s="72">
        <v>0</v>
      </c>
      <c r="L88" s="73">
        <f>I88+J88-K88</f>
        <v>113</v>
      </c>
      <c r="M88" s="76"/>
    </row>
    <row r="89" spans="1:13" s="10" customFormat="1" ht="15">
      <c r="A89" s="69" t="s">
        <v>40</v>
      </c>
      <c r="B89" s="70">
        <v>604</v>
      </c>
      <c r="C89" s="71">
        <v>607</v>
      </c>
      <c r="D89" s="72">
        <f>42+587</f>
        <v>629</v>
      </c>
      <c r="E89" s="72">
        <f>345+407</f>
        <v>752</v>
      </c>
      <c r="F89" s="73">
        <f>C89+D89-E89</f>
        <v>484</v>
      </c>
      <c r="G89" s="74">
        <f>58.53+408.63</f>
        <v>467.15999999999997</v>
      </c>
      <c r="H89" s="75">
        <f>+G89-F89</f>
        <v>-16.840000000000032</v>
      </c>
      <c r="I89" s="71">
        <v>484</v>
      </c>
      <c r="J89" s="72">
        <v>300</v>
      </c>
      <c r="K89" s="72">
        <v>459</v>
      </c>
      <c r="L89" s="73">
        <f>I89+J89-K89</f>
        <v>325</v>
      </c>
      <c r="M89" s="76"/>
    </row>
    <row r="90" spans="1:13" s="10" customFormat="1" ht="15">
      <c r="A90" s="69" t="s">
        <v>44</v>
      </c>
      <c r="B90" s="70">
        <v>1629</v>
      </c>
      <c r="C90" s="71">
        <v>1628.62</v>
      </c>
      <c r="D90" s="72">
        <v>1517</v>
      </c>
      <c r="E90" s="72">
        <v>1489</v>
      </c>
      <c r="F90" s="73">
        <f>C90+D90-E90</f>
        <v>1656.62</v>
      </c>
      <c r="G90" s="74">
        <v>1735.18</v>
      </c>
      <c r="H90" s="75">
        <f>+G90-F90</f>
        <v>78.56000000000017</v>
      </c>
      <c r="I90" s="77">
        <v>1657</v>
      </c>
      <c r="J90" s="78">
        <v>2144</v>
      </c>
      <c r="K90" s="78">
        <v>2542</v>
      </c>
      <c r="L90" s="73">
        <f>I90+J90-K90</f>
        <v>1259</v>
      </c>
      <c r="M90" s="76"/>
    </row>
    <row r="91" spans="1:13" s="10" customFormat="1" ht="15">
      <c r="A91" s="69" t="s">
        <v>41</v>
      </c>
      <c r="B91" s="70">
        <v>2436</v>
      </c>
      <c r="C91" s="79"/>
      <c r="D91" s="62" t="s">
        <v>38</v>
      </c>
      <c r="E91" s="80" t="s">
        <v>38</v>
      </c>
      <c r="F91" s="73"/>
      <c r="G91" s="74">
        <v>1922.78</v>
      </c>
      <c r="H91" s="81" t="s">
        <v>38</v>
      </c>
      <c r="I91" s="79" t="s">
        <v>38</v>
      </c>
      <c r="J91" s="62" t="s">
        <v>38</v>
      </c>
      <c r="K91" s="80" t="s">
        <v>38</v>
      </c>
      <c r="L91" s="73"/>
      <c r="M91" s="76"/>
    </row>
    <row r="92" spans="1:13" s="10" customFormat="1" ht="15.75" thickBot="1">
      <c r="A92" s="82" t="s">
        <v>42</v>
      </c>
      <c r="B92" s="83">
        <v>96</v>
      </c>
      <c r="C92" s="84">
        <v>93</v>
      </c>
      <c r="D92" s="85">
        <v>445</v>
      </c>
      <c r="E92" s="85">
        <v>519</v>
      </c>
      <c r="F92" s="106">
        <f>C92+D92-E92</f>
        <v>19</v>
      </c>
      <c r="G92" s="109">
        <v>16.825</v>
      </c>
      <c r="H92" s="110">
        <f>+G92-F92</f>
        <v>-2.1750000000000007</v>
      </c>
      <c r="I92" s="111">
        <v>19</v>
      </c>
      <c r="J92" s="112">
        <v>223</v>
      </c>
      <c r="K92" s="112">
        <v>242</v>
      </c>
      <c r="L92" s="106">
        <f>I92+J92-K92</f>
        <v>0</v>
      </c>
      <c r="M92" s="76"/>
    </row>
    <row r="93" ht="14.25">
      <c r="A93" s="374" t="s">
        <v>334</v>
      </c>
    </row>
    <row r="95" spans="1:11" s="6" customFormat="1" ht="15.75" thickBot="1">
      <c r="A95" s="5" t="s">
        <v>146</v>
      </c>
      <c r="D95" s="114"/>
      <c r="E95" s="150"/>
      <c r="K95" s="40" t="s">
        <v>46</v>
      </c>
    </row>
    <row r="96" spans="1:11" s="6" customFormat="1" ht="15">
      <c r="A96" s="410" t="s">
        <v>26</v>
      </c>
      <c r="B96" s="410"/>
      <c r="C96" s="410"/>
      <c r="D96" s="151"/>
      <c r="E96" s="410" t="s">
        <v>27</v>
      </c>
      <c r="F96" s="410"/>
      <c r="G96" s="410"/>
      <c r="I96" s="410" t="s">
        <v>23</v>
      </c>
      <c r="J96" s="410"/>
      <c r="K96" s="410"/>
    </row>
    <row r="97" spans="1:11" s="6" customFormat="1" ht="15.75" thickBot="1">
      <c r="A97" s="86" t="s">
        <v>28</v>
      </c>
      <c r="B97" s="87" t="s">
        <v>29</v>
      </c>
      <c r="C97" s="88" t="s">
        <v>25</v>
      </c>
      <c r="D97" s="151"/>
      <c r="E97" s="152"/>
      <c r="F97" s="417" t="s">
        <v>30</v>
      </c>
      <c r="G97" s="417"/>
      <c r="I97" s="86"/>
      <c r="J97" s="87" t="s">
        <v>24</v>
      </c>
      <c r="K97" s="88" t="s">
        <v>25</v>
      </c>
    </row>
    <row r="98" spans="1:11" s="6" customFormat="1" ht="15">
      <c r="A98" s="89">
        <v>2010</v>
      </c>
      <c r="B98" s="90">
        <v>97</v>
      </c>
      <c r="C98" s="91">
        <v>97.3</v>
      </c>
      <c r="D98" s="149"/>
      <c r="E98" s="89">
        <v>2010</v>
      </c>
      <c r="F98" s="418">
        <v>142</v>
      </c>
      <c r="G98" s="418"/>
      <c r="I98" s="89">
        <v>2010</v>
      </c>
      <c r="J98" s="90">
        <v>22040</v>
      </c>
      <c r="K98" s="91">
        <v>22265</v>
      </c>
    </row>
    <row r="99" spans="1:11" s="6" customFormat="1" ht="15.75" thickBot="1">
      <c r="A99" s="92">
        <v>2011</v>
      </c>
      <c r="B99" s="93">
        <v>97</v>
      </c>
      <c r="C99" s="108" t="s">
        <v>62</v>
      </c>
      <c r="D99" s="149"/>
      <c r="E99" s="92">
        <v>2011</v>
      </c>
      <c r="F99" s="419">
        <v>142</v>
      </c>
      <c r="G99" s="419"/>
      <c r="I99" s="92">
        <v>2011</v>
      </c>
      <c r="J99" s="93">
        <v>22260</v>
      </c>
      <c r="K99" s="108" t="s">
        <v>62</v>
      </c>
    </row>
  </sheetData>
  <mergeCells count="106">
    <mergeCell ref="A75:B75"/>
    <mergeCell ref="E75:H75"/>
    <mergeCell ref="E96:G96"/>
    <mergeCell ref="I96:K96"/>
    <mergeCell ref="A79:A81"/>
    <mergeCell ref="B79:B81"/>
    <mergeCell ref="F98:G98"/>
    <mergeCell ref="H4:J4"/>
    <mergeCell ref="K4:L4"/>
    <mergeCell ref="I65:I66"/>
    <mergeCell ref="E74:H74"/>
    <mergeCell ref="E76:H76"/>
    <mergeCell ref="C79:I79"/>
    <mergeCell ref="C80:C81"/>
    <mergeCell ref="D80:I80"/>
    <mergeCell ref="A62:C62"/>
    <mergeCell ref="A4:C6"/>
    <mergeCell ref="D4:D6"/>
    <mergeCell ref="A18:C18"/>
    <mergeCell ref="A19:C19"/>
    <mergeCell ref="A24:C24"/>
    <mergeCell ref="E4:E6"/>
    <mergeCell ref="F4:G4"/>
    <mergeCell ref="A8:C8"/>
    <mergeCell ref="A9:C9"/>
    <mergeCell ref="A7:C7"/>
    <mergeCell ref="A20:C20"/>
    <mergeCell ref="A21:C21"/>
    <mergeCell ref="A22:C22"/>
    <mergeCell ref="A23:C23"/>
    <mergeCell ref="A65:B66"/>
    <mergeCell ref="C65:C66"/>
    <mergeCell ref="A10:C10"/>
    <mergeCell ref="A11:C11"/>
    <mergeCell ref="A12:C12"/>
    <mergeCell ref="A13:C13"/>
    <mergeCell ref="A14:C14"/>
    <mergeCell ref="A15:C15"/>
    <mergeCell ref="A16:C16"/>
    <mergeCell ref="A17:C17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96:C96"/>
    <mergeCell ref="E65:H66"/>
    <mergeCell ref="A67:B67"/>
    <mergeCell ref="E67:H67"/>
    <mergeCell ref="A68:B68"/>
    <mergeCell ref="E68:H68"/>
    <mergeCell ref="A69:B69"/>
    <mergeCell ref="E69:H69"/>
    <mergeCell ref="A70:B70"/>
    <mergeCell ref="F99:G99"/>
    <mergeCell ref="E70:H70"/>
    <mergeCell ref="A71:B71"/>
    <mergeCell ref="E71:H71"/>
    <mergeCell ref="A72:B72"/>
    <mergeCell ref="E72:H72"/>
    <mergeCell ref="A73:B73"/>
    <mergeCell ref="E73:H73"/>
    <mergeCell ref="A74:B74"/>
    <mergeCell ref="F97:G97"/>
    <mergeCell ref="A2:N2"/>
    <mergeCell ref="A3:G3"/>
    <mergeCell ref="J79:J81"/>
    <mergeCell ref="A85:A86"/>
    <mergeCell ref="B85:B86"/>
    <mergeCell ref="C85:F85"/>
    <mergeCell ref="G85:G86"/>
    <mergeCell ref="H85:H86"/>
    <mergeCell ref="I85:L85"/>
    <mergeCell ref="A76:B76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67">
      <selection activeCell="N69" sqref="N69"/>
    </sheetView>
  </sheetViews>
  <sheetFormatPr defaultColWidth="9.00390625" defaultRowHeight="12.75"/>
  <cols>
    <col min="1" max="1" width="27.875" style="0" customWidth="1"/>
    <col min="2" max="2" width="20.125" style="0" customWidth="1"/>
    <col min="3" max="3" width="9.625" style="0" customWidth="1"/>
    <col min="4" max="4" width="11.875" style="117" customWidth="1"/>
    <col min="5" max="5" width="11.875" style="118" customWidth="1"/>
    <col min="6" max="6" width="14.875" style="0" customWidth="1"/>
    <col min="7" max="8" width="11.875" style="0" customWidth="1"/>
    <col min="9" max="9" width="10.75390625" style="0" customWidth="1"/>
    <col min="10" max="12" width="11.875" style="0" customWidth="1"/>
    <col min="13" max="13" width="9.75390625" style="0" customWidth="1"/>
    <col min="14" max="14" width="10.25390625" style="0" customWidth="1"/>
    <col min="15" max="15" width="10.75390625" style="0" customWidth="1"/>
  </cols>
  <sheetData>
    <row r="2" spans="1:14" s="6" customFormat="1" ht="15">
      <c r="A2" s="407" t="s">
        <v>166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s="138" customFormat="1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s="138" customFormat="1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s="138" customFormat="1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s="138" customFormat="1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s="138" customFormat="1" ht="14.25">
      <c r="A7" s="483" t="s">
        <v>65</v>
      </c>
      <c r="B7" s="483"/>
      <c r="C7" s="483"/>
      <c r="D7" s="168">
        <v>31508</v>
      </c>
      <c r="E7" s="169">
        <v>34598</v>
      </c>
      <c r="F7" s="170">
        <f>E7-D7</f>
        <v>3090</v>
      </c>
      <c r="G7" s="171">
        <f>E7/D7</f>
        <v>1.0980703313444204</v>
      </c>
      <c r="H7" s="172">
        <v>34386</v>
      </c>
      <c r="I7" s="173">
        <v>0</v>
      </c>
      <c r="J7" s="174">
        <f>H7+I7</f>
        <v>34386</v>
      </c>
      <c r="K7" s="175">
        <f>J7-E7</f>
        <v>-212</v>
      </c>
      <c r="L7" s="176">
        <f>J7/E7</f>
        <v>0.9938724781779293</v>
      </c>
    </row>
    <row r="8" spans="1:12" s="138" customFormat="1" ht="14.25">
      <c r="A8" s="465" t="s">
        <v>66</v>
      </c>
      <c r="B8" s="465"/>
      <c r="C8" s="465"/>
      <c r="D8" s="143">
        <v>18350</v>
      </c>
      <c r="E8" s="140">
        <v>18600</v>
      </c>
      <c r="F8" s="160">
        <f aca="true" t="shared" si="0" ref="F8:F60">E8-D8</f>
        <v>250</v>
      </c>
      <c r="G8" s="161">
        <f aca="true" t="shared" si="1" ref="G8:G60">E8/D8</f>
        <v>1.013623978201635</v>
      </c>
      <c r="H8" s="141">
        <v>18800</v>
      </c>
      <c r="I8" s="142">
        <v>0</v>
      </c>
      <c r="J8" s="174">
        <f aca="true" t="shared" si="2" ref="J8:J59">H8+I8</f>
        <v>18800</v>
      </c>
      <c r="K8" s="164">
        <f aca="true" t="shared" si="3" ref="K8:K60">J8-E8</f>
        <v>200</v>
      </c>
      <c r="L8" s="165">
        <f aca="true" t="shared" si="4" ref="L8:L60">J8/E8</f>
        <v>1.010752688172043</v>
      </c>
    </row>
    <row r="9" spans="1:12" s="138" customFormat="1" ht="14.25">
      <c r="A9" s="465" t="s">
        <v>67</v>
      </c>
      <c r="B9" s="465"/>
      <c r="C9" s="465"/>
      <c r="D9" s="143">
        <v>10761</v>
      </c>
      <c r="E9" s="140">
        <v>13162</v>
      </c>
      <c r="F9" s="160">
        <f t="shared" si="0"/>
        <v>2401</v>
      </c>
      <c r="G9" s="161">
        <f t="shared" si="1"/>
        <v>1.2231205278319859</v>
      </c>
      <c r="H9" s="141">
        <v>12730</v>
      </c>
      <c r="I9" s="142">
        <v>0</v>
      </c>
      <c r="J9" s="174">
        <f t="shared" si="2"/>
        <v>12730</v>
      </c>
      <c r="K9" s="164">
        <f t="shared" si="3"/>
        <v>-432</v>
      </c>
      <c r="L9" s="165">
        <f t="shared" si="4"/>
        <v>0.9671782403889986</v>
      </c>
    </row>
    <row r="10" spans="1:12" s="138" customFormat="1" ht="14.25">
      <c r="A10" s="465" t="s">
        <v>68</v>
      </c>
      <c r="B10" s="465"/>
      <c r="C10" s="465"/>
      <c r="D10" s="143">
        <v>0</v>
      </c>
      <c r="E10" s="140">
        <v>0</v>
      </c>
      <c r="F10" s="160">
        <f t="shared" si="0"/>
        <v>0</v>
      </c>
      <c r="G10" s="161"/>
      <c r="H10" s="141">
        <v>0</v>
      </c>
      <c r="I10" s="142">
        <v>0</v>
      </c>
      <c r="J10" s="174">
        <f t="shared" si="2"/>
        <v>0</v>
      </c>
      <c r="K10" s="164">
        <f t="shared" si="3"/>
        <v>0</v>
      </c>
      <c r="L10" s="165"/>
    </row>
    <row r="11" spans="1:12" s="138" customFormat="1" ht="14.25">
      <c r="A11" s="465" t="s">
        <v>69</v>
      </c>
      <c r="B11" s="465"/>
      <c r="C11" s="465"/>
      <c r="D11" s="143">
        <v>1964</v>
      </c>
      <c r="E11" s="140">
        <v>2387</v>
      </c>
      <c r="F11" s="160">
        <f t="shared" si="0"/>
        <v>423</v>
      </c>
      <c r="G11" s="161">
        <f t="shared" si="1"/>
        <v>1.215376782077393</v>
      </c>
      <c r="H11" s="141">
        <v>2387</v>
      </c>
      <c r="I11" s="142">
        <v>0</v>
      </c>
      <c r="J11" s="174">
        <f t="shared" si="2"/>
        <v>2387</v>
      </c>
      <c r="K11" s="164">
        <f t="shared" si="3"/>
        <v>0</v>
      </c>
      <c r="L11" s="165">
        <f t="shared" si="4"/>
        <v>1</v>
      </c>
    </row>
    <row r="12" spans="1:12" s="138" customFormat="1" ht="14.25">
      <c r="A12" s="465" t="s">
        <v>70</v>
      </c>
      <c r="B12" s="465"/>
      <c r="C12" s="465"/>
      <c r="D12" s="143">
        <v>433</v>
      </c>
      <c r="E12" s="140">
        <v>449</v>
      </c>
      <c r="F12" s="160">
        <f t="shared" si="0"/>
        <v>16</v>
      </c>
      <c r="G12" s="161">
        <f t="shared" si="1"/>
        <v>1.0369515011547343</v>
      </c>
      <c r="H12" s="141">
        <v>469</v>
      </c>
      <c r="I12" s="142">
        <v>0</v>
      </c>
      <c r="J12" s="174">
        <f t="shared" si="2"/>
        <v>469</v>
      </c>
      <c r="K12" s="164">
        <f t="shared" si="3"/>
        <v>20</v>
      </c>
      <c r="L12" s="165">
        <f t="shared" si="4"/>
        <v>1.044543429844098</v>
      </c>
    </row>
    <row r="13" spans="1:12" s="138" customFormat="1" ht="14.25">
      <c r="A13" s="465" t="s">
        <v>71</v>
      </c>
      <c r="B13" s="465"/>
      <c r="C13" s="465"/>
      <c r="D13" s="143">
        <v>0</v>
      </c>
      <c r="E13" s="140">
        <v>0</v>
      </c>
      <c r="F13" s="160">
        <f t="shared" si="0"/>
        <v>0</v>
      </c>
      <c r="G13" s="161"/>
      <c r="H13" s="141">
        <v>0</v>
      </c>
      <c r="I13" s="142">
        <v>0</v>
      </c>
      <c r="J13" s="174">
        <f t="shared" si="2"/>
        <v>0</v>
      </c>
      <c r="K13" s="164">
        <f t="shared" si="3"/>
        <v>0</v>
      </c>
      <c r="L13" s="165"/>
    </row>
    <row r="14" spans="1:20" s="138" customFormat="1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>
        <v>0</v>
      </c>
      <c r="I14" s="173">
        <v>0</v>
      </c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s="138" customFormat="1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>
        <v>0</v>
      </c>
      <c r="I15" s="142">
        <v>0</v>
      </c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s="138" customFormat="1" ht="14.25">
      <c r="A16" s="456" t="s">
        <v>74</v>
      </c>
      <c r="B16" s="456"/>
      <c r="C16" s="456"/>
      <c r="D16" s="143">
        <v>382</v>
      </c>
      <c r="E16" s="140">
        <v>293</v>
      </c>
      <c r="F16" s="160">
        <f t="shared" si="0"/>
        <v>-89</v>
      </c>
      <c r="G16" s="161">
        <f t="shared" si="1"/>
        <v>0.7670157068062827</v>
      </c>
      <c r="H16" s="141">
        <v>110</v>
      </c>
      <c r="I16" s="142">
        <v>0</v>
      </c>
      <c r="J16" s="174">
        <f t="shared" si="2"/>
        <v>110</v>
      </c>
      <c r="K16" s="164">
        <f t="shared" si="3"/>
        <v>-183</v>
      </c>
      <c r="L16" s="165">
        <f t="shared" si="4"/>
        <v>0.37542662116040953</v>
      </c>
      <c r="N16" s="139"/>
      <c r="O16" s="139"/>
      <c r="P16" s="139"/>
      <c r="Q16" s="139"/>
      <c r="R16" s="139"/>
      <c r="S16" s="139"/>
      <c r="T16" s="139"/>
    </row>
    <row r="17" spans="1:20" s="138" customFormat="1" ht="14.25">
      <c r="A17" s="456" t="s">
        <v>75</v>
      </c>
      <c r="B17" s="456"/>
      <c r="C17" s="456"/>
      <c r="D17" s="143">
        <v>366</v>
      </c>
      <c r="E17" s="140">
        <v>234</v>
      </c>
      <c r="F17" s="160">
        <f t="shared" si="0"/>
        <v>-132</v>
      </c>
      <c r="G17" s="161">
        <f t="shared" si="1"/>
        <v>0.639344262295082</v>
      </c>
      <c r="H17" s="141">
        <v>60</v>
      </c>
      <c r="I17" s="142">
        <v>0</v>
      </c>
      <c r="J17" s="174">
        <f t="shared" si="2"/>
        <v>60</v>
      </c>
      <c r="K17" s="164">
        <f t="shared" si="3"/>
        <v>-174</v>
      </c>
      <c r="L17" s="165">
        <f t="shared" si="4"/>
        <v>0.2564102564102564</v>
      </c>
      <c r="N17" s="144"/>
      <c r="O17" s="144"/>
      <c r="P17" s="144"/>
      <c r="Q17" s="144"/>
      <c r="R17" s="144"/>
      <c r="S17" s="144"/>
      <c r="T17" s="144"/>
    </row>
    <row r="18" spans="1:12" s="138" customFormat="1" ht="14.25">
      <c r="A18" s="456" t="s">
        <v>76</v>
      </c>
      <c r="B18" s="456"/>
      <c r="C18" s="456"/>
      <c r="D18" s="143">
        <v>0</v>
      </c>
      <c r="E18" s="140">
        <v>0</v>
      </c>
      <c r="F18" s="160">
        <f t="shared" si="0"/>
        <v>0</v>
      </c>
      <c r="G18" s="161"/>
      <c r="H18" s="141">
        <v>0</v>
      </c>
      <c r="I18" s="142">
        <v>0</v>
      </c>
      <c r="J18" s="174">
        <f t="shared" si="2"/>
        <v>0</v>
      </c>
      <c r="K18" s="164">
        <f t="shared" si="3"/>
        <v>0</v>
      </c>
      <c r="L18" s="165"/>
    </row>
    <row r="19" spans="1:12" s="138" customFormat="1" ht="14.25">
      <c r="A19" s="456" t="s">
        <v>77</v>
      </c>
      <c r="B19" s="456"/>
      <c r="C19" s="456"/>
      <c r="D19" s="143">
        <v>0</v>
      </c>
      <c r="E19" s="140">
        <v>0</v>
      </c>
      <c r="F19" s="160">
        <f t="shared" si="0"/>
        <v>0</v>
      </c>
      <c r="G19" s="161"/>
      <c r="H19" s="141">
        <v>0</v>
      </c>
      <c r="I19" s="142">
        <v>0</v>
      </c>
      <c r="J19" s="174">
        <f t="shared" si="2"/>
        <v>0</v>
      </c>
      <c r="K19" s="164">
        <f t="shared" si="3"/>
        <v>0</v>
      </c>
      <c r="L19" s="165"/>
    </row>
    <row r="20" spans="1:12" s="138" customFormat="1" ht="14.25">
      <c r="A20" s="456" t="s">
        <v>78</v>
      </c>
      <c r="B20" s="456"/>
      <c r="C20" s="456"/>
      <c r="D20" s="143">
        <v>0</v>
      </c>
      <c r="E20" s="140">
        <v>0</v>
      </c>
      <c r="F20" s="160">
        <f t="shared" si="0"/>
        <v>0</v>
      </c>
      <c r="G20" s="161"/>
      <c r="H20" s="141">
        <v>0</v>
      </c>
      <c r="I20" s="142">
        <v>0</v>
      </c>
      <c r="J20" s="174">
        <f t="shared" si="2"/>
        <v>0</v>
      </c>
      <c r="K20" s="164">
        <f t="shared" si="3"/>
        <v>0</v>
      </c>
      <c r="L20" s="165"/>
    </row>
    <row r="21" spans="1:12" s="138" customFormat="1" ht="14.25">
      <c r="A21" s="456" t="s">
        <v>79</v>
      </c>
      <c r="B21" s="456"/>
      <c r="C21" s="456"/>
      <c r="D21" s="143">
        <v>0</v>
      </c>
      <c r="E21" s="140">
        <v>0</v>
      </c>
      <c r="F21" s="160">
        <f t="shared" si="0"/>
        <v>0</v>
      </c>
      <c r="G21" s="161"/>
      <c r="H21" s="141">
        <v>0</v>
      </c>
      <c r="I21" s="142">
        <v>0</v>
      </c>
      <c r="J21" s="174">
        <f t="shared" si="2"/>
        <v>0</v>
      </c>
      <c r="K21" s="164">
        <f t="shared" si="3"/>
        <v>0</v>
      </c>
      <c r="L21" s="165"/>
    </row>
    <row r="22" spans="1:12" s="138" customFormat="1" ht="14.25">
      <c r="A22" s="456" t="s">
        <v>80</v>
      </c>
      <c r="B22" s="456"/>
      <c r="C22" s="456"/>
      <c r="D22" s="143">
        <v>15082</v>
      </c>
      <c r="E22" s="177">
        <v>16476</v>
      </c>
      <c r="F22" s="160">
        <f t="shared" si="0"/>
        <v>1394</v>
      </c>
      <c r="G22" s="161">
        <f t="shared" si="1"/>
        <v>1.0924280599390002</v>
      </c>
      <c r="H22" s="172">
        <v>14677</v>
      </c>
      <c r="I22" s="173">
        <v>0</v>
      </c>
      <c r="J22" s="174">
        <f t="shared" si="2"/>
        <v>14677</v>
      </c>
      <c r="K22" s="164">
        <f t="shared" si="3"/>
        <v>-1799</v>
      </c>
      <c r="L22" s="165">
        <f t="shared" si="4"/>
        <v>0.8908108764263171</v>
      </c>
    </row>
    <row r="23" spans="1:12" s="138" customFormat="1" ht="14.25">
      <c r="A23" s="456" t="s">
        <v>81</v>
      </c>
      <c r="B23" s="456"/>
      <c r="C23" s="456"/>
      <c r="D23" s="143">
        <v>3113</v>
      </c>
      <c r="E23" s="140">
        <v>2887</v>
      </c>
      <c r="F23" s="160">
        <f t="shared" si="0"/>
        <v>-226</v>
      </c>
      <c r="G23" s="161">
        <f t="shared" si="1"/>
        <v>0.9274012206874398</v>
      </c>
      <c r="H23" s="141">
        <v>2887</v>
      </c>
      <c r="I23" s="142">
        <v>0</v>
      </c>
      <c r="J23" s="174">
        <f t="shared" si="2"/>
        <v>2887</v>
      </c>
      <c r="K23" s="164">
        <f t="shared" si="3"/>
        <v>0</v>
      </c>
      <c r="L23" s="165">
        <f t="shared" si="4"/>
        <v>1</v>
      </c>
    </row>
    <row r="24" spans="1:12" s="138" customFormat="1" ht="14.25">
      <c r="A24" s="456" t="s">
        <v>82</v>
      </c>
      <c r="B24" s="456"/>
      <c r="C24" s="456"/>
      <c r="D24" s="143">
        <v>11969</v>
      </c>
      <c r="E24" s="140">
        <v>13589</v>
      </c>
      <c r="F24" s="160">
        <f t="shared" si="0"/>
        <v>1620</v>
      </c>
      <c r="G24" s="161">
        <f t="shared" si="1"/>
        <v>1.13534965327095</v>
      </c>
      <c r="H24" s="141">
        <v>11790</v>
      </c>
      <c r="I24" s="142">
        <v>0</v>
      </c>
      <c r="J24" s="174">
        <f t="shared" si="2"/>
        <v>11790</v>
      </c>
      <c r="K24" s="164">
        <f t="shared" si="3"/>
        <v>-1799</v>
      </c>
      <c r="L24" s="165">
        <f t="shared" si="4"/>
        <v>0.8676135109279565</v>
      </c>
    </row>
    <row r="25" spans="1:12" s="138" customFormat="1" ht="14.25">
      <c r="A25" s="456" t="s">
        <v>83</v>
      </c>
      <c r="B25" s="456"/>
      <c r="C25" s="456"/>
      <c r="D25" s="143">
        <v>0</v>
      </c>
      <c r="E25" s="140">
        <v>0</v>
      </c>
      <c r="F25" s="160">
        <f t="shared" si="0"/>
        <v>0</v>
      </c>
      <c r="G25" s="161"/>
      <c r="H25" s="141">
        <v>0</v>
      </c>
      <c r="I25" s="142">
        <v>0</v>
      </c>
      <c r="J25" s="174">
        <f t="shared" si="2"/>
        <v>0</v>
      </c>
      <c r="K25" s="164">
        <f t="shared" si="3"/>
        <v>0</v>
      </c>
      <c r="L25" s="165"/>
    </row>
    <row r="26" spans="1:12" s="138" customFormat="1" ht="15" thickBot="1">
      <c r="A26" s="494" t="s">
        <v>118</v>
      </c>
      <c r="B26" s="494"/>
      <c r="C26" s="494"/>
      <c r="D26" s="159">
        <v>0</v>
      </c>
      <c r="E26" s="148">
        <v>0</v>
      </c>
      <c r="F26" s="162">
        <f t="shared" si="0"/>
        <v>0</v>
      </c>
      <c r="G26" s="163"/>
      <c r="H26" s="145">
        <v>0</v>
      </c>
      <c r="I26" s="146">
        <v>0</v>
      </c>
      <c r="J26" s="178">
        <f t="shared" si="2"/>
        <v>0</v>
      </c>
      <c r="K26" s="166">
        <f t="shared" si="3"/>
        <v>0</v>
      </c>
      <c r="L26" s="167"/>
    </row>
    <row r="27" spans="1:12" s="138" customFormat="1" ht="15.75" thickBot="1">
      <c r="A27" s="462" t="s">
        <v>84</v>
      </c>
      <c r="B27" s="462"/>
      <c r="C27" s="462"/>
      <c r="D27" s="179">
        <v>46972</v>
      </c>
      <c r="E27" s="180">
        <v>51358</v>
      </c>
      <c r="F27" s="181">
        <f t="shared" si="0"/>
        <v>4386</v>
      </c>
      <c r="G27" s="182">
        <f t="shared" si="1"/>
        <v>1.0933747764625734</v>
      </c>
      <c r="H27" s="183">
        <v>49173</v>
      </c>
      <c r="I27" s="184"/>
      <c r="J27" s="185">
        <f t="shared" si="2"/>
        <v>49173</v>
      </c>
      <c r="K27" s="183">
        <f t="shared" si="3"/>
        <v>-2185</v>
      </c>
      <c r="L27" s="186">
        <f t="shared" si="4"/>
        <v>0.9574555083920714</v>
      </c>
    </row>
    <row r="28" spans="1:12" s="138" customFormat="1" ht="14.25">
      <c r="A28" s="495" t="s">
        <v>85</v>
      </c>
      <c r="B28" s="495"/>
      <c r="C28" s="495"/>
      <c r="D28" s="187">
        <v>7902</v>
      </c>
      <c r="E28" s="188">
        <v>8878</v>
      </c>
      <c r="F28" s="189">
        <f t="shared" si="0"/>
        <v>976</v>
      </c>
      <c r="G28" s="190">
        <f t="shared" si="1"/>
        <v>1.123513034674766</v>
      </c>
      <c r="H28" s="191">
        <v>8114</v>
      </c>
      <c r="I28" s="192">
        <v>0</v>
      </c>
      <c r="J28" s="193">
        <v>8114</v>
      </c>
      <c r="K28" s="194">
        <f t="shared" si="3"/>
        <v>-764</v>
      </c>
      <c r="L28" s="195">
        <f t="shared" si="4"/>
        <v>0.9139445821130885</v>
      </c>
    </row>
    <row r="29" spans="1:12" s="138" customFormat="1" ht="14.25">
      <c r="A29" s="441" t="s">
        <v>86</v>
      </c>
      <c r="B29" s="441"/>
      <c r="C29" s="441"/>
      <c r="D29" s="143">
        <v>5027</v>
      </c>
      <c r="E29" s="140">
        <v>5123</v>
      </c>
      <c r="F29" s="160">
        <f t="shared" si="0"/>
        <v>96</v>
      </c>
      <c r="G29" s="161">
        <f t="shared" si="1"/>
        <v>1.0190968768649293</v>
      </c>
      <c r="H29" s="141">
        <v>5343</v>
      </c>
      <c r="I29" s="142">
        <v>0</v>
      </c>
      <c r="J29" s="174">
        <f t="shared" si="2"/>
        <v>5343</v>
      </c>
      <c r="K29" s="164">
        <f t="shared" si="3"/>
        <v>220</v>
      </c>
      <c r="L29" s="165">
        <f t="shared" si="4"/>
        <v>1.0429435877415576</v>
      </c>
    </row>
    <row r="30" spans="1:12" s="138" customFormat="1" ht="14.25">
      <c r="A30" s="441" t="s">
        <v>87</v>
      </c>
      <c r="B30" s="441"/>
      <c r="C30" s="441"/>
      <c r="D30" s="143">
        <v>28</v>
      </c>
      <c r="E30" s="140">
        <v>33</v>
      </c>
      <c r="F30" s="160">
        <f t="shared" si="0"/>
        <v>5</v>
      </c>
      <c r="G30" s="161">
        <f t="shared" si="1"/>
        <v>1.1785714285714286</v>
      </c>
      <c r="H30" s="141">
        <v>35</v>
      </c>
      <c r="I30" s="142">
        <v>0</v>
      </c>
      <c r="J30" s="174">
        <f t="shared" si="2"/>
        <v>35</v>
      </c>
      <c r="K30" s="164">
        <f t="shared" si="3"/>
        <v>2</v>
      </c>
      <c r="L30" s="165">
        <f t="shared" si="4"/>
        <v>1.0606060606060606</v>
      </c>
    </row>
    <row r="31" spans="1:12" s="138" customFormat="1" ht="14.25">
      <c r="A31" s="441" t="s">
        <v>88</v>
      </c>
      <c r="B31" s="441"/>
      <c r="C31" s="441"/>
      <c r="D31" s="143">
        <v>1413</v>
      </c>
      <c r="E31" s="140">
        <v>1860</v>
      </c>
      <c r="F31" s="160">
        <f t="shared" si="0"/>
        <v>447</v>
      </c>
      <c r="G31" s="161">
        <f t="shared" si="1"/>
        <v>1.316348195329087</v>
      </c>
      <c r="H31" s="141">
        <v>886</v>
      </c>
      <c r="I31" s="142">
        <v>0</v>
      </c>
      <c r="J31" s="174">
        <f t="shared" si="2"/>
        <v>886</v>
      </c>
      <c r="K31" s="164">
        <f t="shared" si="3"/>
        <v>-974</v>
      </c>
      <c r="L31" s="165">
        <f t="shared" si="4"/>
        <v>0.47634408602150535</v>
      </c>
    </row>
    <row r="32" spans="1:12" s="138" customFormat="1" ht="14.25">
      <c r="A32" s="441" t="s">
        <v>89</v>
      </c>
      <c r="B32" s="441"/>
      <c r="C32" s="441"/>
      <c r="D32" s="143">
        <v>884</v>
      </c>
      <c r="E32" s="140">
        <v>1206</v>
      </c>
      <c r="F32" s="160">
        <f t="shared" si="0"/>
        <v>322</v>
      </c>
      <c r="G32" s="161">
        <f t="shared" si="1"/>
        <v>1.3642533936651584</v>
      </c>
      <c r="H32" s="141">
        <v>1200</v>
      </c>
      <c r="I32" s="142">
        <v>0</v>
      </c>
      <c r="J32" s="174">
        <f t="shared" si="2"/>
        <v>1200</v>
      </c>
      <c r="K32" s="164">
        <f t="shared" si="3"/>
        <v>-6</v>
      </c>
      <c r="L32" s="165">
        <f t="shared" si="4"/>
        <v>0.9950248756218906</v>
      </c>
    </row>
    <row r="33" spans="1:12" s="138" customFormat="1" ht="14.25">
      <c r="A33" s="441" t="s">
        <v>90</v>
      </c>
      <c r="B33" s="441"/>
      <c r="C33" s="441"/>
      <c r="D33" s="143">
        <v>550</v>
      </c>
      <c r="E33" s="140">
        <v>656</v>
      </c>
      <c r="F33" s="160">
        <f t="shared" si="0"/>
        <v>106</v>
      </c>
      <c r="G33" s="161">
        <f t="shared" si="1"/>
        <v>1.1927272727272726</v>
      </c>
      <c r="H33" s="141">
        <v>650</v>
      </c>
      <c r="I33" s="142">
        <v>0</v>
      </c>
      <c r="J33" s="174">
        <f t="shared" si="2"/>
        <v>650</v>
      </c>
      <c r="K33" s="164">
        <f t="shared" si="3"/>
        <v>-6</v>
      </c>
      <c r="L33" s="165">
        <f t="shared" si="4"/>
        <v>0.9908536585365854</v>
      </c>
    </row>
    <row r="34" spans="1:12" s="138" customFormat="1" ht="14.25">
      <c r="A34" s="441" t="s">
        <v>91</v>
      </c>
      <c r="B34" s="441"/>
      <c r="C34" s="441"/>
      <c r="D34" s="196">
        <v>3854</v>
      </c>
      <c r="E34" s="177">
        <v>3910</v>
      </c>
      <c r="F34" s="197">
        <f t="shared" si="0"/>
        <v>56</v>
      </c>
      <c r="G34" s="198">
        <f t="shared" si="1"/>
        <v>1.0145303580695382</v>
      </c>
      <c r="H34" s="172">
        <v>3953</v>
      </c>
      <c r="I34" s="173">
        <v>0</v>
      </c>
      <c r="J34" s="174">
        <f t="shared" si="2"/>
        <v>3953</v>
      </c>
      <c r="K34" s="199">
        <f t="shared" si="3"/>
        <v>43</v>
      </c>
      <c r="L34" s="200">
        <f t="shared" si="4"/>
        <v>1.010997442455243</v>
      </c>
    </row>
    <row r="35" spans="1:12" s="138" customFormat="1" ht="14.25">
      <c r="A35" s="441" t="s">
        <v>92</v>
      </c>
      <c r="B35" s="441"/>
      <c r="C35" s="441"/>
      <c r="D35" s="143">
        <v>1541</v>
      </c>
      <c r="E35" s="140">
        <v>1651</v>
      </c>
      <c r="F35" s="160">
        <f t="shared" si="0"/>
        <v>110</v>
      </c>
      <c r="G35" s="161">
        <f t="shared" si="1"/>
        <v>1.0713822193380922</v>
      </c>
      <c r="H35" s="141">
        <v>1651</v>
      </c>
      <c r="I35" s="142">
        <v>0</v>
      </c>
      <c r="J35" s="174">
        <f t="shared" si="2"/>
        <v>1651</v>
      </c>
      <c r="K35" s="164">
        <f t="shared" si="3"/>
        <v>0</v>
      </c>
      <c r="L35" s="165">
        <f t="shared" si="4"/>
        <v>1</v>
      </c>
    </row>
    <row r="36" spans="1:12" s="138" customFormat="1" ht="14.25">
      <c r="A36" s="441" t="s">
        <v>93</v>
      </c>
      <c r="B36" s="441"/>
      <c r="C36" s="441"/>
      <c r="D36" s="143">
        <v>1450</v>
      </c>
      <c r="E36" s="140">
        <v>1395</v>
      </c>
      <c r="F36" s="160">
        <f t="shared" si="0"/>
        <v>-55</v>
      </c>
      <c r="G36" s="161">
        <f t="shared" si="1"/>
        <v>0.9620689655172414</v>
      </c>
      <c r="H36" s="141">
        <v>1395</v>
      </c>
      <c r="I36" s="142">
        <v>0</v>
      </c>
      <c r="J36" s="174">
        <f t="shared" si="2"/>
        <v>1395</v>
      </c>
      <c r="K36" s="164">
        <f t="shared" si="3"/>
        <v>0</v>
      </c>
      <c r="L36" s="165">
        <f t="shared" si="4"/>
        <v>1</v>
      </c>
    </row>
    <row r="37" spans="1:12" s="138" customFormat="1" ht="14.25">
      <c r="A37" s="441" t="s">
        <v>94</v>
      </c>
      <c r="B37" s="441"/>
      <c r="C37" s="441"/>
      <c r="D37" s="143">
        <v>0</v>
      </c>
      <c r="E37" s="140">
        <v>0</v>
      </c>
      <c r="F37" s="160">
        <f t="shared" si="0"/>
        <v>0</v>
      </c>
      <c r="G37" s="161"/>
      <c r="H37" s="141">
        <v>0</v>
      </c>
      <c r="I37" s="142">
        <v>0</v>
      </c>
      <c r="J37" s="174">
        <f t="shared" si="2"/>
        <v>0</v>
      </c>
      <c r="K37" s="164">
        <f t="shared" si="3"/>
        <v>0</v>
      </c>
      <c r="L37" s="165"/>
    </row>
    <row r="38" spans="1:12" s="138" customFormat="1" ht="14.25">
      <c r="A38" s="441" t="s">
        <v>95</v>
      </c>
      <c r="B38" s="441"/>
      <c r="C38" s="441"/>
      <c r="D38" s="143">
        <v>0</v>
      </c>
      <c r="E38" s="140">
        <v>0</v>
      </c>
      <c r="F38" s="160">
        <f t="shared" si="0"/>
        <v>0</v>
      </c>
      <c r="G38" s="161"/>
      <c r="H38" s="141">
        <v>0</v>
      </c>
      <c r="I38" s="142">
        <v>0</v>
      </c>
      <c r="J38" s="174">
        <f t="shared" si="2"/>
        <v>0</v>
      </c>
      <c r="K38" s="164">
        <f t="shared" si="3"/>
        <v>0</v>
      </c>
      <c r="L38" s="165"/>
    </row>
    <row r="39" spans="1:12" s="138" customFormat="1" ht="14.25">
      <c r="A39" s="441" t="s">
        <v>96</v>
      </c>
      <c r="B39" s="441"/>
      <c r="C39" s="441"/>
      <c r="D39" s="143">
        <v>863</v>
      </c>
      <c r="E39" s="140">
        <v>864</v>
      </c>
      <c r="F39" s="160">
        <f t="shared" si="0"/>
        <v>1</v>
      </c>
      <c r="G39" s="161">
        <f t="shared" si="1"/>
        <v>1.0011587485515643</v>
      </c>
      <c r="H39" s="141">
        <v>907</v>
      </c>
      <c r="I39" s="142">
        <v>0</v>
      </c>
      <c r="J39" s="174">
        <f t="shared" si="2"/>
        <v>907</v>
      </c>
      <c r="K39" s="164">
        <f t="shared" si="3"/>
        <v>43</v>
      </c>
      <c r="L39" s="165">
        <f t="shared" si="4"/>
        <v>1.0497685185185186</v>
      </c>
    </row>
    <row r="40" spans="1:12" s="138" customFormat="1" ht="14.25">
      <c r="A40" s="441" t="s">
        <v>97</v>
      </c>
      <c r="B40" s="441"/>
      <c r="C40" s="441"/>
      <c r="D40" s="143">
        <v>0</v>
      </c>
      <c r="E40" s="140">
        <v>0</v>
      </c>
      <c r="F40" s="160">
        <f t="shared" si="0"/>
        <v>0</v>
      </c>
      <c r="G40" s="161"/>
      <c r="H40" s="141">
        <v>0</v>
      </c>
      <c r="I40" s="142">
        <v>0</v>
      </c>
      <c r="J40" s="174">
        <f t="shared" si="2"/>
        <v>0</v>
      </c>
      <c r="K40" s="164">
        <f t="shared" si="3"/>
        <v>0</v>
      </c>
      <c r="L40" s="165"/>
    </row>
    <row r="41" spans="1:12" s="138" customFormat="1" ht="14.25">
      <c r="A41" s="441" t="s">
        <v>98</v>
      </c>
      <c r="B41" s="441"/>
      <c r="C41" s="441"/>
      <c r="D41" s="143">
        <v>3942</v>
      </c>
      <c r="E41" s="140">
        <v>5349</v>
      </c>
      <c r="F41" s="160">
        <f t="shared" si="0"/>
        <v>1407</v>
      </c>
      <c r="G41" s="161">
        <f t="shared" si="1"/>
        <v>1.356925418569254</v>
      </c>
      <c r="H41" s="141">
        <v>3850</v>
      </c>
      <c r="I41" s="142">
        <v>0</v>
      </c>
      <c r="J41" s="174">
        <v>3850</v>
      </c>
      <c r="K41" s="164">
        <f t="shared" si="3"/>
        <v>-1499</v>
      </c>
      <c r="L41" s="165">
        <f t="shared" si="4"/>
        <v>0.7197607029351281</v>
      </c>
    </row>
    <row r="42" spans="1:12" s="138" customFormat="1" ht="14.25">
      <c r="A42" s="441" t="s">
        <v>99</v>
      </c>
      <c r="B42" s="441"/>
      <c r="C42" s="441"/>
      <c r="D42" s="143">
        <v>50</v>
      </c>
      <c r="E42" s="140">
        <v>90</v>
      </c>
      <c r="F42" s="160">
        <f t="shared" si="0"/>
        <v>40</v>
      </c>
      <c r="G42" s="161">
        <f t="shared" si="1"/>
        <v>1.8</v>
      </c>
      <c r="H42" s="141">
        <v>100</v>
      </c>
      <c r="I42" s="142">
        <v>0</v>
      </c>
      <c r="J42" s="174">
        <f t="shared" si="2"/>
        <v>100</v>
      </c>
      <c r="K42" s="164">
        <f t="shared" si="3"/>
        <v>10</v>
      </c>
      <c r="L42" s="165">
        <f t="shared" si="4"/>
        <v>1.1111111111111112</v>
      </c>
    </row>
    <row r="43" spans="1:12" s="138" customFormat="1" ht="14.25">
      <c r="A43" s="441" t="s">
        <v>100</v>
      </c>
      <c r="B43" s="441"/>
      <c r="C43" s="441"/>
      <c r="D43" s="143">
        <v>22</v>
      </c>
      <c r="E43" s="140">
        <v>8</v>
      </c>
      <c r="F43" s="160">
        <f t="shared" si="0"/>
        <v>-14</v>
      </c>
      <c r="G43" s="161">
        <f t="shared" si="1"/>
        <v>0.36363636363636365</v>
      </c>
      <c r="H43" s="141">
        <v>10</v>
      </c>
      <c r="I43" s="142">
        <v>0</v>
      </c>
      <c r="J43" s="174">
        <f t="shared" si="2"/>
        <v>10</v>
      </c>
      <c r="K43" s="164">
        <f t="shared" si="3"/>
        <v>2</v>
      </c>
      <c r="L43" s="165">
        <f t="shared" si="4"/>
        <v>1.25</v>
      </c>
    </row>
    <row r="44" spans="1:12" s="138" customFormat="1" ht="14.25">
      <c r="A44" s="441" t="s">
        <v>101</v>
      </c>
      <c r="B44" s="441"/>
      <c r="C44" s="441"/>
      <c r="D44" s="143">
        <v>923</v>
      </c>
      <c r="E44" s="140">
        <v>1184</v>
      </c>
      <c r="F44" s="160">
        <f t="shared" si="0"/>
        <v>261</v>
      </c>
      <c r="G44" s="161">
        <f t="shared" si="1"/>
        <v>1.2827735644637053</v>
      </c>
      <c r="H44" s="141">
        <v>1184</v>
      </c>
      <c r="I44" s="142">
        <v>0</v>
      </c>
      <c r="J44" s="174">
        <v>1184</v>
      </c>
      <c r="K44" s="164">
        <f t="shared" si="3"/>
        <v>0</v>
      </c>
      <c r="L44" s="165">
        <f t="shared" si="4"/>
        <v>1</v>
      </c>
    </row>
    <row r="45" spans="1:15" s="138" customFormat="1" ht="14.25">
      <c r="A45" s="441" t="s">
        <v>102</v>
      </c>
      <c r="B45" s="441"/>
      <c r="C45" s="441"/>
      <c r="D45" s="143">
        <v>95</v>
      </c>
      <c r="E45" s="140">
        <v>93</v>
      </c>
      <c r="F45" s="160">
        <f t="shared" si="0"/>
        <v>-2</v>
      </c>
      <c r="G45" s="161">
        <f t="shared" si="1"/>
        <v>0.9789473684210527</v>
      </c>
      <c r="H45" s="141">
        <v>93</v>
      </c>
      <c r="I45" s="142">
        <v>0</v>
      </c>
      <c r="J45" s="174">
        <f t="shared" si="2"/>
        <v>93</v>
      </c>
      <c r="K45" s="164">
        <f t="shared" si="3"/>
        <v>0</v>
      </c>
      <c r="L45" s="165">
        <f t="shared" si="4"/>
        <v>1</v>
      </c>
      <c r="O45" s="147"/>
    </row>
    <row r="46" spans="1:12" s="138" customFormat="1" ht="14.25">
      <c r="A46" s="441" t="s">
        <v>103</v>
      </c>
      <c r="B46" s="441"/>
      <c r="C46" s="441"/>
      <c r="D46" s="143">
        <v>12</v>
      </c>
      <c r="E46" s="140">
        <v>24</v>
      </c>
      <c r="F46" s="160">
        <f t="shared" si="0"/>
        <v>12</v>
      </c>
      <c r="G46" s="161">
        <f t="shared" si="1"/>
        <v>2</v>
      </c>
      <c r="H46" s="141">
        <v>24</v>
      </c>
      <c r="I46" s="142">
        <v>0</v>
      </c>
      <c r="J46" s="174">
        <f t="shared" si="2"/>
        <v>24</v>
      </c>
      <c r="K46" s="164">
        <f t="shared" si="3"/>
        <v>0</v>
      </c>
      <c r="L46" s="165">
        <f t="shared" si="4"/>
        <v>1</v>
      </c>
    </row>
    <row r="47" spans="1:12" s="138" customFormat="1" ht="14.25">
      <c r="A47" s="441" t="s">
        <v>104</v>
      </c>
      <c r="B47" s="441"/>
      <c r="C47" s="441"/>
      <c r="D47" s="143">
        <v>816</v>
      </c>
      <c r="E47" s="140">
        <v>1067</v>
      </c>
      <c r="F47" s="160">
        <f t="shared" si="0"/>
        <v>251</v>
      </c>
      <c r="G47" s="161">
        <f t="shared" si="1"/>
        <v>1.3075980392156863</v>
      </c>
      <c r="H47" s="141">
        <v>1063</v>
      </c>
      <c r="I47" s="142">
        <v>0</v>
      </c>
      <c r="J47" s="174">
        <f t="shared" si="2"/>
        <v>1063</v>
      </c>
      <c r="K47" s="164">
        <f t="shared" si="3"/>
        <v>-4</v>
      </c>
      <c r="L47" s="165">
        <f t="shared" si="4"/>
        <v>0.9962511715089035</v>
      </c>
    </row>
    <row r="48" spans="1:12" s="138" customFormat="1" ht="14.25">
      <c r="A48" s="441" t="s">
        <v>105</v>
      </c>
      <c r="B48" s="441"/>
      <c r="C48" s="441"/>
      <c r="D48" s="196">
        <v>28717</v>
      </c>
      <c r="E48" s="177">
        <v>30320</v>
      </c>
      <c r="F48" s="197">
        <f t="shared" si="0"/>
        <v>1603</v>
      </c>
      <c r="G48" s="198">
        <f t="shared" si="1"/>
        <v>1.055820594073197</v>
      </c>
      <c r="H48" s="172">
        <v>30758</v>
      </c>
      <c r="I48" s="173">
        <v>0</v>
      </c>
      <c r="J48" s="174">
        <f t="shared" si="2"/>
        <v>30758</v>
      </c>
      <c r="K48" s="199">
        <f t="shared" si="3"/>
        <v>438</v>
      </c>
      <c r="L48" s="200">
        <f t="shared" si="4"/>
        <v>1.0144459102902375</v>
      </c>
    </row>
    <row r="49" spans="1:12" s="138" customFormat="1" ht="14.25">
      <c r="A49" s="441" t="s">
        <v>106</v>
      </c>
      <c r="B49" s="441"/>
      <c r="C49" s="441"/>
      <c r="D49" s="143">
        <v>21352</v>
      </c>
      <c r="E49" s="140">
        <v>22182</v>
      </c>
      <c r="F49" s="160">
        <f t="shared" si="0"/>
        <v>830</v>
      </c>
      <c r="G49" s="161">
        <f t="shared" si="1"/>
        <v>1.0388722367928063</v>
      </c>
      <c r="H49" s="141">
        <v>22550</v>
      </c>
      <c r="I49" s="142">
        <v>0</v>
      </c>
      <c r="J49" s="174">
        <f t="shared" si="2"/>
        <v>22550</v>
      </c>
      <c r="K49" s="164">
        <f t="shared" si="3"/>
        <v>368</v>
      </c>
      <c r="L49" s="165">
        <f t="shared" si="4"/>
        <v>1.0165900279505906</v>
      </c>
    </row>
    <row r="50" spans="1:12" s="138" customFormat="1" ht="14.25">
      <c r="A50" s="441" t="s">
        <v>107</v>
      </c>
      <c r="B50" s="441"/>
      <c r="C50" s="441"/>
      <c r="D50" s="143">
        <v>21352</v>
      </c>
      <c r="E50" s="140">
        <v>22182</v>
      </c>
      <c r="F50" s="160">
        <f t="shared" si="0"/>
        <v>830</v>
      </c>
      <c r="G50" s="161">
        <f t="shared" si="1"/>
        <v>1.0388722367928063</v>
      </c>
      <c r="H50" s="141">
        <v>22550</v>
      </c>
      <c r="I50" s="142">
        <v>0</v>
      </c>
      <c r="J50" s="174">
        <f t="shared" si="2"/>
        <v>22550</v>
      </c>
      <c r="K50" s="164">
        <f t="shared" si="3"/>
        <v>368</v>
      </c>
      <c r="L50" s="165">
        <f t="shared" si="4"/>
        <v>1.0165900279505906</v>
      </c>
    </row>
    <row r="51" spans="1:12" s="138" customFormat="1" ht="14.25">
      <c r="A51" s="441" t="s">
        <v>108</v>
      </c>
      <c r="B51" s="441"/>
      <c r="C51" s="441"/>
      <c r="D51" s="143">
        <v>0</v>
      </c>
      <c r="E51" s="140">
        <v>0</v>
      </c>
      <c r="F51" s="160">
        <f t="shared" si="0"/>
        <v>0</v>
      </c>
      <c r="G51" s="161"/>
      <c r="H51" s="141">
        <v>0</v>
      </c>
      <c r="I51" s="142">
        <v>0</v>
      </c>
      <c r="J51" s="174">
        <f t="shared" si="2"/>
        <v>0</v>
      </c>
      <c r="K51" s="164">
        <f t="shared" si="3"/>
        <v>0</v>
      </c>
      <c r="L51" s="165"/>
    </row>
    <row r="52" spans="1:12" s="138" customFormat="1" ht="14.25">
      <c r="A52" s="441" t="s">
        <v>109</v>
      </c>
      <c r="B52" s="441"/>
      <c r="C52" s="441"/>
      <c r="D52" s="143">
        <v>7365</v>
      </c>
      <c r="E52" s="140">
        <v>8138</v>
      </c>
      <c r="F52" s="160">
        <f t="shared" si="0"/>
        <v>773</v>
      </c>
      <c r="G52" s="161">
        <f t="shared" si="1"/>
        <v>1.1049558723693143</v>
      </c>
      <c r="H52" s="141">
        <v>8208</v>
      </c>
      <c r="I52" s="142">
        <v>0</v>
      </c>
      <c r="J52" s="174">
        <f t="shared" si="2"/>
        <v>8208</v>
      </c>
      <c r="K52" s="164">
        <f t="shared" si="3"/>
        <v>70</v>
      </c>
      <c r="L52" s="165">
        <f t="shared" si="4"/>
        <v>1.0086016220201524</v>
      </c>
    </row>
    <row r="53" spans="1:12" s="138" customFormat="1" ht="14.25">
      <c r="A53" s="441" t="s">
        <v>110</v>
      </c>
      <c r="B53" s="441"/>
      <c r="C53" s="441"/>
      <c r="D53" s="143">
        <v>0</v>
      </c>
      <c r="E53" s="140">
        <v>0</v>
      </c>
      <c r="F53" s="160">
        <f t="shared" si="0"/>
        <v>0</v>
      </c>
      <c r="G53" s="161"/>
      <c r="H53" s="141">
        <v>0</v>
      </c>
      <c r="I53" s="142">
        <v>0</v>
      </c>
      <c r="J53" s="174">
        <f t="shared" si="2"/>
        <v>0</v>
      </c>
      <c r="K53" s="164">
        <f t="shared" si="3"/>
        <v>0</v>
      </c>
      <c r="L53" s="165"/>
    </row>
    <row r="54" spans="1:12" s="138" customFormat="1" ht="14.25">
      <c r="A54" s="441" t="s">
        <v>111</v>
      </c>
      <c r="B54" s="441"/>
      <c r="C54" s="441"/>
      <c r="D54" s="143">
        <v>0</v>
      </c>
      <c r="E54" s="140">
        <v>0</v>
      </c>
      <c r="F54" s="160">
        <f t="shared" si="0"/>
        <v>0</v>
      </c>
      <c r="G54" s="161"/>
      <c r="H54" s="141">
        <v>0</v>
      </c>
      <c r="I54" s="142">
        <v>0</v>
      </c>
      <c r="J54" s="174">
        <f t="shared" si="2"/>
        <v>0</v>
      </c>
      <c r="K54" s="164">
        <f t="shared" si="3"/>
        <v>0</v>
      </c>
      <c r="L54" s="165"/>
    </row>
    <row r="55" spans="1:12" s="138" customFormat="1" ht="14.25">
      <c r="A55" s="441" t="s">
        <v>112</v>
      </c>
      <c r="B55" s="441"/>
      <c r="C55" s="441"/>
      <c r="D55" s="143">
        <v>207</v>
      </c>
      <c r="E55" s="140">
        <v>119</v>
      </c>
      <c r="F55" s="160">
        <f t="shared" si="0"/>
        <v>-88</v>
      </c>
      <c r="G55" s="161">
        <f t="shared" si="1"/>
        <v>0.5748792270531401</v>
      </c>
      <c r="H55" s="141">
        <v>120</v>
      </c>
      <c r="I55" s="142">
        <v>0</v>
      </c>
      <c r="J55" s="174">
        <f t="shared" si="2"/>
        <v>120</v>
      </c>
      <c r="K55" s="164">
        <f t="shared" si="3"/>
        <v>1</v>
      </c>
      <c r="L55" s="165">
        <f t="shared" si="4"/>
        <v>1.0084033613445378</v>
      </c>
    </row>
    <row r="56" spans="1:12" s="138" customFormat="1" ht="14.25">
      <c r="A56" s="441" t="s">
        <v>113</v>
      </c>
      <c r="B56" s="441"/>
      <c r="C56" s="441"/>
      <c r="D56" s="143">
        <v>0</v>
      </c>
      <c r="E56" s="140">
        <v>0</v>
      </c>
      <c r="F56" s="160">
        <f t="shared" si="0"/>
        <v>0</v>
      </c>
      <c r="G56" s="161"/>
      <c r="H56" s="141">
        <v>0</v>
      </c>
      <c r="I56" s="142">
        <v>0</v>
      </c>
      <c r="J56" s="174">
        <f t="shared" si="2"/>
        <v>0</v>
      </c>
      <c r="K56" s="164">
        <f t="shared" si="3"/>
        <v>0</v>
      </c>
      <c r="L56" s="165"/>
    </row>
    <row r="57" spans="1:12" s="138" customFormat="1" ht="14.25">
      <c r="A57" s="441" t="s">
        <v>114</v>
      </c>
      <c r="B57" s="441"/>
      <c r="C57" s="441"/>
      <c r="D57" s="143">
        <v>1139</v>
      </c>
      <c r="E57" s="140">
        <v>1206</v>
      </c>
      <c r="F57" s="160">
        <f t="shared" si="0"/>
        <v>67</v>
      </c>
      <c r="G57" s="161">
        <f t="shared" si="1"/>
        <v>1.0588235294117647</v>
      </c>
      <c r="H57" s="141">
        <v>1084</v>
      </c>
      <c r="I57" s="142">
        <v>0</v>
      </c>
      <c r="J57" s="174">
        <v>1084</v>
      </c>
      <c r="K57" s="164">
        <f t="shared" si="3"/>
        <v>-122</v>
      </c>
      <c r="L57" s="165"/>
    </row>
    <row r="58" spans="1:12" s="138" customFormat="1" ht="14.25">
      <c r="A58" s="441" t="s">
        <v>115</v>
      </c>
      <c r="B58" s="441"/>
      <c r="C58" s="441"/>
      <c r="D58" s="143">
        <v>0</v>
      </c>
      <c r="E58" s="140">
        <v>0</v>
      </c>
      <c r="F58" s="160">
        <f t="shared" si="0"/>
        <v>0</v>
      </c>
      <c r="G58" s="161"/>
      <c r="H58" s="141">
        <v>0</v>
      </c>
      <c r="I58" s="142">
        <v>0</v>
      </c>
      <c r="J58" s="174">
        <f t="shared" si="2"/>
        <v>0</v>
      </c>
      <c r="K58" s="164">
        <f t="shared" si="3"/>
        <v>0</v>
      </c>
      <c r="L58" s="165"/>
    </row>
    <row r="59" spans="1:12" s="138" customFormat="1" ht="15" thickBot="1">
      <c r="A59" s="493" t="s">
        <v>116</v>
      </c>
      <c r="B59" s="493"/>
      <c r="C59" s="493"/>
      <c r="D59" s="159">
        <v>0</v>
      </c>
      <c r="E59" s="148">
        <v>0</v>
      </c>
      <c r="F59" s="162">
        <f t="shared" si="0"/>
        <v>0</v>
      </c>
      <c r="G59" s="163"/>
      <c r="H59" s="145">
        <v>0</v>
      </c>
      <c r="I59" s="146">
        <v>0</v>
      </c>
      <c r="J59" s="178">
        <f t="shared" si="2"/>
        <v>0</v>
      </c>
      <c r="K59" s="166">
        <f t="shared" si="3"/>
        <v>0</v>
      </c>
      <c r="L59" s="167"/>
    </row>
    <row r="60" spans="1:12" s="138" customFormat="1" ht="15.75" thickBot="1">
      <c r="A60" s="462" t="s">
        <v>117</v>
      </c>
      <c r="B60" s="462"/>
      <c r="C60" s="462"/>
      <c r="D60" s="179">
        <v>46756</v>
      </c>
      <c r="E60" s="180">
        <v>51064</v>
      </c>
      <c r="F60" s="181">
        <f t="shared" si="0"/>
        <v>4308</v>
      </c>
      <c r="G60" s="182">
        <f t="shared" si="1"/>
        <v>1.09213790743434</v>
      </c>
      <c r="H60" s="183">
        <v>49173</v>
      </c>
      <c r="I60" s="184"/>
      <c r="J60" s="185">
        <v>49173</v>
      </c>
      <c r="K60" s="183">
        <f t="shared" si="3"/>
        <v>-1891</v>
      </c>
      <c r="L60" s="186">
        <f t="shared" si="4"/>
        <v>0.962968040106533</v>
      </c>
    </row>
    <row r="61" spans="1:14" s="6" customFormat="1" ht="15">
      <c r="A61" s="447" t="s">
        <v>17</v>
      </c>
      <c r="B61" s="447"/>
      <c r="C61" s="447"/>
      <c r="D61" s="96">
        <v>216</v>
      </c>
      <c r="E61" s="96">
        <v>294</v>
      </c>
      <c r="F61" s="96"/>
      <c r="G61" s="96"/>
      <c r="H61" s="96">
        <v>0</v>
      </c>
      <c r="I61" s="96"/>
      <c r="J61" s="96">
        <f>J27-J60</f>
        <v>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>
        <v>0</v>
      </c>
      <c r="E62" s="97">
        <v>0</v>
      </c>
      <c r="F62" s="98"/>
      <c r="G62" s="116"/>
      <c r="H62" s="10"/>
      <c r="I62" s="10"/>
      <c r="J62" s="10"/>
      <c r="K62" s="10"/>
      <c r="L62" s="10"/>
      <c r="N62" s="8"/>
    </row>
    <row r="63" spans="1:15" s="3" customFormat="1" ht="11.25">
      <c r="A63" s="119"/>
      <c r="B63" s="4"/>
      <c r="C63" s="4"/>
      <c r="D63" s="120"/>
      <c r="E63" s="121"/>
      <c r="F63" s="4"/>
      <c r="G63" s="4"/>
      <c r="H63" s="2"/>
      <c r="I63" s="122"/>
      <c r="J63" s="123"/>
      <c r="K63" s="119"/>
      <c r="L63" s="4"/>
      <c r="M63" s="4"/>
      <c r="N63" s="4"/>
      <c r="O63" s="2"/>
    </row>
    <row r="64" ht="13.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212</v>
      </c>
      <c r="B67" s="382"/>
      <c r="C67" s="13">
        <v>400</v>
      </c>
      <c r="D67" s="14"/>
      <c r="E67" s="382" t="s">
        <v>232</v>
      </c>
      <c r="F67" s="382"/>
      <c r="G67" s="382"/>
      <c r="H67" s="382"/>
      <c r="I67" s="15" t="s">
        <v>235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230</v>
      </c>
      <c r="B68" s="382"/>
      <c r="C68" s="13">
        <v>150</v>
      </c>
      <c r="D68" s="14"/>
      <c r="E68" s="380" t="s">
        <v>315</v>
      </c>
      <c r="F68" s="380"/>
      <c r="G68" s="380"/>
      <c r="H68" s="380"/>
      <c r="I68" s="16">
        <v>900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231</v>
      </c>
      <c r="B69" s="382"/>
      <c r="C69" s="13">
        <v>100</v>
      </c>
      <c r="D69" s="14"/>
      <c r="E69" s="380" t="s">
        <v>316</v>
      </c>
      <c r="F69" s="380"/>
      <c r="G69" s="380"/>
      <c r="H69" s="380"/>
      <c r="I69" s="16">
        <v>1200</v>
      </c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177</v>
      </c>
      <c r="B70" s="382"/>
      <c r="C70" s="13">
        <v>704</v>
      </c>
      <c r="D70" s="14"/>
      <c r="E70" s="380" t="s">
        <v>233</v>
      </c>
      <c r="F70" s="380"/>
      <c r="G70" s="380"/>
      <c r="H70" s="380"/>
      <c r="I70" s="16">
        <v>100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 t="s">
        <v>318</v>
      </c>
      <c r="F71" s="380"/>
      <c r="G71" s="380"/>
      <c r="H71" s="380"/>
      <c r="I71" s="28">
        <v>800</v>
      </c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 t="s">
        <v>234</v>
      </c>
      <c r="F72" s="380"/>
      <c r="G72" s="380"/>
      <c r="H72" s="380"/>
      <c r="I72" s="28">
        <v>300</v>
      </c>
      <c r="J72" s="11"/>
      <c r="K72" s="11"/>
      <c r="L72" s="11"/>
      <c r="M72" s="11"/>
      <c r="N72" s="11"/>
    </row>
    <row r="73" spans="1:14" s="6" customFormat="1" ht="30.75" customHeight="1">
      <c r="A73" s="383"/>
      <c r="B73" s="384"/>
      <c r="C73" s="13"/>
      <c r="D73" s="14"/>
      <c r="E73" s="504" t="s">
        <v>317</v>
      </c>
      <c r="F73" s="505"/>
      <c r="G73" s="505"/>
      <c r="H73" s="506"/>
      <c r="I73" s="16">
        <v>350</v>
      </c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1354</v>
      </c>
      <c r="D75" s="36"/>
      <c r="E75" s="404" t="s">
        <v>12</v>
      </c>
      <c r="F75" s="404"/>
      <c r="G75" s="404"/>
      <c r="H75" s="404"/>
      <c r="I75" s="35">
        <v>3850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80133</v>
      </c>
      <c r="B81" s="46">
        <v>14931</v>
      </c>
      <c r="C81" s="47">
        <v>1084</v>
      </c>
      <c r="D81" s="48">
        <v>90</v>
      </c>
      <c r="E81" s="48">
        <v>287</v>
      </c>
      <c r="F81" s="48">
        <v>1</v>
      </c>
      <c r="G81" s="48">
        <v>0</v>
      </c>
      <c r="H81" s="49">
        <v>706</v>
      </c>
      <c r="I81" s="50">
        <v>0</v>
      </c>
      <c r="J81" s="51">
        <v>64118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3232.68</v>
      </c>
      <c r="C86" s="61" t="s">
        <v>38</v>
      </c>
      <c r="D86" s="62" t="s">
        <v>38</v>
      </c>
      <c r="E86" s="62" t="s">
        <v>38</v>
      </c>
      <c r="F86" s="63"/>
      <c r="G86" s="64">
        <v>493.26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0</v>
      </c>
      <c r="C87" s="71">
        <v>0</v>
      </c>
      <c r="D87" s="72">
        <v>0</v>
      </c>
      <c r="E87" s="72">
        <v>0</v>
      </c>
      <c r="F87" s="73">
        <f>C87+D87-E87</f>
        <v>0</v>
      </c>
      <c r="G87" s="74">
        <v>0</v>
      </c>
      <c r="H87" s="75">
        <f>+G87-F87</f>
        <v>0</v>
      </c>
      <c r="I87" s="71">
        <v>0</v>
      </c>
      <c r="J87" s="72">
        <v>0</v>
      </c>
      <c r="K87" s="72">
        <v>0</v>
      </c>
      <c r="L87" s="73">
        <f>I87+J87-K87</f>
        <v>0</v>
      </c>
      <c r="M87" s="76"/>
    </row>
    <row r="88" spans="1:13" s="10" customFormat="1" ht="15">
      <c r="A88" s="69" t="s">
        <v>40</v>
      </c>
      <c r="B88" s="70">
        <v>10.09</v>
      </c>
      <c r="C88" s="71">
        <v>10</v>
      </c>
      <c r="D88" s="72">
        <f>217+110</f>
        <v>327</v>
      </c>
      <c r="E88" s="72">
        <f>180+55</f>
        <v>235</v>
      </c>
      <c r="F88" s="73">
        <f>C88+D88-E88</f>
        <v>102</v>
      </c>
      <c r="G88" s="74">
        <v>73.49</v>
      </c>
      <c r="H88" s="75">
        <f>+G88-F88</f>
        <v>-28.510000000000005</v>
      </c>
      <c r="I88" s="71">
        <v>102</v>
      </c>
      <c r="J88" s="72">
        <f>294+20</f>
        <v>314</v>
      </c>
      <c r="K88" s="72">
        <v>60</v>
      </c>
      <c r="L88" s="73">
        <f>I88+J88-K88</f>
        <v>356</v>
      </c>
      <c r="M88" s="76"/>
    </row>
    <row r="89" spans="1:13" s="10" customFormat="1" ht="15">
      <c r="A89" s="69" t="s">
        <v>44</v>
      </c>
      <c r="B89" s="70">
        <v>144.82</v>
      </c>
      <c r="C89" s="71">
        <v>145</v>
      </c>
      <c r="D89" s="72">
        <v>1206</v>
      </c>
      <c r="E89" s="72">
        <v>968</v>
      </c>
      <c r="F89" s="73">
        <f>C89+D89-E89</f>
        <v>383</v>
      </c>
      <c r="G89" s="74">
        <v>36.93</v>
      </c>
      <c r="H89" s="75">
        <f>+G89-F89</f>
        <v>-346.07</v>
      </c>
      <c r="I89" s="77">
        <v>383</v>
      </c>
      <c r="J89" s="78">
        <v>1084</v>
      </c>
      <c r="K89" s="78">
        <v>1354</v>
      </c>
      <c r="L89" s="73">
        <f>I89+J89-K89</f>
        <v>113</v>
      </c>
      <c r="M89" s="76"/>
    </row>
    <row r="90" spans="1:13" s="10" customFormat="1" ht="15">
      <c r="A90" s="69" t="s">
        <v>41</v>
      </c>
      <c r="B90" s="70">
        <v>3077.77</v>
      </c>
      <c r="C90" s="79" t="s">
        <v>38</v>
      </c>
      <c r="D90" s="62" t="s">
        <v>38</v>
      </c>
      <c r="E90" s="80" t="s">
        <v>38</v>
      </c>
      <c r="F90" s="73"/>
      <c r="G90" s="74">
        <v>382.84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162.23</v>
      </c>
      <c r="C91" s="84">
        <v>150</v>
      </c>
      <c r="D91" s="85">
        <v>442</v>
      </c>
      <c r="E91" s="85">
        <v>440</v>
      </c>
      <c r="F91" s="73">
        <f>C91+D91-E91</f>
        <v>152</v>
      </c>
      <c r="G91" s="109">
        <v>167.47</v>
      </c>
      <c r="H91" s="110">
        <f>+G91-F91</f>
        <v>15.469999999999999</v>
      </c>
      <c r="I91" s="111">
        <v>152</v>
      </c>
      <c r="J91" s="112">
        <v>226</v>
      </c>
      <c r="K91" s="112">
        <v>280</v>
      </c>
      <c r="L91" s="73">
        <f>I91+J91-K91</f>
        <v>98</v>
      </c>
      <c r="M91" s="76"/>
    </row>
    <row r="94" spans="1:11" s="1" customFormat="1" ht="15.75" thickBot="1">
      <c r="A94" s="5" t="s">
        <v>146</v>
      </c>
      <c r="D94" s="124"/>
      <c r="E94" s="125"/>
      <c r="K94" s="4" t="s">
        <v>46</v>
      </c>
    </row>
    <row r="95" spans="1:11" s="1" customFormat="1" ht="11.25">
      <c r="A95" s="500" t="s">
        <v>26</v>
      </c>
      <c r="B95" s="500"/>
      <c r="C95" s="500"/>
      <c r="D95" s="126"/>
      <c r="E95" s="500" t="s">
        <v>27</v>
      </c>
      <c r="F95" s="500"/>
      <c r="G95" s="500"/>
      <c r="I95" s="500" t="s">
        <v>23</v>
      </c>
      <c r="J95" s="500"/>
      <c r="K95" s="500"/>
    </row>
    <row r="96" spans="1:11" s="1" customFormat="1" ht="12" thickBot="1">
      <c r="A96" s="127" t="s">
        <v>28</v>
      </c>
      <c r="B96" s="128" t="s">
        <v>29</v>
      </c>
      <c r="C96" s="129" t="s">
        <v>25</v>
      </c>
      <c r="D96" s="126"/>
      <c r="E96" s="130"/>
      <c r="F96" s="501" t="s">
        <v>30</v>
      </c>
      <c r="G96" s="501"/>
      <c r="I96" s="127"/>
      <c r="J96" s="128" t="s">
        <v>24</v>
      </c>
      <c r="K96" s="129" t="s">
        <v>25</v>
      </c>
    </row>
    <row r="97" spans="1:11" s="1" customFormat="1" ht="11.25">
      <c r="A97" s="131">
        <v>2010</v>
      </c>
      <c r="B97" s="155">
        <v>98</v>
      </c>
      <c r="C97" s="156">
        <v>101</v>
      </c>
      <c r="D97" s="120"/>
      <c r="E97" s="131">
        <v>2010</v>
      </c>
      <c r="F97" s="502">
        <v>195</v>
      </c>
      <c r="G97" s="502"/>
      <c r="I97" s="131">
        <v>2010</v>
      </c>
      <c r="J97" s="132">
        <v>22207</v>
      </c>
      <c r="K97" s="133">
        <v>22182</v>
      </c>
    </row>
    <row r="98" spans="1:11" s="1" customFormat="1" ht="12" thickBot="1">
      <c r="A98" s="134">
        <v>2011</v>
      </c>
      <c r="B98" s="157">
        <v>101</v>
      </c>
      <c r="C98" s="158" t="s">
        <v>62</v>
      </c>
      <c r="D98" s="120"/>
      <c r="E98" s="134">
        <v>2011</v>
      </c>
      <c r="F98" s="503">
        <v>195</v>
      </c>
      <c r="G98" s="503"/>
      <c r="I98" s="134">
        <v>2011</v>
      </c>
      <c r="J98" s="157">
        <v>22550</v>
      </c>
      <c r="K98" s="136" t="s">
        <v>62</v>
      </c>
    </row>
  </sheetData>
  <mergeCells count="104">
    <mergeCell ref="F98:G98"/>
    <mergeCell ref="A65:B66"/>
    <mergeCell ref="C65:C66"/>
    <mergeCell ref="E65:H66"/>
    <mergeCell ref="A67:B67"/>
    <mergeCell ref="E67:H67"/>
    <mergeCell ref="A68:B68"/>
    <mergeCell ref="E68:H68"/>
    <mergeCell ref="A69:B69"/>
    <mergeCell ref="E69:H69"/>
    <mergeCell ref="E95:G95"/>
    <mergeCell ref="I95:K95"/>
    <mergeCell ref="F96:G96"/>
    <mergeCell ref="F97:G97"/>
    <mergeCell ref="F4:G4"/>
    <mergeCell ref="H4:J4"/>
    <mergeCell ref="K4:L4"/>
    <mergeCell ref="A7:C7"/>
    <mergeCell ref="E4:E6"/>
    <mergeCell ref="A46:C46"/>
    <mergeCell ref="A51:C51"/>
    <mergeCell ref="A56:C56"/>
    <mergeCell ref="A57:C57"/>
    <mergeCell ref="A47:C47"/>
    <mergeCell ref="A48:C48"/>
    <mergeCell ref="A49:C49"/>
    <mergeCell ref="A50:C50"/>
    <mergeCell ref="A52:C52"/>
    <mergeCell ref="A53:C53"/>
    <mergeCell ref="A8:C8"/>
    <mergeCell ref="A9:C9"/>
    <mergeCell ref="A4:C6"/>
    <mergeCell ref="D4:D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4:C54"/>
    <mergeCell ref="A55:C55"/>
    <mergeCell ref="A61:C61"/>
    <mergeCell ref="A62:C62"/>
    <mergeCell ref="A58:C58"/>
    <mergeCell ref="A95:C95"/>
    <mergeCell ref="A72:B72"/>
    <mergeCell ref="A75:B75"/>
    <mergeCell ref="A59:C59"/>
    <mergeCell ref="A60:C60"/>
    <mergeCell ref="A78:A80"/>
    <mergeCell ref="B78:B80"/>
    <mergeCell ref="C78:I78"/>
    <mergeCell ref="C79:C80"/>
    <mergeCell ref="D79:I79"/>
    <mergeCell ref="I65:I66"/>
    <mergeCell ref="A70:B70"/>
    <mergeCell ref="E70:H70"/>
    <mergeCell ref="A71:B71"/>
    <mergeCell ref="E71:H71"/>
    <mergeCell ref="E72:H72"/>
    <mergeCell ref="A73:B73"/>
    <mergeCell ref="E73:H73"/>
    <mergeCell ref="A74:B74"/>
    <mergeCell ref="E74:H74"/>
    <mergeCell ref="A2:N2"/>
    <mergeCell ref="A3:G3"/>
    <mergeCell ref="J78:J80"/>
    <mergeCell ref="A84:A85"/>
    <mergeCell ref="B84:B85"/>
    <mergeCell ref="C84:F84"/>
    <mergeCell ref="G84:G85"/>
    <mergeCell ref="H84:H85"/>
    <mergeCell ref="I84:L84"/>
    <mergeCell ref="E75:H75"/>
  </mergeCells>
  <printOptions/>
  <pageMargins left="0.15748031496062992" right="0.15748031496062992" top="0.5905511811023623" bottom="0.15748031496062992" header="0.35433070866141736" footer="0.15748031496062992"/>
  <pageSetup fitToHeight="0" horizontalDpi="600" verticalDpi="600" orientation="portrait" paperSize="9" scale="54" r:id="rId1"/>
  <headerFooter alignWithMargins="0">
    <oddFooter>&amp;C&amp;P</oddFooter>
  </headerFooter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Normal="90" zoomScaleSheetLayoutView="70" workbookViewId="0" topLeftCell="A67">
      <selection activeCell="F91" sqref="F91:L91"/>
    </sheetView>
  </sheetViews>
  <sheetFormatPr defaultColWidth="9.00390625" defaultRowHeight="12.75"/>
  <cols>
    <col min="1" max="1" width="27.875" style="138" customWidth="1"/>
    <col min="2" max="2" width="15.00390625" style="138" customWidth="1"/>
    <col min="3" max="3" width="12.875" style="138" customWidth="1"/>
    <col min="4" max="4" width="11.75390625" style="154" customWidth="1"/>
    <col min="5" max="5" width="11.75390625" style="147" customWidth="1"/>
    <col min="6" max="12" width="11.753906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167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29533</v>
      </c>
      <c r="E7" s="169">
        <v>28916</v>
      </c>
      <c r="F7" s="170">
        <f>E7-D7</f>
        <v>-617</v>
      </c>
      <c r="G7" s="171">
        <f>E7/D7</f>
        <v>0.9791081163444283</v>
      </c>
      <c r="H7" s="172">
        <v>30110</v>
      </c>
      <c r="I7" s="173"/>
      <c r="J7" s="174">
        <f>H7+I7</f>
        <v>30110</v>
      </c>
      <c r="K7" s="175">
        <f>J7-E7</f>
        <v>1194</v>
      </c>
      <c r="L7" s="176">
        <f>J7/E7</f>
        <v>1.041292018259787</v>
      </c>
    </row>
    <row r="8" spans="1:12" ht="14.25">
      <c r="A8" s="465" t="s">
        <v>66</v>
      </c>
      <c r="B8" s="465"/>
      <c r="C8" s="465"/>
      <c r="D8" s="143">
        <v>15472</v>
      </c>
      <c r="E8" s="140">
        <v>15222</v>
      </c>
      <c r="F8" s="160">
        <f aca="true" t="shared" si="0" ref="F8:F60">E8-D8</f>
        <v>-250</v>
      </c>
      <c r="G8" s="161">
        <f aca="true" t="shared" si="1" ref="G8:G60">E8/D8</f>
        <v>0.9838417786970011</v>
      </c>
      <c r="H8" s="141">
        <v>15970</v>
      </c>
      <c r="I8" s="142"/>
      <c r="J8" s="174">
        <f aca="true" t="shared" si="2" ref="J8:J60">H8+I8</f>
        <v>15970</v>
      </c>
      <c r="K8" s="164">
        <f aca="true" t="shared" si="3" ref="K8:K60">J8-E8</f>
        <v>748</v>
      </c>
      <c r="L8" s="165">
        <f aca="true" t="shared" si="4" ref="L8:L60">J8/E8</f>
        <v>1.0491394034949415</v>
      </c>
    </row>
    <row r="9" spans="1:12" ht="14.25">
      <c r="A9" s="465" t="s">
        <v>67</v>
      </c>
      <c r="B9" s="465"/>
      <c r="C9" s="465"/>
      <c r="D9" s="143">
        <v>11689</v>
      </c>
      <c r="E9" s="140">
        <v>11697</v>
      </c>
      <c r="F9" s="160">
        <f t="shared" si="0"/>
        <v>8</v>
      </c>
      <c r="G9" s="161">
        <f t="shared" si="1"/>
        <v>1.000684404140645</v>
      </c>
      <c r="H9" s="141">
        <v>12100</v>
      </c>
      <c r="I9" s="142"/>
      <c r="J9" s="174">
        <f t="shared" si="2"/>
        <v>12100</v>
      </c>
      <c r="K9" s="164">
        <f t="shared" si="3"/>
        <v>403</v>
      </c>
      <c r="L9" s="165">
        <f t="shared" si="4"/>
        <v>1.0344532786184493</v>
      </c>
    </row>
    <row r="10" spans="1:12" ht="14.25">
      <c r="A10" s="465" t="s">
        <v>68</v>
      </c>
      <c r="B10" s="465"/>
      <c r="C10" s="465"/>
      <c r="D10" s="143">
        <v>1</v>
      </c>
      <c r="E10" s="140">
        <v>13</v>
      </c>
      <c r="F10" s="160">
        <f t="shared" si="0"/>
        <v>12</v>
      </c>
      <c r="G10" s="161">
        <f t="shared" si="1"/>
        <v>13</v>
      </c>
      <c r="H10" s="141">
        <v>15</v>
      </c>
      <c r="I10" s="142"/>
      <c r="J10" s="174">
        <f t="shared" si="2"/>
        <v>15</v>
      </c>
      <c r="K10" s="164">
        <f t="shared" si="3"/>
        <v>2</v>
      </c>
      <c r="L10" s="165">
        <f t="shared" si="4"/>
        <v>1.1538461538461537</v>
      </c>
    </row>
    <row r="11" spans="1:12" ht="14.25">
      <c r="A11" s="465" t="s">
        <v>69</v>
      </c>
      <c r="B11" s="465"/>
      <c r="C11" s="465"/>
      <c r="D11" s="143">
        <v>1986</v>
      </c>
      <c r="E11" s="140">
        <v>1602</v>
      </c>
      <c r="F11" s="160">
        <f t="shared" si="0"/>
        <v>-384</v>
      </c>
      <c r="G11" s="161">
        <f t="shared" si="1"/>
        <v>0.8066465256797583</v>
      </c>
      <c r="H11" s="141">
        <v>1600</v>
      </c>
      <c r="I11" s="142"/>
      <c r="J11" s="174">
        <f t="shared" si="2"/>
        <v>1600</v>
      </c>
      <c r="K11" s="164">
        <f t="shared" si="3"/>
        <v>-2</v>
      </c>
      <c r="L11" s="165">
        <f t="shared" si="4"/>
        <v>0.9987515605493134</v>
      </c>
    </row>
    <row r="12" spans="1:12" ht="14.25">
      <c r="A12" s="465" t="s">
        <v>70</v>
      </c>
      <c r="B12" s="465"/>
      <c r="C12" s="465"/>
      <c r="D12" s="143">
        <v>385</v>
      </c>
      <c r="E12" s="140">
        <v>382</v>
      </c>
      <c r="F12" s="160">
        <f t="shared" si="0"/>
        <v>-3</v>
      </c>
      <c r="G12" s="161">
        <f t="shared" si="1"/>
        <v>0.9922077922077922</v>
      </c>
      <c r="H12" s="141">
        <v>425</v>
      </c>
      <c r="I12" s="142"/>
      <c r="J12" s="174">
        <f t="shared" si="2"/>
        <v>425</v>
      </c>
      <c r="K12" s="164">
        <f t="shared" si="3"/>
        <v>43</v>
      </c>
      <c r="L12" s="165">
        <f t="shared" si="4"/>
        <v>1.112565445026178</v>
      </c>
    </row>
    <row r="13" spans="1:12" ht="14.25">
      <c r="A13" s="465" t="s">
        <v>71</v>
      </c>
      <c r="B13" s="465"/>
      <c r="C13" s="465"/>
      <c r="D13" s="143"/>
      <c r="E13" s="140"/>
      <c r="F13" s="160">
        <f t="shared" si="0"/>
        <v>0</v>
      </c>
      <c r="G13" s="161"/>
      <c r="H13" s="141"/>
      <c r="I13" s="142"/>
      <c r="J13" s="174">
        <f t="shared" si="2"/>
        <v>0</v>
      </c>
      <c r="K13" s="164">
        <f t="shared" si="3"/>
        <v>0</v>
      </c>
      <c r="L13" s="165"/>
    </row>
    <row r="14" spans="1:20" ht="15">
      <c r="A14" s="456" t="s">
        <v>72</v>
      </c>
      <c r="B14" s="456"/>
      <c r="C14" s="456"/>
      <c r="D14" s="143"/>
      <c r="E14" s="177"/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/>
      <c r="E15" s="140"/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100</v>
      </c>
      <c r="E16" s="140">
        <v>2113</v>
      </c>
      <c r="F16" s="160">
        <f t="shared" si="0"/>
        <v>2013</v>
      </c>
      <c r="G16" s="161">
        <f t="shared" si="1"/>
        <v>21.13</v>
      </c>
      <c r="H16" s="141">
        <v>100</v>
      </c>
      <c r="I16" s="142"/>
      <c r="J16" s="174">
        <f t="shared" si="2"/>
        <v>100</v>
      </c>
      <c r="K16" s="164">
        <f t="shared" si="3"/>
        <v>-2013</v>
      </c>
      <c r="L16" s="165">
        <f t="shared" si="4"/>
        <v>0.047326076668244205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70</v>
      </c>
      <c r="E17" s="140">
        <v>2104</v>
      </c>
      <c r="F17" s="160">
        <f t="shared" si="0"/>
        <v>2034</v>
      </c>
      <c r="G17" s="161">
        <f t="shared" si="1"/>
        <v>30.057142857142857</v>
      </c>
      <c r="H17" s="141">
        <v>90</v>
      </c>
      <c r="I17" s="142"/>
      <c r="J17" s="174">
        <f t="shared" si="2"/>
        <v>90</v>
      </c>
      <c r="K17" s="164">
        <f t="shared" si="3"/>
        <v>-2014</v>
      </c>
      <c r="L17" s="165">
        <f t="shared" si="4"/>
        <v>0.04277566539923954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/>
      <c r="E20" s="140">
        <v>3</v>
      </c>
      <c r="F20" s="160">
        <f t="shared" si="0"/>
        <v>3</v>
      </c>
      <c r="G20" s="161"/>
      <c r="H20" s="141">
        <v>3</v>
      </c>
      <c r="I20" s="142"/>
      <c r="J20" s="174">
        <f t="shared" si="2"/>
        <v>3</v>
      </c>
      <c r="K20" s="164">
        <f t="shared" si="3"/>
        <v>0</v>
      </c>
      <c r="L20" s="165">
        <f t="shared" si="4"/>
        <v>1</v>
      </c>
    </row>
    <row r="21" spans="1:12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14707</v>
      </c>
      <c r="E22" s="177">
        <v>15476</v>
      </c>
      <c r="F22" s="160">
        <f t="shared" si="0"/>
        <v>769</v>
      </c>
      <c r="G22" s="161">
        <f t="shared" si="1"/>
        <v>1.0522880261100156</v>
      </c>
      <c r="H22" s="172">
        <v>14012</v>
      </c>
      <c r="I22" s="173"/>
      <c r="J22" s="174">
        <f t="shared" si="2"/>
        <v>14012</v>
      </c>
      <c r="K22" s="164">
        <f t="shared" si="3"/>
        <v>-1464</v>
      </c>
      <c r="L22" s="165">
        <f t="shared" si="4"/>
        <v>0.9054019126389248</v>
      </c>
    </row>
    <row r="23" spans="1:12" ht="14.25">
      <c r="A23" s="456" t="s">
        <v>81</v>
      </c>
      <c r="B23" s="456"/>
      <c r="C23" s="456"/>
      <c r="D23" s="143">
        <v>3012</v>
      </c>
      <c r="E23" s="140">
        <v>2560</v>
      </c>
      <c r="F23" s="160">
        <f t="shared" si="0"/>
        <v>-452</v>
      </c>
      <c r="G23" s="161">
        <f t="shared" si="1"/>
        <v>0.849933598937583</v>
      </c>
      <c r="H23" s="141">
        <v>2547</v>
      </c>
      <c r="I23" s="142"/>
      <c r="J23" s="174">
        <f t="shared" si="2"/>
        <v>2547</v>
      </c>
      <c r="K23" s="164">
        <f t="shared" si="3"/>
        <v>-13</v>
      </c>
      <c r="L23" s="165">
        <f t="shared" si="4"/>
        <v>0.994921875</v>
      </c>
    </row>
    <row r="24" spans="1:12" ht="14.25">
      <c r="A24" s="456" t="s">
        <v>82</v>
      </c>
      <c r="B24" s="456"/>
      <c r="C24" s="456"/>
      <c r="D24" s="143">
        <v>11695</v>
      </c>
      <c r="E24" s="140">
        <v>12916</v>
      </c>
      <c r="F24" s="160">
        <f t="shared" si="0"/>
        <v>1221</v>
      </c>
      <c r="G24" s="161">
        <f t="shared" si="1"/>
        <v>1.104403591278324</v>
      </c>
      <c r="H24" s="141">
        <v>11465</v>
      </c>
      <c r="I24" s="142"/>
      <c r="J24" s="174">
        <f t="shared" si="2"/>
        <v>11465</v>
      </c>
      <c r="K24" s="164">
        <f t="shared" si="3"/>
        <v>-1451</v>
      </c>
      <c r="L24" s="165">
        <f t="shared" si="4"/>
        <v>0.8876587178693094</v>
      </c>
    </row>
    <row r="25" spans="1:12" ht="14.25">
      <c r="A25" s="456" t="s">
        <v>83</v>
      </c>
      <c r="B25" s="456"/>
      <c r="C25" s="456"/>
      <c r="D25" s="143"/>
      <c r="E25" s="140"/>
      <c r="F25" s="160">
        <f t="shared" si="0"/>
        <v>0</v>
      </c>
      <c r="G25" s="161"/>
      <c r="H25" s="141"/>
      <c r="I25" s="142"/>
      <c r="J25" s="174">
        <f t="shared" si="2"/>
        <v>0</v>
      </c>
      <c r="K25" s="164">
        <f t="shared" si="3"/>
        <v>0</v>
      </c>
      <c r="L25" s="165"/>
    </row>
    <row r="26" spans="1:12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44341</v>
      </c>
      <c r="E27" s="180">
        <v>46508</v>
      </c>
      <c r="F27" s="181">
        <f t="shared" si="0"/>
        <v>2167</v>
      </c>
      <c r="G27" s="182">
        <f t="shared" si="1"/>
        <v>1.0488712478293227</v>
      </c>
      <c r="H27" s="183">
        <v>44225</v>
      </c>
      <c r="I27" s="184"/>
      <c r="J27" s="185">
        <f t="shared" si="2"/>
        <v>44225</v>
      </c>
      <c r="K27" s="183">
        <f t="shared" si="3"/>
        <v>-2283</v>
      </c>
      <c r="L27" s="186">
        <f t="shared" si="4"/>
        <v>0.9509116711103466</v>
      </c>
    </row>
    <row r="28" spans="1:12" ht="14.25">
      <c r="A28" s="495" t="s">
        <v>85</v>
      </c>
      <c r="B28" s="495"/>
      <c r="C28" s="495"/>
      <c r="D28" s="187">
        <v>7448</v>
      </c>
      <c r="E28" s="188">
        <v>6844</v>
      </c>
      <c r="F28" s="189">
        <f t="shared" si="0"/>
        <v>-604</v>
      </c>
      <c r="G28" s="190">
        <f t="shared" si="1"/>
        <v>0.9189044038668098</v>
      </c>
      <c r="H28" s="191">
        <v>6900</v>
      </c>
      <c r="I28" s="192"/>
      <c r="J28" s="193">
        <f t="shared" si="2"/>
        <v>6900</v>
      </c>
      <c r="K28" s="194">
        <f t="shared" si="3"/>
        <v>56</v>
      </c>
      <c r="L28" s="195">
        <f t="shared" si="4"/>
        <v>1.0081823495032145</v>
      </c>
    </row>
    <row r="29" spans="1:12" ht="14.25">
      <c r="A29" s="441" t="s">
        <v>86</v>
      </c>
      <c r="B29" s="441"/>
      <c r="C29" s="441"/>
      <c r="D29" s="143">
        <v>4131</v>
      </c>
      <c r="E29" s="140">
        <v>4183</v>
      </c>
      <c r="F29" s="160">
        <f t="shared" si="0"/>
        <v>52</v>
      </c>
      <c r="G29" s="161">
        <f t="shared" si="1"/>
        <v>1.0125877511498427</v>
      </c>
      <c r="H29" s="141">
        <v>4543</v>
      </c>
      <c r="I29" s="142"/>
      <c r="J29" s="174">
        <f t="shared" si="2"/>
        <v>4543</v>
      </c>
      <c r="K29" s="164">
        <f t="shared" si="3"/>
        <v>360</v>
      </c>
      <c r="L29" s="165">
        <f t="shared" si="4"/>
        <v>1.0860626344728663</v>
      </c>
    </row>
    <row r="30" spans="1:12" ht="14.25">
      <c r="A30" s="441" t="s">
        <v>87</v>
      </c>
      <c r="B30" s="441"/>
      <c r="C30" s="441"/>
      <c r="D30" s="143">
        <v>61</v>
      </c>
      <c r="E30" s="140">
        <v>87</v>
      </c>
      <c r="F30" s="160">
        <f t="shared" si="0"/>
        <v>26</v>
      </c>
      <c r="G30" s="161">
        <f t="shared" si="1"/>
        <v>1.4262295081967213</v>
      </c>
      <c r="H30" s="141">
        <v>85</v>
      </c>
      <c r="I30" s="142"/>
      <c r="J30" s="174">
        <f t="shared" si="2"/>
        <v>85</v>
      </c>
      <c r="K30" s="164">
        <f t="shared" si="3"/>
        <v>-2</v>
      </c>
      <c r="L30" s="165">
        <f t="shared" si="4"/>
        <v>0.9770114942528736</v>
      </c>
    </row>
    <row r="31" spans="1:12" ht="14.25">
      <c r="A31" s="441" t="s">
        <v>88</v>
      </c>
      <c r="B31" s="441"/>
      <c r="C31" s="441"/>
      <c r="D31" s="143">
        <v>1500</v>
      </c>
      <c r="E31" s="140">
        <v>812</v>
      </c>
      <c r="F31" s="160">
        <f t="shared" si="0"/>
        <v>-688</v>
      </c>
      <c r="G31" s="161">
        <f t="shared" si="1"/>
        <v>0.5413333333333333</v>
      </c>
      <c r="H31" s="141">
        <v>800</v>
      </c>
      <c r="I31" s="142"/>
      <c r="J31" s="174">
        <f t="shared" si="2"/>
        <v>800</v>
      </c>
      <c r="K31" s="164">
        <f t="shared" si="3"/>
        <v>-12</v>
      </c>
      <c r="L31" s="165">
        <f t="shared" si="4"/>
        <v>0.9852216748768473</v>
      </c>
    </row>
    <row r="32" spans="1:12" ht="14.25">
      <c r="A32" s="441" t="s">
        <v>89</v>
      </c>
      <c r="B32" s="441"/>
      <c r="C32" s="441"/>
      <c r="D32" s="143">
        <v>1396</v>
      </c>
      <c r="E32" s="140">
        <v>1495</v>
      </c>
      <c r="F32" s="160">
        <f t="shared" si="0"/>
        <v>99</v>
      </c>
      <c r="G32" s="161">
        <f t="shared" si="1"/>
        <v>1.070916905444126</v>
      </c>
      <c r="H32" s="141">
        <v>1400</v>
      </c>
      <c r="I32" s="142"/>
      <c r="J32" s="174">
        <f t="shared" si="2"/>
        <v>1400</v>
      </c>
      <c r="K32" s="164">
        <f t="shared" si="3"/>
        <v>-95</v>
      </c>
      <c r="L32" s="165">
        <f t="shared" si="4"/>
        <v>0.9364548494983278</v>
      </c>
    </row>
    <row r="33" spans="1:12" ht="14.25">
      <c r="A33" s="441" t="s">
        <v>90</v>
      </c>
      <c r="B33" s="441"/>
      <c r="C33" s="441"/>
      <c r="D33" s="143">
        <v>360</v>
      </c>
      <c r="E33" s="140">
        <v>267</v>
      </c>
      <c r="F33" s="160">
        <f t="shared" si="0"/>
        <v>-93</v>
      </c>
      <c r="G33" s="161">
        <f t="shared" si="1"/>
        <v>0.7416666666666667</v>
      </c>
      <c r="H33" s="141">
        <v>72</v>
      </c>
      <c r="I33" s="142"/>
      <c r="J33" s="174">
        <f t="shared" si="2"/>
        <v>72</v>
      </c>
      <c r="K33" s="164">
        <f t="shared" si="3"/>
        <v>-195</v>
      </c>
      <c r="L33" s="165">
        <f t="shared" si="4"/>
        <v>0.2696629213483146</v>
      </c>
    </row>
    <row r="34" spans="1:12" ht="14.25">
      <c r="A34" s="441" t="s">
        <v>91</v>
      </c>
      <c r="B34" s="441"/>
      <c r="C34" s="441"/>
      <c r="D34" s="196">
        <v>4072</v>
      </c>
      <c r="E34" s="177">
        <v>4045</v>
      </c>
      <c r="F34" s="197">
        <f t="shared" si="0"/>
        <v>-27</v>
      </c>
      <c r="G34" s="198">
        <f t="shared" si="1"/>
        <v>0.9933693516699411</v>
      </c>
      <c r="H34" s="172">
        <v>3750</v>
      </c>
      <c r="I34" s="173"/>
      <c r="J34" s="174">
        <f t="shared" si="2"/>
        <v>3750</v>
      </c>
      <c r="K34" s="199">
        <f t="shared" si="3"/>
        <v>-295</v>
      </c>
      <c r="L34" s="200">
        <f t="shared" si="4"/>
        <v>0.927070457354759</v>
      </c>
    </row>
    <row r="35" spans="1:12" ht="14.25">
      <c r="A35" s="441" t="s">
        <v>92</v>
      </c>
      <c r="B35" s="441"/>
      <c r="C35" s="441"/>
      <c r="D35" s="143">
        <v>1589</v>
      </c>
      <c r="E35" s="140">
        <v>1655</v>
      </c>
      <c r="F35" s="160">
        <f t="shared" si="0"/>
        <v>66</v>
      </c>
      <c r="G35" s="161">
        <f t="shared" si="1"/>
        <v>1.0415355569540592</v>
      </c>
      <c r="H35" s="141">
        <v>1540</v>
      </c>
      <c r="I35" s="142"/>
      <c r="J35" s="174">
        <f t="shared" si="2"/>
        <v>1540</v>
      </c>
      <c r="K35" s="164">
        <f t="shared" si="3"/>
        <v>-115</v>
      </c>
      <c r="L35" s="165">
        <f t="shared" si="4"/>
        <v>0.9305135951661632</v>
      </c>
    </row>
    <row r="36" spans="1:12" ht="14.25">
      <c r="A36" s="441" t="s">
        <v>93</v>
      </c>
      <c r="B36" s="441"/>
      <c r="C36" s="441"/>
      <c r="D36" s="143">
        <v>1838</v>
      </c>
      <c r="E36" s="140">
        <v>1756</v>
      </c>
      <c r="F36" s="160">
        <f t="shared" si="0"/>
        <v>-82</v>
      </c>
      <c r="G36" s="161">
        <f t="shared" si="1"/>
        <v>0.955386289445049</v>
      </c>
      <c r="H36" s="141">
        <v>1535</v>
      </c>
      <c r="I36" s="142"/>
      <c r="J36" s="174">
        <f t="shared" si="2"/>
        <v>1535</v>
      </c>
      <c r="K36" s="164">
        <f t="shared" si="3"/>
        <v>-221</v>
      </c>
      <c r="L36" s="165">
        <f t="shared" si="4"/>
        <v>0.8741457858769932</v>
      </c>
    </row>
    <row r="37" spans="1:12" ht="14.25">
      <c r="A37" s="441" t="s">
        <v>94</v>
      </c>
      <c r="B37" s="441"/>
      <c r="C37" s="441"/>
      <c r="D37" s="143"/>
      <c r="E37" s="140"/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645</v>
      </c>
      <c r="E39" s="140">
        <v>634</v>
      </c>
      <c r="F39" s="160">
        <f t="shared" si="0"/>
        <v>-11</v>
      </c>
      <c r="G39" s="161">
        <f t="shared" si="1"/>
        <v>0.9829457364341085</v>
      </c>
      <c r="H39" s="141">
        <v>675</v>
      </c>
      <c r="I39" s="142"/>
      <c r="J39" s="174">
        <f t="shared" si="2"/>
        <v>675</v>
      </c>
      <c r="K39" s="164">
        <f t="shared" si="3"/>
        <v>41</v>
      </c>
      <c r="L39" s="165">
        <f t="shared" si="4"/>
        <v>1.0646687697160884</v>
      </c>
    </row>
    <row r="40" spans="1:12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1184</v>
      </c>
      <c r="E41" s="140">
        <v>2891</v>
      </c>
      <c r="F41" s="160">
        <f t="shared" si="0"/>
        <v>1707</v>
      </c>
      <c r="G41" s="161">
        <f t="shared" si="1"/>
        <v>2.441722972972973</v>
      </c>
      <c r="H41" s="141">
        <v>1085</v>
      </c>
      <c r="I41" s="142"/>
      <c r="J41" s="174">
        <f t="shared" si="2"/>
        <v>1085</v>
      </c>
      <c r="K41" s="164">
        <f t="shared" si="3"/>
        <v>-1806</v>
      </c>
      <c r="L41" s="165">
        <f t="shared" si="4"/>
        <v>0.37530266343825663</v>
      </c>
    </row>
    <row r="42" spans="1:12" ht="14.25">
      <c r="A42" s="441" t="s">
        <v>99</v>
      </c>
      <c r="B42" s="441"/>
      <c r="C42" s="441"/>
      <c r="D42" s="143">
        <v>84</v>
      </c>
      <c r="E42" s="140">
        <v>90</v>
      </c>
      <c r="F42" s="160">
        <f t="shared" si="0"/>
        <v>6</v>
      </c>
      <c r="G42" s="161">
        <f t="shared" si="1"/>
        <v>1.0714285714285714</v>
      </c>
      <c r="H42" s="141">
        <v>90</v>
      </c>
      <c r="I42" s="142"/>
      <c r="J42" s="174">
        <f t="shared" si="2"/>
        <v>90</v>
      </c>
      <c r="K42" s="164">
        <f t="shared" si="3"/>
        <v>0</v>
      </c>
      <c r="L42" s="165">
        <f t="shared" si="4"/>
        <v>1</v>
      </c>
    </row>
    <row r="43" spans="1:12" ht="14.25">
      <c r="A43" s="441" t="s">
        <v>100</v>
      </c>
      <c r="B43" s="441"/>
      <c r="C43" s="441"/>
      <c r="D43" s="143">
        <v>5</v>
      </c>
      <c r="E43" s="140">
        <v>9</v>
      </c>
      <c r="F43" s="160">
        <f t="shared" si="0"/>
        <v>4</v>
      </c>
      <c r="G43" s="161">
        <f t="shared" si="1"/>
        <v>1.8</v>
      </c>
      <c r="H43" s="141">
        <v>9</v>
      </c>
      <c r="I43" s="142"/>
      <c r="J43" s="174">
        <f t="shared" si="2"/>
        <v>9</v>
      </c>
      <c r="K43" s="164">
        <f t="shared" si="3"/>
        <v>0</v>
      </c>
      <c r="L43" s="165">
        <f t="shared" si="4"/>
        <v>1</v>
      </c>
    </row>
    <row r="44" spans="1:12" ht="14.25">
      <c r="A44" s="441" t="s">
        <v>101</v>
      </c>
      <c r="B44" s="441"/>
      <c r="C44" s="441"/>
      <c r="D44" s="143">
        <v>1093</v>
      </c>
      <c r="E44" s="140">
        <v>1006</v>
      </c>
      <c r="F44" s="160">
        <f t="shared" si="0"/>
        <v>-87</v>
      </c>
      <c r="G44" s="161">
        <f t="shared" si="1"/>
        <v>0.9204025617566332</v>
      </c>
      <c r="H44" s="141">
        <v>1000</v>
      </c>
      <c r="I44" s="142"/>
      <c r="J44" s="174">
        <f t="shared" si="2"/>
        <v>1000</v>
      </c>
      <c r="K44" s="164">
        <f t="shared" si="3"/>
        <v>-6</v>
      </c>
      <c r="L44" s="165">
        <f t="shared" si="4"/>
        <v>0.9940357852882704</v>
      </c>
    </row>
    <row r="45" spans="1:15" ht="14.25">
      <c r="A45" s="441" t="s">
        <v>102</v>
      </c>
      <c r="B45" s="441"/>
      <c r="C45" s="441"/>
      <c r="D45" s="143">
        <v>144</v>
      </c>
      <c r="E45" s="140">
        <v>108</v>
      </c>
      <c r="F45" s="160">
        <f t="shared" si="0"/>
        <v>-36</v>
      </c>
      <c r="G45" s="161">
        <f t="shared" si="1"/>
        <v>0.75</v>
      </c>
      <c r="H45" s="141">
        <v>105</v>
      </c>
      <c r="I45" s="142"/>
      <c r="J45" s="174">
        <f t="shared" si="2"/>
        <v>105</v>
      </c>
      <c r="K45" s="164">
        <f t="shared" si="3"/>
        <v>-3</v>
      </c>
      <c r="L45" s="165">
        <f t="shared" si="4"/>
        <v>0.9722222222222222</v>
      </c>
      <c r="O45" s="147"/>
    </row>
    <row r="46" spans="1:12" ht="14.25">
      <c r="A46" s="441" t="s">
        <v>103</v>
      </c>
      <c r="B46" s="441"/>
      <c r="C46" s="441"/>
      <c r="D46" s="143"/>
      <c r="E46" s="140"/>
      <c r="F46" s="160">
        <f t="shared" si="0"/>
        <v>0</v>
      </c>
      <c r="G46" s="161"/>
      <c r="H46" s="141"/>
      <c r="I46" s="142"/>
      <c r="J46" s="174">
        <f t="shared" si="2"/>
        <v>0</v>
      </c>
      <c r="K46" s="164">
        <f t="shared" si="3"/>
        <v>0</v>
      </c>
      <c r="L46" s="165"/>
    </row>
    <row r="47" spans="1:12" ht="14.25">
      <c r="A47" s="441" t="s">
        <v>104</v>
      </c>
      <c r="B47" s="441"/>
      <c r="C47" s="441"/>
      <c r="D47" s="143">
        <v>949</v>
      </c>
      <c r="E47" s="140">
        <v>898</v>
      </c>
      <c r="F47" s="160">
        <f t="shared" si="0"/>
        <v>-51</v>
      </c>
      <c r="G47" s="161">
        <f t="shared" si="1"/>
        <v>0.946259220231823</v>
      </c>
      <c r="H47" s="141">
        <v>895</v>
      </c>
      <c r="I47" s="142"/>
      <c r="J47" s="174">
        <f t="shared" si="2"/>
        <v>895</v>
      </c>
      <c r="K47" s="164">
        <f t="shared" si="3"/>
        <v>-3</v>
      </c>
      <c r="L47" s="165">
        <f t="shared" si="4"/>
        <v>0.9966592427616926</v>
      </c>
    </row>
    <row r="48" spans="1:12" ht="14.25">
      <c r="A48" s="441" t="s">
        <v>105</v>
      </c>
      <c r="B48" s="441"/>
      <c r="C48" s="441"/>
      <c r="D48" s="196">
        <v>27624</v>
      </c>
      <c r="E48" s="177">
        <v>28824</v>
      </c>
      <c r="F48" s="197">
        <f t="shared" si="0"/>
        <v>1200</v>
      </c>
      <c r="G48" s="198">
        <f t="shared" si="1"/>
        <v>1.0434404865334492</v>
      </c>
      <c r="H48" s="172">
        <v>28661</v>
      </c>
      <c r="I48" s="173"/>
      <c r="J48" s="174">
        <f t="shared" si="2"/>
        <v>28661</v>
      </c>
      <c r="K48" s="199">
        <f t="shared" si="3"/>
        <v>-163</v>
      </c>
      <c r="L48" s="200">
        <f t="shared" si="4"/>
        <v>0.9943449902858729</v>
      </c>
    </row>
    <row r="49" spans="1:12" ht="14.25">
      <c r="A49" s="441" t="s">
        <v>106</v>
      </c>
      <c r="B49" s="441"/>
      <c r="C49" s="441"/>
      <c r="D49" s="143">
        <v>20579</v>
      </c>
      <c r="E49" s="140">
        <v>21165</v>
      </c>
      <c r="F49" s="160">
        <f t="shared" si="0"/>
        <v>586</v>
      </c>
      <c r="G49" s="161">
        <f t="shared" si="1"/>
        <v>1.0284756304971088</v>
      </c>
      <c r="H49" s="141">
        <v>21211</v>
      </c>
      <c r="I49" s="142"/>
      <c r="J49" s="174">
        <f t="shared" si="2"/>
        <v>21211</v>
      </c>
      <c r="K49" s="164">
        <f t="shared" si="3"/>
        <v>46</v>
      </c>
      <c r="L49" s="165">
        <f t="shared" si="4"/>
        <v>1.002173399480274</v>
      </c>
    </row>
    <row r="50" spans="1:12" ht="14.25">
      <c r="A50" s="441" t="s">
        <v>107</v>
      </c>
      <c r="B50" s="441"/>
      <c r="C50" s="441"/>
      <c r="D50" s="143">
        <v>20511</v>
      </c>
      <c r="E50" s="140">
        <v>21061</v>
      </c>
      <c r="F50" s="160">
        <f t="shared" si="0"/>
        <v>550</v>
      </c>
      <c r="G50" s="161">
        <f t="shared" si="1"/>
        <v>1.026814879820584</v>
      </c>
      <c r="H50" s="141">
        <v>21061</v>
      </c>
      <c r="I50" s="142"/>
      <c r="J50" s="174">
        <f t="shared" si="2"/>
        <v>21061</v>
      </c>
      <c r="K50" s="164">
        <f t="shared" si="3"/>
        <v>0</v>
      </c>
      <c r="L50" s="165">
        <f t="shared" si="4"/>
        <v>1</v>
      </c>
    </row>
    <row r="51" spans="1:12" ht="14.25">
      <c r="A51" s="441" t="s">
        <v>108</v>
      </c>
      <c r="B51" s="441"/>
      <c r="C51" s="441"/>
      <c r="D51" s="143">
        <v>68</v>
      </c>
      <c r="E51" s="140">
        <v>104</v>
      </c>
      <c r="F51" s="160">
        <f t="shared" si="0"/>
        <v>36</v>
      </c>
      <c r="G51" s="161">
        <f t="shared" si="1"/>
        <v>1.5294117647058822</v>
      </c>
      <c r="H51" s="141">
        <v>150</v>
      </c>
      <c r="I51" s="142"/>
      <c r="J51" s="174">
        <f t="shared" si="2"/>
        <v>150</v>
      </c>
      <c r="K51" s="164">
        <f t="shared" si="3"/>
        <v>46</v>
      </c>
      <c r="L51" s="165">
        <f t="shared" si="4"/>
        <v>1.4423076923076923</v>
      </c>
    </row>
    <row r="52" spans="1:12" ht="14.25">
      <c r="A52" s="441" t="s">
        <v>109</v>
      </c>
      <c r="B52" s="441"/>
      <c r="C52" s="441"/>
      <c r="D52" s="143">
        <v>7045</v>
      </c>
      <c r="E52" s="140">
        <v>7659</v>
      </c>
      <c r="F52" s="160">
        <f t="shared" si="0"/>
        <v>614</v>
      </c>
      <c r="G52" s="161">
        <f t="shared" si="1"/>
        <v>1.087154009936125</v>
      </c>
      <c r="H52" s="141">
        <v>7450</v>
      </c>
      <c r="I52" s="142"/>
      <c r="J52" s="174">
        <f t="shared" si="2"/>
        <v>7450</v>
      </c>
      <c r="K52" s="164">
        <f t="shared" si="3"/>
        <v>-209</v>
      </c>
      <c r="L52" s="165">
        <f t="shared" si="4"/>
        <v>0.9727118422770596</v>
      </c>
    </row>
    <row r="53" spans="1:12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/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>
        <v>2</v>
      </c>
      <c r="E54" s="140">
        <v>1</v>
      </c>
      <c r="F54" s="160">
        <f t="shared" si="0"/>
        <v>-1</v>
      </c>
      <c r="G54" s="161">
        <f t="shared" si="1"/>
        <v>0.5</v>
      </c>
      <c r="H54" s="141">
        <v>2</v>
      </c>
      <c r="I54" s="142"/>
      <c r="J54" s="174">
        <f t="shared" si="2"/>
        <v>2</v>
      </c>
      <c r="K54" s="164">
        <f t="shared" si="3"/>
        <v>1</v>
      </c>
      <c r="L54" s="165">
        <f t="shared" si="4"/>
        <v>2</v>
      </c>
    </row>
    <row r="55" spans="1:12" ht="14.25">
      <c r="A55" s="441" t="s">
        <v>112</v>
      </c>
      <c r="B55" s="441"/>
      <c r="C55" s="441"/>
      <c r="D55" s="143">
        <v>212</v>
      </c>
      <c r="E55" s="140">
        <v>212</v>
      </c>
      <c r="F55" s="160">
        <f t="shared" si="0"/>
        <v>0</v>
      </c>
      <c r="G55" s="161">
        <f t="shared" si="1"/>
        <v>1</v>
      </c>
      <c r="H55" s="141">
        <v>212</v>
      </c>
      <c r="I55" s="142"/>
      <c r="J55" s="174">
        <f t="shared" si="2"/>
        <v>212</v>
      </c>
      <c r="K55" s="164">
        <f t="shared" si="3"/>
        <v>0</v>
      </c>
      <c r="L55" s="165">
        <f t="shared" si="4"/>
        <v>1</v>
      </c>
    </row>
    <row r="56" spans="1:12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/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2436</v>
      </c>
      <c r="E57" s="140">
        <v>2520</v>
      </c>
      <c r="F57" s="160">
        <f t="shared" si="0"/>
        <v>84</v>
      </c>
      <c r="G57" s="161">
        <f t="shared" si="1"/>
        <v>1.0344827586206897</v>
      </c>
      <c r="H57" s="141">
        <v>2516</v>
      </c>
      <c r="I57" s="142"/>
      <c r="J57" s="174">
        <f t="shared" si="2"/>
        <v>2516</v>
      </c>
      <c r="K57" s="164">
        <f t="shared" si="3"/>
        <v>-4</v>
      </c>
      <c r="L57" s="165">
        <f t="shared" si="4"/>
        <v>0.9984126984126984</v>
      </c>
    </row>
    <row r="58" spans="1:12" ht="14.25">
      <c r="A58" s="441" t="s">
        <v>115</v>
      </c>
      <c r="B58" s="441"/>
      <c r="C58" s="441"/>
      <c r="D58" s="143"/>
      <c r="E58" s="140"/>
      <c r="F58" s="160">
        <f t="shared" si="0"/>
        <v>0</v>
      </c>
      <c r="G58" s="161"/>
      <c r="H58" s="141"/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/>
      <c r="E59" s="148"/>
      <c r="F59" s="162">
        <f t="shared" si="0"/>
        <v>0</v>
      </c>
      <c r="G59" s="163"/>
      <c r="H59" s="145"/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44159</v>
      </c>
      <c r="E60" s="180">
        <v>46443</v>
      </c>
      <c r="F60" s="181">
        <f t="shared" si="0"/>
        <v>2284</v>
      </c>
      <c r="G60" s="182">
        <f t="shared" si="1"/>
        <v>1.0517221857379018</v>
      </c>
      <c r="H60" s="183">
        <v>44225</v>
      </c>
      <c r="I60" s="184"/>
      <c r="J60" s="185">
        <f t="shared" si="2"/>
        <v>44225</v>
      </c>
      <c r="K60" s="183">
        <f t="shared" si="3"/>
        <v>-2218</v>
      </c>
      <c r="L60" s="186">
        <f t="shared" si="4"/>
        <v>0.9522425338587085</v>
      </c>
    </row>
    <row r="61" spans="1:14" s="6" customFormat="1" ht="15">
      <c r="A61" s="447" t="s">
        <v>17</v>
      </c>
      <c r="B61" s="447"/>
      <c r="C61" s="447"/>
      <c r="D61" s="96">
        <v>182</v>
      </c>
      <c r="E61" s="96">
        <v>65</v>
      </c>
      <c r="F61" s="96"/>
      <c r="G61" s="96"/>
      <c r="H61" s="96">
        <v>0</v>
      </c>
      <c r="I61" s="96"/>
      <c r="J61" s="96">
        <f>J27-J60</f>
        <v>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238</v>
      </c>
      <c r="B67" s="382"/>
      <c r="C67" s="13">
        <v>1500</v>
      </c>
      <c r="D67" s="14"/>
      <c r="E67" s="382" t="s">
        <v>319</v>
      </c>
      <c r="F67" s="382"/>
      <c r="G67" s="382"/>
      <c r="H67" s="382"/>
      <c r="I67" s="15">
        <v>350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239</v>
      </c>
      <c r="B68" s="382"/>
      <c r="C68" s="13">
        <v>500</v>
      </c>
      <c r="D68" s="14"/>
      <c r="E68" s="380" t="s">
        <v>241</v>
      </c>
      <c r="F68" s="380"/>
      <c r="G68" s="380"/>
      <c r="H68" s="380"/>
      <c r="I68" s="16">
        <v>80</v>
      </c>
      <c r="J68" s="11"/>
      <c r="K68" s="17" t="s">
        <v>20</v>
      </c>
      <c r="L68" s="18"/>
      <c r="M68" s="19">
        <v>2008</v>
      </c>
      <c r="N68" s="20">
        <v>2009</v>
      </c>
    </row>
    <row r="69" spans="1:14" s="6" customFormat="1" ht="15">
      <c r="A69" s="382" t="s">
        <v>240</v>
      </c>
      <c r="B69" s="382"/>
      <c r="C69" s="13">
        <v>150</v>
      </c>
      <c r="D69" s="14"/>
      <c r="E69" s="380" t="s">
        <v>242</v>
      </c>
      <c r="F69" s="380"/>
      <c r="G69" s="380"/>
      <c r="H69" s="380"/>
      <c r="I69" s="16">
        <v>400</v>
      </c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177</v>
      </c>
      <c r="B70" s="382"/>
      <c r="C70" s="13">
        <v>1256</v>
      </c>
      <c r="D70" s="14"/>
      <c r="E70" s="380" t="s">
        <v>320</v>
      </c>
      <c r="F70" s="380"/>
      <c r="G70" s="380"/>
      <c r="H70" s="380"/>
      <c r="I70" s="16">
        <v>200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 t="s">
        <v>266</v>
      </c>
      <c r="F71" s="380"/>
      <c r="G71" s="380"/>
      <c r="H71" s="380"/>
      <c r="I71" s="28">
        <v>55</v>
      </c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3406</v>
      </c>
      <c r="D75" s="36"/>
      <c r="E75" s="404" t="s">
        <v>12</v>
      </c>
      <c r="F75" s="404"/>
      <c r="G75" s="404"/>
      <c r="H75" s="404"/>
      <c r="I75" s="37">
        <f>SUM(I67:I74)</f>
        <v>1085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144482</v>
      </c>
      <c r="B81" s="46">
        <v>26263</v>
      </c>
      <c r="C81" s="47">
        <v>2516</v>
      </c>
      <c r="D81" s="48">
        <v>168</v>
      </c>
      <c r="E81" s="48">
        <v>970</v>
      </c>
      <c r="F81" s="48">
        <v>147</v>
      </c>
      <c r="G81" s="48">
        <v>0</v>
      </c>
      <c r="H81" s="49">
        <v>1231</v>
      </c>
      <c r="I81" s="50"/>
      <c r="J81" s="51">
        <v>115703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9276.02</v>
      </c>
      <c r="C86" s="61" t="s">
        <v>38</v>
      </c>
      <c r="D86" s="62" t="s">
        <v>38</v>
      </c>
      <c r="E86" s="62" t="s">
        <v>38</v>
      </c>
      <c r="F86" s="63"/>
      <c r="G86" s="64">
        <v>6249.25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175.68</v>
      </c>
      <c r="C87" s="71">
        <v>176</v>
      </c>
      <c r="D87" s="72">
        <v>0</v>
      </c>
      <c r="E87" s="72">
        <v>0</v>
      </c>
      <c r="F87" s="73">
        <f>C87+D87-E87</f>
        <v>176</v>
      </c>
      <c r="G87" s="74">
        <v>175.68</v>
      </c>
      <c r="H87" s="75">
        <f>+G87-F87</f>
        <v>-0.3199999999999932</v>
      </c>
      <c r="I87" s="71">
        <v>176</v>
      </c>
      <c r="J87" s="72">
        <v>0</v>
      </c>
      <c r="K87" s="72">
        <v>176</v>
      </c>
      <c r="L87" s="73">
        <f>I87+J87-K87</f>
        <v>0</v>
      </c>
      <c r="M87" s="76"/>
    </row>
    <row r="88" spans="1:13" s="10" customFormat="1" ht="15">
      <c r="A88" s="69" t="s">
        <v>40</v>
      </c>
      <c r="B88" s="70">
        <f>664.13+81.94</f>
        <v>746.0699999999999</v>
      </c>
      <c r="C88" s="71">
        <f>669+82</f>
        <v>751</v>
      </c>
      <c r="D88" s="72">
        <f>182+179</f>
        <v>361</v>
      </c>
      <c r="E88" s="72">
        <f>107+189</f>
        <v>296</v>
      </c>
      <c r="F88" s="73">
        <f>C88+D88-E88</f>
        <v>816</v>
      </c>
      <c r="G88" s="74">
        <f>846.46+71.8</f>
        <v>918.26</v>
      </c>
      <c r="H88" s="75">
        <f>+G88-F88</f>
        <v>102.25999999999999</v>
      </c>
      <c r="I88" s="71">
        <v>816</v>
      </c>
      <c r="J88" s="72">
        <f>65+50</f>
        <v>115</v>
      </c>
      <c r="K88" s="72">
        <f>80+50</f>
        <v>130</v>
      </c>
      <c r="L88" s="73">
        <f>I88+J88-K88</f>
        <v>801</v>
      </c>
      <c r="M88" s="76"/>
    </row>
    <row r="89" spans="1:13" s="10" customFormat="1" ht="15">
      <c r="A89" s="69" t="s">
        <v>44</v>
      </c>
      <c r="B89" s="70">
        <v>4814.57</v>
      </c>
      <c r="C89" s="71">
        <v>4815</v>
      </c>
      <c r="D89" s="72">
        <v>2520</v>
      </c>
      <c r="E89" s="72">
        <v>5084</v>
      </c>
      <c r="F89" s="73">
        <f>C89+D89-E89</f>
        <v>2251</v>
      </c>
      <c r="G89" s="74">
        <v>2336.77</v>
      </c>
      <c r="H89" s="75">
        <f>+G89-F89</f>
        <v>85.76999999999998</v>
      </c>
      <c r="I89" s="77">
        <v>2251</v>
      </c>
      <c r="J89" s="78">
        <v>2516</v>
      </c>
      <c r="K89" s="78">
        <v>3406</v>
      </c>
      <c r="L89" s="73">
        <f>I89+J89-K89</f>
        <v>1361</v>
      </c>
      <c r="M89" s="76"/>
    </row>
    <row r="90" spans="1:13" s="10" customFormat="1" ht="15">
      <c r="A90" s="69" t="s">
        <v>41</v>
      </c>
      <c r="B90" s="70">
        <v>3539.7</v>
      </c>
      <c r="C90" s="79" t="s">
        <v>38</v>
      </c>
      <c r="D90" s="62" t="s">
        <v>38</v>
      </c>
      <c r="E90" s="80" t="s">
        <v>38</v>
      </c>
      <c r="F90" s="73"/>
      <c r="G90" s="74">
        <v>2818.54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227.98</v>
      </c>
      <c r="C91" s="84">
        <v>226</v>
      </c>
      <c r="D91" s="85">
        <v>460</v>
      </c>
      <c r="E91" s="85">
        <v>337</v>
      </c>
      <c r="F91" s="106">
        <f>C91+D91-E91</f>
        <v>349</v>
      </c>
      <c r="G91" s="109">
        <v>349.65</v>
      </c>
      <c r="H91" s="110">
        <f>+G91-F91</f>
        <v>0.6499999999999773</v>
      </c>
      <c r="I91" s="111">
        <v>349</v>
      </c>
      <c r="J91" s="112">
        <v>211</v>
      </c>
      <c r="K91" s="112">
        <v>250</v>
      </c>
      <c r="L91" s="106">
        <f>I91+J91-K91</f>
        <v>310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102</v>
      </c>
      <c r="C97" s="91">
        <v>102.9</v>
      </c>
      <c r="D97" s="149"/>
      <c r="E97" s="89">
        <v>2010</v>
      </c>
      <c r="F97" s="418">
        <v>172</v>
      </c>
      <c r="G97" s="418"/>
      <c r="I97" s="89">
        <v>2010</v>
      </c>
      <c r="J97" s="90">
        <v>21061</v>
      </c>
      <c r="K97" s="91">
        <v>21061</v>
      </c>
    </row>
    <row r="98" spans="1:11" s="6" customFormat="1" ht="15.75" thickBot="1">
      <c r="A98" s="92">
        <v>2011</v>
      </c>
      <c r="B98" s="93">
        <v>102</v>
      </c>
      <c r="C98" s="108" t="s">
        <v>62</v>
      </c>
      <c r="D98" s="149"/>
      <c r="E98" s="92">
        <v>2011</v>
      </c>
      <c r="F98" s="419">
        <v>172</v>
      </c>
      <c r="G98" s="419"/>
      <c r="I98" s="92">
        <v>2011</v>
      </c>
      <c r="J98" s="93">
        <v>21061</v>
      </c>
      <c r="K98" s="108" t="s">
        <v>62</v>
      </c>
    </row>
  </sheetData>
  <mergeCells count="104">
    <mergeCell ref="A2:N2"/>
    <mergeCell ref="A3:G3"/>
    <mergeCell ref="F96:G96"/>
    <mergeCell ref="F97:G97"/>
    <mergeCell ref="K4:L4"/>
    <mergeCell ref="A7:C7"/>
    <mergeCell ref="A62:C62"/>
    <mergeCell ref="I95:K95"/>
    <mergeCell ref="I65:I66"/>
    <mergeCell ref="C78:I78"/>
    <mergeCell ref="F98:G98"/>
    <mergeCell ref="A65:B66"/>
    <mergeCell ref="C65:C66"/>
    <mergeCell ref="E65:H66"/>
    <mergeCell ref="A67:B67"/>
    <mergeCell ref="E67:H67"/>
    <mergeCell ref="A78:A80"/>
    <mergeCell ref="B78:B80"/>
    <mergeCell ref="A95:C95"/>
    <mergeCell ref="E95:G95"/>
    <mergeCell ref="J78:J80"/>
    <mergeCell ref="C79:C80"/>
    <mergeCell ref="D4:D6"/>
    <mergeCell ref="E4:E6"/>
    <mergeCell ref="F4:G4"/>
    <mergeCell ref="H4:J4"/>
    <mergeCell ref="A8:C8"/>
    <mergeCell ref="A4:C6"/>
    <mergeCell ref="E74:H74"/>
    <mergeCell ref="E75:H75"/>
    <mergeCell ref="D79:I79"/>
    <mergeCell ref="A9:C9"/>
    <mergeCell ref="A10:C10"/>
    <mergeCell ref="A12:C12"/>
    <mergeCell ref="A13:C13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8:B68"/>
    <mergeCell ref="A69:B69"/>
    <mergeCell ref="A70:B70"/>
    <mergeCell ref="A71:B71"/>
    <mergeCell ref="E68:H68"/>
    <mergeCell ref="E69:H69"/>
    <mergeCell ref="A74:B74"/>
    <mergeCell ref="A75:B75"/>
    <mergeCell ref="A72:B72"/>
    <mergeCell ref="A73:B73"/>
    <mergeCell ref="E70:H70"/>
    <mergeCell ref="E71:H71"/>
    <mergeCell ref="E72:H72"/>
    <mergeCell ref="E73:H73"/>
    <mergeCell ref="H84:H85"/>
    <mergeCell ref="I84:L84"/>
    <mergeCell ref="A84:A85"/>
    <mergeCell ref="B84:B85"/>
    <mergeCell ref="C84:F84"/>
    <mergeCell ref="G84:G85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4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J90" sqref="J90"/>
    </sheetView>
  </sheetViews>
  <sheetFormatPr defaultColWidth="9.00390625" defaultRowHeight="12.75"/>
  <cols>
    <col min="1" max="1" width="27.875" style="0" customWidth="1"/>
    <col min="2" max="2" width="12.00390625" style="0" customWidth="1"/>
    <col min="3" max="3" width="10.875" style="0" customWidth="1"/>
    <col min="4" max="4" width="10.125" style="117" customWidth="1"/>
    <col min="5" max="5" width="10.375" style="118" customWidth="1"/>
    <col min="6" max="7" width="10.75390625" style="0" customWidth="1"/>
    <col min="8" max="8" width="10.875" style="0" customWidth="1"/>
    <col min="13" max="13" width="9.75390625" style="0" customWidth="1"/>
    <col min="14" max="14" width="10.25390625" style="0" customWidth="1"/>
    <col min="15" max="15" width="10.75390625" style="0" customWidth="1"/>
  </cols>
  <sheetData>
    <row r="2" spans="1:14" s="6" customFormat="1" ht="15">
      <c r="A2" s="407" t="s">
        <v>129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s="138" customFormat="1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s="138" customFormat="1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s="138" customFormat="1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s="138" customFormat="1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s="138" customFormat="1" ht="14.25">
      <c r="A7" s="483" t="s">
        <v>65</v>
      </c>
      <c r="B7" s="483"/>
      <c r="C7" s="483"/>
      <c r="D7" s="168">
        <f>SUM(D8:D13)</f>
        <v>16864</v>
      </c>
      <c r="E7" s="169">
        <f>SUM(E8:E13)</f>
        <v>16900</v>
      </c>
      <c r="F7" s="170">
        <f>E7-D7</f>
        <v>36</v>
      </c>
      <c r="G7" s="171">
        <f>E7/D7</f>
        <v>1.002134724857685</v>
      </c>
      <c r="H7" s="172">
        <f>SUM(H8:H13)</f>
        <v>16830</v>
      </c>
      <c r="I7" s="173">
        <f>SUM(I8:I13)</f>
        <v>550</v>
      </c>
      <c r="J7" s="174">
        <f>H7+I7</f>
        <v>17380</v>
      </c>
      <c r="K7" s="175">
        <f>J7-E7</f>
        <v>480</v>
      </c>
      <c r="L7" s="176">
        <f>J7/E7</f>
        <v>1.0284023668639053</v>
      </c>
    </row>
    <row r="8" spans="1:12" s="138" customFormat="1" ht="14.25">
      <c r="A8" s="465" t="s">
        <v>66</v>
      </c>
      <c r="B8" s="465"/>
      <c r="C8" s="465"/>
      <c r="D8" s="143">
        <v>9100</v>
      </c>
      <c r="E8" s="140">
        <v>9312</v>
      </c>
      <c r="F8" s="160">
        <f aca="true" t="shared" si="0" ref="F8:F60">E8-D8</f>
        <v>212</v>
      </c>
      <c r="G8" s="161">
        <f aca="true" t="shared" si="1" ref="G8:G60">E8/D8</f>
        <v>1.0232967032967033</v>
      </c>
      <c r="H8" s="141">
        <v>9700</v>
      </c>
      <c r="I8" s="142"/>
      <c r="J8" s="174">
        <f aca="true" t="shared" si="2" ref="J8:J60">H8+I8</f>
        <v>9700</v>
      </c>
      <c r="K8" s="164">
        <f aca="true" t="shared" si="3" ref="K8:K60">J8-E8</f>
        <v>388</v>
      </c>
      <c r="L8" s="165">
        <f aca="true" t="shared" si="4" ref="L8:L60">J8/E8</f>
        <v>1.0416666666666667</v>
      </c>
    </row>
    <row r="9" spans="1:12" s="138" customFormat="1" ht="14.25">
      <c r="A9" s="465" t="s">
        <v>67</v>
      </c>
      <c r="B9" s="465"/>
      <c r="C9" s="465"/>
      <c r="D9" s="143">
        <v>6367</v>
      </c>
      <c r="E9" s="140">
        <v>6080</v>
      </c>
      <c r="F9" s="160">
        <f t="shared" si="0"/>
        <v>-287</v>
      </c>
      <c r="G9" s="161">
        <f t="shared" si="1"/>
        <v>0.9549238259776975</v>
      </c>
      <c r="H9" s="141">
        <v>5900</v>
      </c>
      <c r="I9" s="142"/>
      <c r="J9" s="174">
        <f t="shared" si="2"/>
        <v>5900</v>
      </c>
      <c r="K9" s="164">
        <f t="shared" si="3"/>
        <v>-180</v>
      </c>
      <c r="L9" s="165">
        <f t="shared" si="4"/>
        <v>0.9703947368421053</v>
      </c>
    </row>
    <row r="10" spans="1:12" s="138" customFormat="1" ht="14.25">
      <c r="A10" s="465" t="s">
        <v>68</v>
      </c>
      <c r="B10" s="465"/>
      <c r="C10" s="465"/>
      <c r="D10" s="143">
        <v>64</v>
      </c>
      <c r="E10" s="140">
        <v>68</v>
      </c>
      <c r="F10" s="160">
        <f t="shared" si="0"/>
        <v>4</v>
      </c>
      <c r="G10" s="161">
        <f t="shared" si="1"/>
        <v>1.0625</v>
      </c>
      <c r="H10" s="141">
        <v>70</v>
      </c>
      <c r="I10" s="142"/>
      <c r="J10" s="174">
        <f t="shared" si="2"/>
        <v>70</v>
      </c>
      <c r="K10" s="164">
        <f t="shared" si="3"/>
        <v>2</v>
      </c>
      <c r="L10" s="165">
        <f t="shared" si="4"/>
        <v>1.0294117647058822</v>
      </c>
    </row>
    <row r="11" spans="1:12" s="138" customFormat="1" ht="14.25">
      <c r="A11" s="465" t="s">
        <v>69</v>
      </c>
      <c r="B11" s="465"/>
      <c r="C11" s="465"/>
      <c r="D11" s="143">
        <v>605</v>
      </c>
      <c r="E11" s="140">
        <v>737</v>
      </c>
      <c r="F11" s="160">
        <f t="shared" si="0"/>
        <v>132</v>
      </c>
      <c r="G11" s="161">
        <f t="shared" si="1"/>
        <v>1.2181818181818183</v>
      </c>
      <c r="H11" s="141">
        <v>900</v>
      </c>
      <c r="I11" s="142"/>
      <c r="J11" s="174">
        <f t="shared" si="2"/>
        <v>900</v>
      </c>
      <c r="K11" s="164">
        <f t="shared" si="3"/>
        <v>163</v>
      </c>
      <c r="L11" s="165">
        <f t="shared" si="4"/>
        <v>1.2211668928086838</v>
      </c>
    </row>
    <row r="12" spans="1:12" s="138" customFormat="1" ht="14.25">
      <c r="A12" s="465" t="s">
        <v>70</v>
      </c>
      <c r="B12" s="465"/>
      <c r="C12" s="465"/>
      <c r="D12" s="143">
        <v>236</v>
      </c>
      <c r="E12" s="140">
        <v>241</v>
      </c>
      <c r="F12" s="160">
        <f t="shared" si="0"/>
        <v>5</v>
      </c>
      <c r="G12" s="161">
        <f t="shared" si="1"/>
        <v>1.021186440677966</v>
      </c>
      <c r="H12" s="141">
        <v>260</v>
      </c>
      <c r="I12" s="142">
        <v>550</v>
      </c>
      <c r="J12" s="174">
        <f t="shared" si="2"/>
        <v>810</v>
      </c>
      <c r="K12" s="164">
        <f t="shared" si="3"/>
        <v>569</v>
      </c>
      <c r="L12" s="165">
        <f t="shared" si="4"/>
        <v>3.3609958506224067</v>
      </c>
    </row>
    <row r="13" spans="1:12" s="138" customFormat="1" ht="14.25">
      <c r="A13" s="465" t="s">
        <v>71</v>
      </c>
      <c r="B13" s="465"/>
      <c r="C13" s="465"/>
      <c r="D13" s="143">
        <v>492</v>
      </c>
      <c r="E13" s="140">
        <v>462</v>
      </c>
      <c r="F13" s="160">
        <f t="shared" si="0"/>
        <v>-30</v>
      </c>
      <c r="G13" s="161">
        <f t="shared" si="1"/>
        <v>0.9390243902439024</v>
      </c>
      <c r="H13" s="141"/>
      <c r="I13" s="142"/>
      <c r="J13" s="174">
        <f t="shared" si="2"/>
        <v>0</v>
      </c>
      <c r="K13" s="164">
        <f t="shared" si="3"/>
        <v>-462</v>
      </c>
      <c r="L13" s="165">
        <f t="shared" si="4"/>
        <v>0</v>
      </c>
    </row>
    <row r="14" spans="1:20" s="138" customFormat="1" ht="15">
      <c r="A14" s="456" t="s">
        <v>72</v>
      </c>
      <c r="B14" s="456"/>
      <c r="C14" s="456"/>
      <c r="D14" s="143"/>
      <c r="E14" s="177"/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s="138" customFormat="1" ht="14.25">
      <c r="A15" s="456" t="s">
        <v>73</v>
      </c>
      <c r="B15" s="456"/>
      <c r="C15" s="456"/>
      <c r="D15" s="143"/>
      <c r="E15" s="140"/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s="138" customFormat="1" ht="14.25">
      <c r="A16" s="456" t="s">
        <v>74</v>
      </c>
      <c r="B16" s="456"/>
      <c r="C16" s="456"/>
      <c r="D16" s="143">
        <v>134</v>
      </c>
      <c r="E16" s="140">
        <v>139</v>
      </c>
      <c r="F16" s="160">
        <f t="shared" si="0"/>
        <v>5</v>
      </c>
      <c r="G16" s="161">
        <f t="shared" si="1"/>
        <v>1.037313432835821</v>
      </c>
      <c r="H16" s="141">
        <f>140+200</f>
        <v>340</v>
      </c>
      <c r="I16" s="142"/>
      <c r="J16" s="174">
        <f t="shared" si="2"/>
        <v>340</v>
      </c>
      <c r="K16" s="164">
        <f t="shared" si="3"/>
        <v>201</v>
      </c>
      <c r="L16" s="165">
        <f t="shared" si="4"/>
        <v>2.446043165467626</v>
      </c>
      <c r="N16" s="139"/>
      <c r="O16" s="139"/>
      <c r="P16" s="139"/>
      <c r="Q16" s="139"/>
      <c r="R16" s="139"/>
      <c r="S16" s="139"/>
      <c r="T16" s="139"/>
    </row>
    <row r="17" spans="1:20" s="138" customFormat="1" ht="14.25">
      <c r="A17" s="456" t="s">
        <v>75</v>
      </c>
      <c r="B17" s="456"/>
      <c r="C17" s="456"/>
      <c r="D17" s="143">
        <v>269</v>
      </c>
      <c r="E17" s="140">
        <v>159</v>
      </c>
      <c r="F17" s="160">
        <f t="shared" si="0"/>
        <v>-110</v>
      </c>
      <c r="G17" s="161">
        <f t="shared" si="1"/>
        <v>0.5910780669144982</v>
      </c>
      <c r="H17" s="141">
        <v>200</v>
      </c>
      <c r="I17" s="142"/>
      <c r="J17" s="174">
        <f t="shared" si="2"/>
        <v>200</v>
      </c>
      <c r="K17" s="164">
        <f t="shared" si="3"/>
        <v>41</v>
      </c>
      <c r="L17" s="165">
        <f t="shared" si="4"/>
        <v>1.2578616352201257</v>
      </c>
      <c r="N17" s="144"/>
      <c r="O17" s="144"/>
      <c r="P17" s="144"/>
      <c r="Q17" s="144"/>
      <c r="R17" s="144"/>
      <c r="S17" s="144"/>
      <c r="T17" s="144"/>
    </row>
    <row r="18" spans="1:12" s="138" customFormat="1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s="138" customFormat="1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s="138" customFormat="1" ht="14.25">
      <c r="A20" s="456" t="s">
        <v>78</v>
      </c>
      <c r="B20" s="456"/>
      <c r="C20" s="456"/>
      <c r="D20" s="143"/>
      <c r="E20" s="140"/>
      <c r="F20" s="160">
        <f t="shared" si="0"/>
        <v>0</v>
      </c>
      <c r="G20" s="161"/>
      <c r="H20" s="141"/>
      <c r="I20" s="142"/>
      <c r="J20" s="174">
        <f t="shared" si="2"/>
        <v>0</v>
      </c>
      <c r="K20" s="164">
        <f t="shared" si="3"/>
        <v>0</v>
      </c>
      <c r="L20" s="165"/>
    </row>
    <row r="21" spans="1:12" s="138" customFormat="1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s="138" customFormat="1" ht="14.25">
      <c r="A22" s="456" t="s">
        <v>80</v>
      </c>
      <c r="B22" s="456"/>
      <c r="C22" s="456"/>
      <c r="D22" s="143"/>
      <c r="E22" s="177"/>
      <c r="F22" s="160">
        <f t="shared" si="0"/>
        <v>0</v>
      </c>
      <c r="G22" s="161"/>
      <c r="H22" s="172">
        <f>H23+H24</f>
        <v>7762</v>
      </c>
      <c r="I22" s="173"/>
      <c r="J22" s="174">
        <f t="shared" si="2"/>
        <v>7762</v>
      </c>
      <c r="K22" s="164">
        <f t="shared" si="3"/>
        <v>7762</v>
      </c>
      <c r="L22" s="165"/>
    </row>
    <row r="23" spans="1:12" s="138" customFormat="1" ht="14.25">
      <c r="A23" s="456" t="s">
        <v>81</v>
      </c>
      <c r="B23" s="456"/>
      <c r="C23" s="456"/>
      <c r="D23" s="143">
        <v>2135</v>
      </c>
      <c r="E23" s="140">
        <v>1362</v>
      </c>
      <c r="F23" s="160">
        <f t="shared" si="0"/>
        <v>-773</v>
      </c>
      <c r="G23" s="161">
        <f t="shared" si="1"/>
        <v>0.6379391100702576</v>
      </c>
      <c r="H23" s="141">
        <v>1362</v>
      </c>
      <c r="I23" s="142"/>
      <c r="J23" s="174">
        <f t="shared" si="2"/>
        <v>1362</v>
      </c>
      <c r="K23" s="164">
        <f t="shared" si="3"/>
        <v>0</v>
      </c>
      <c r="L23" s="165">
        <f t="shared" si="4"/>
        <v>1</v>
      </c>
    </row>
    <row r="24" spans="1:12" s="138" customFormat="1" ht="14.25">
      <c r="A24" s="456" t="s">
        <v>82</v>
      </c>
      <c r="B24" s="456"/>
      <c r="C24" s="456"/>
      <c r="D24" s="143">
        <v>6425</v>
      </c>
      <c r="E24" s="140">
        <v>7200</v>
      </c>
      <c r="F24" s="160">
        <f t="shared" si="0"/>
        <v>775</v>
      </c>
      <c r="G24" s="161">
        <f t="shared" si="1"/>
        <v>1.1206225680933852</v>
      </c>
      <c r="H24" s="141">
        <v>6400</v>
      </c>
      <c r="I24" s="142"/>
      <c r="J24" s="174">
        <f t="shared" si="2"/>
        <v>6400</v>
      </c>
      <c r="K24" s="164">
        <f t="shared" si="3"/>
        <v>-800</v>
      </c>
      <c r="L24" s="165">
        <f t="shared" si="4"/>
        <v>0.8888888888888888</v>
      </c>
    </row>
    <row r="25" spans="1:12" s="138" customFormat="1" ht="14.25">
      <c r="A25" s="456" t="s">
        <v>83</v>
      </c>
      <c r="B25" s="456"/>
      <c r="C25" s="456"/>
      <c r="D25" s="143"/>
      <c r="E25" s="140"/>
      <c r="F25" s="160">
        <f t="shared" si="0"/>
        <v>0</v>
      </c>
      <c r="G25" s="161"/>
      <c r="H25" s="141"/>
      <c r="I25" s="142"/>
      <c r="J25" s="174">
        <f t="shared" si="2"/>
        <v>0</v>
      </c>
      <c r="K25" s="164">
        <f t="shared" si="3"/>
        <v>0</v>
      </c>
      <c r="L25" s="165"/>
    </row>
    <row r="26" spans="1:12" s="138" customFormat="1" ht="15" thickBot="1">
      <c r="A26" s="494"/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s="138" customFormat="1" ht="15.75" thickBot="1">
      <c r="A27" s="462" t="s">
        <v>84</v>
      </c>
      <c r="B27" s="462"/>
      <c r="C27" s="462"/>
      <c r="D27" s="179">
        <f>SUM(D8:D26)</f>
        <v>25827</v>
      </c>
      <c r="E27" s="180">
        <f>SUM(E8:E26)</f>
        <v>25760</v>
      </c>
      <c r="F27" s="181">
        <f t="shared" si="0"/>
        <v>-67</v>
      </c>
      <c r="G27" s="182">
        <f t="shared" si="1"/>
        <v>0.9974058156193131</v>
      </c>
      <c r="H27" s="183">
        <f>H7+H16+H22</f>
        <v>24932</v>
      </c>
      <c r="I27" s="184">
        <f>SUM(I9:I26)</f>
        <v>550</v>
      </c>
      <c r="J27" s="185">
        <f t="shared" si="2"/>
        <v>25482</v>
      </c>
      <c r="K27" s="183">
        <f t="shared" si="3"/>
        <v>-278</v>
      </c>
      <c r="L27" s="186">
        <f t="shared" si="4"/>
        <v>0.9892080745341615</v>
      </c>
    </row>
    <row r="28" spans="1:12" s="138" customFormat="1" ht="14.25">
      <c r="A28" s="495" t="s">
        <v>85</v>
      </c>
      <c r="B28" s="495"/>
      <c r="C28" s="495"/>
      <c r="D28" s="187">
        <f>SUM(D29:D33)</f>
        <v>4395</v>
      </c>
      <c r="E28" s="188">
        <f>SUM(E29:E33)</f>
        <v>4243</v>
      </c>
      <c r="F28" s="189">
        <f t="shared" si="0"/>
        <v>-152</v>
      </c>
      <c r="G28" s="190">
        <f t="shared" si="1"/>
        <v>0.9654152445961319</v>
      </c>
      <c r="H28" s="191">
        <f>SUM(H29:H33)</f>
        <v>3981</v>
      </c>
      <c r="I28" s="192">
        <f>SUM(I29:I33)</f>
        <v>299</v>
      </c>
      <c r="J28" s="193">
        <f t="shared" si="2"/>
        <v>4280</v>
      </c>
      <c r="K28" s="194">
        <f t="shared" si="3"/>
        <v>37</v>
      </c>
      <c r="L28" s="195">
        <f t="shared" si="4"/>
        <v>1.0087202451095922</v>
      </c>
    </row>
    <row r="29" spans="1:12" s="138" customFormat="1" ht="14.25">
      <c r="A29" s="441" t="s">
        <v>86</v>
      </c>
      <c r="B29" s="441"/>
      <c r="C29" s="441"/>
      <c r="D29" s="143">
        <v>2872</v>
      </c>
      <c r="E29" s="140">
        <v>2869</v>
      </c>
      <c r="F29" s="160">
        <f t="shared" si="0"/>
        <v>-3</v>
      </c>
      <c r="G29" s="161">
        <f t="shared" si="1"/>
        <v>0.9989554317548747</v>
      </c>
      <c r="H29" s="141">
        <v>2757</v>
      </c>
      <c r="I29" s="142">
        <v>293</v>
      </c>
      <c r="J29" s="174">
        <f t="shared" si="2"/>
        <v>3050</v>
      </c>
      <c r="K29" s="164">
        <f t="shared" si="3"/>
        <v>181</v>
      </c>
      <c r="L29" s="165">
        <f t="shared" si="4"/>
        <v>1.0630881840362496</v>
      </c>
    </row>
    <row r="30" spans="1:12" s="138" customFormat="1" ht="14.25">
      <c r="A30" s="441" t="s">
        <v>87</v>
      </c>
      <c r="B30" s="441"/>
      <c r="C30" s="441"/>
      <c r="D30" s="143">
        <v>14</v>
      </c>
      <c r="E30" s="140">
        <v>20</v>
      </c>
      <c r="F30" s="160">
        <f t="shared" si="0"/>
        <v>6</v>
      </c>
      <c r="G30" s="161">
        <f t="shared" si="1"/>
        <v>1.4285714285714286</v>
      </c>
      <c r="H30" s="141">
        <v>30</v>
      </c>
      <c r="I30" s="142"/>
      <c r="J30" s="174">
        <f t="shared" si="2"/>
        <v>30</v>
      </c>
      <c r="K30" s="164">
        <f t="shared" si="3"/>
        <v>10</v>
      </c>
      <c r="L30" s="165">
        <f t="shared" si="4"/>
        <v>1.5</v>
      </c>
    </row>
    <row r="31" spans="1:12" s="138" customFormat="1" ht="14.25">
      <c r="A31" s="441" t="s">
        <v>88</v>
      </c>
      <c r="B31" s="441"/>
      <c r="C31" s="441"/>
      <c r="D31" s="143">
        <v>487</v>
      </c>
      <c r="E31" s="140">
        <v>288</v>
      </c>
      <c r="F31" s="160">
        <f t="shared" si="0"/>
        <v>-199</v>
      </c>
      <c r="G31" s="161">
        <f t="shared" si="1"/>
        <v>0.5913757700205339</v>
      </c>
      <c r="H31" s="141">
        <v>150</v>
      </c>
      <c r="I31" s="142"/>
      <c r="J31" s="174">
        <f t="shared" si="2"/>
        <v>150</v>
      </c>
      <c r="K31" s="164">
        <f t="shared" si="3"/>
        <v>-138</v>
      </c>
      <c r="L31" s="165">
        <f t="shared" si="4"/>
        <v>0.5208333333333334</v>
      </c>
    </row>
    <row r="32" spans="1:12" s="138" customFormat="1" ht="14.25">
      <c r="A32" s="441" t="s">
        <v>89</v>
      </c>
      <c r="B32" s="441"/>
      <c r="C32" s="441"/>
      <c r="D32" s="143">
        <v>937</v>
      </c>
      <c r="E32" s="140">
        <v>1014</v>
      </c>
      <c r="F32" s="160">
        <f t="shared" si="0"/>
        <v>77</v>
      </c>
      <c r="G32" s="161">
        <f t="shared" si="1"/>
        <v>1.0821771611526148</v>
      </c>
      <c r="H32" s="141">
        <v>994</v>
      </c>
      <c r="I32" s="142">
        <v>6</v>
      </c>
      <c r="J32" s="174">
        <f t="shared" si="2"/>
        <v>1000</v>
      </c>
      <c r="K32" s="164">
        <f t="shared" si="3"/>
        <v>-14</v>
      </c>
      <c r="L32" s="165">
        <f t="shared" si="4"/>
        <v>0.9861932938856016</v>
      </c>
    </row>
    <row r="33" spans="1:12" s="138" customFormat="1" ht="14.25">
      <c r="A33" s="441" t="s">
        <v>90</v>
      </c>
      <c r="B33" s="441"/>
      <c r="C33" s="441"/>
      <c r="D33" s="143">
        <v>85</v>
      </c>
      <c r="E33" s="140">
        <v>52</v>
      </c>
      <c r="F33" s="160">
        <f t="shared" si="0"/>
        <v>-33</v>
      </c>
      <c r="G33" s="161">
        <f t="shared" si="1"/>
        <v>0.611764705882353</v>
      </c>
      <c r="H33" s="141">
        <v>50</v>
      </c>
      <c r="I33" s="142"/>
      <c r="J33" s="174">
        <f t="shared" si="2"/>
        <v>50</v>
      </c>
      <c r="K33" s="164">
        <f t="shared" si="3"/>
        <v>-2</v>
      </c>
      <c r="L33" s="165">
        <f t="shared" si="4"/>
        <v>0.9615384615384616</v>
      </c>
    </row>
    <row r="34" spans="1:12" s="138" customFormat="1" ht="14.25">
      <c r="A34" s="441" t="s">
        <v>91</v>
      </c>
      <c r="B34" s="441"/>
      <c r="C34" s="441"/>
      <c r="D34" s="196">
        <f>SUM(D35:D39)</f>
        <v>2835</v>
      </c>
      <c r="E34" s="177">
        <f>SUM(E35:E39)</f>
        <v>3033</v>
      </c>
      <c r="F34" s="197">
        <f t="shared" si="0"/>
        <v>198</v>
      </c>
      <c r="G34" s="198">
        <f t="shared" si="1"/>
        <v>1.0698412698412698</v>
      </c>
      <c r="H34" s="172">
        <f>SUM(H35:H39)</f>
        <v>3086</v>
      </c>
      <c r="I34" s="173">
        <f>SUM(I35:I39)</f>
        <v>14</v>
      </c>
      <c r="J34" s="174">
        <f t="shared" si="2"/>
        <v>3100</v>
      </c>
      <c r="K34" s="199">
        <f t="shared" si="3"/>
        <v>67</v>
      </c>
      <c r="L34" s="200">
        <f t="shared" si="4"/>
        <v>1.022090339597758</v>
      </c>
    </row>
    <row r="35" spans="1:12" s="138" customFormat="1" ht="14.25">
      <c r="A35" s="441" t="s">
        <v>92</v>
      </c>
      <c r="B35" s="441"/>
      <c r="C35" s="441"/>
      <c r="D35" s="143">
        <v>1333</v>
      </c>
      <c r="E35" s="140">
        <v>1425</v>
      </c>
      <c r="F35" s="160">
        <f t="shared" si="0"/>
        <v>92</v>
      </c>
      <c r="G35" s="161">
        <f t="shared" si="1"/>
        <v>1.0690172543135783</v>
      </c>
      <c r="H35" s="141">
        <v>1397</v>
      </c>
      <c r="I35" s="142">
        <v>3</v>
      </c>
      <c r="J35" s="174">
        <f t="shared" si="2"/>
        <v>1400</v>
      </c>
      <c r="K35" s="164">
        <f t="shared" si="3"/>
        <v>-25</v>
      </c>
      <c r="L35" s="165">
        <f t="shared" si="4"/>
        <v>0.9824561403508771</v>
      </c>
    </row>
    <row r="36" spans="1:12" s="138" customFormat="1" ht="14.25">
      <c r="A36" s="441" t="s">
        <v>93</v>
      </c>
      <c r="B36" s="441"/>
      <c r="C36" s="441"/>
      <c r="D36" s="143">
        <v>1122</v>
      </c>
      <c r="E36" s="140">
        <v>1244</v>
      </c>
      <c r="F36" s="160">
        <f t="shared" si="0"/>
        <v>122</v>
      </c>
      <c r="G36" s="161">
        <f t="shared" si="1"/>
        <v>1.1087344028520498</v>
      </c>
      <c r="H36" s="141">
        <v>1191</v>
      </c>
      <c r="I36" s="142">
        <v>9</v>
      </c>
      <c r="J36" s="174">
        <f t="shared" si="2"/>
        <v>1200</v>
      </c>
      <c r="K36" s="164">
        <f t="shared" si="3"/>
        <v>-44</v>
      </c>
      <c r="L36" s="165">
        <f t="shared" si="4"/>
        <v>0.9646302250803859</v>
      </c>
    </row>
    <row r="37" spans="1:12" s="138" customFormat="1" ht="14.25">
      <c r="A37" s="441" t="s">
        <v>94</v>
      </c>
      <c r="B37" s="441"/>
      <c r="C37" s="441"/>
      <c r="D37" s="143"/>
      <c r="E37" s="140"/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s="138" customFormat="1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s="138" customFormat="1" ht="14.25">
      <c r="A39" s="441" t="s">
        <v>96</v>
      </c>
      <c r="B39" s="441"/>
      <c r="C39" s="441"/>
      <c r="D39" s="143">
        <v>380</v>
      </c>
      <c r="E39" s="140">
        <v>364</v>
      </c>
      <c r="F39" s="160">
        <f t="shared" si="0"/>
        <v>-16</v>
      </c>
      <c r="G39" s="161">
        <f t="shared" si="1"/>
        <v>0.9578947368421052</v>
      </c>
      <c r="H39" s="141">
        <v>498</v>
      </c>
      <c r="I39" s="142">
        <v>2</v>
      </c>
      <c r="J39" s="174">
        <f t="shared" si="2"/>
        <v>500</v>
      </c>
      <c r="K39" s="164">
        <f t="shared" si="3"/>
        <v>136</v>
      </c>
      <c r="L39" s="165">
        <f t="shared" si="4"/>
        <v>1.3736263736263736</v>
      </c>
    </row>
    <row r="40" spans="1:12" s="138" customFormat="1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s="138" customFormat="1" ht="14.25">
      <c r="A41" s="441" t="s">
        <v>98</v>
      </c>
      <c r="B41" s="441"/>
      <c r="C41" s="441"/>
      <c r="D41" s="143">
        <v>1100</v>
      </c>
      <c r="E41" s="140">
        <v>481</v>
      </c>
      <c r="F41" s="160">
        <f t="shared" si="0"/>
        <v>-619</v>
      </c>
      <c r="G41" s="161">
        <f t="shared" si="1"/>
        <v>0.43727272727272726</v>
      </c>
      <c r="H41" s="141">
        <v>250</v>
      </c>
      <c r="I41" s="142"/>
      <c r="J41" s="174">
        <f t="shared" si="2"/>
        <v>250</v>
      </c>
      <c r="K41" s="164">
        <f t="shared" si="3"/>
        <v>-231</v>
      </c>
      <c r="L41" s="165">
        <f t="shared" si="4"/>
        <v>0.5197505197505198</v>
      </c>
    </row>
    <row r="42" spans="1:12" s="138" customFormat="1" ht="14.25">
      <c r="A42" s="441" t="s">
        <v>99</v>
      </c>
      <c r="B42" s="441"/>
      <c r="C42" s="441"/>
      <c r="D42" s="143">
        <v>39</v>
      </c>
      <c r="E42" s="140">
        <v>45</v>
      </c>
      <c r="F42" s="160">
        <f t="shared" si="0"/>
        <v>6</v>
      </c>
      <c r="G42" s="161">
        <f t="shared" si="1"/>
        <v>1.1538461538461537</v>
      </c>
      <c r="H42" s="141">
        <v>50</v>
      </c>
      <c r="I42" s="142"/>
      <c r="J42" s="174">
        <f t="shared" si="2"/>
        <v>50</v>
      </c>
      <c r="K42" s="164">
        <f t="shared" si="3"/>
        <v>5</v>
      </c>
      <c r="L42" s="165">
        <f t="shared" si="4"/>
        <v>1.1111111111111112</v>
      </c>
    </row>
    <row r="43" spans="1:12" s="138" customFormat="1" ht="14.25">
      <c r="A43" s="441" t="s">
        <v>100</v>
      </c>
      <c r="B43" s="441"/>
      <c r="C43" s="441"/>
      <c r="D43" s="143"/>
      <c r="E43" s="140"/>
      <c r="F43" s="160">
        <f t="shared" si="0"/>
        <v>0</v>
      </c>
      <c r="G43" s="161"/>
      <c r="H43" s="141"/>
      <c r="I43" s="142"/>
      <c r="J43" s="174">
        <f t="shared" si="2"/>
        <v>0</v>
      </c>
      <c r="K43" s="164">
        <f t="shared" si="3"/>
        <v>0</v>
      </c>
      <c r="L43" s="165"/>
    </row>
    <row r="44" spans="1:12" s="138" customFormat="1" ht="14.25">
      <c r="A44" s="441" t="s">
        <v>101</v>
      </c>
      <c r="B44" s="441"/>
      <c r="C44" s="441"/>
      <c r="D44" s="143">
        <f>SUM(D45:D47)</f>
        <v>630</v>
      </c>
      <c r="E44" s="140">
        <f>SUM(E45:E47)</f>
        <v>570</v>
      </c>
      <c r="F44" s="160">
        <f t="shared" si="0"/>
        <v>-60</v>
      </c>
      <c r="G44" s="161">
        <f t="shared" si="1"/>
        <v>0.9047619047619048</v>
      </c>
      <c r="H44" s="141">
        <v>600</v>
      </c>
      <c r="I44" s="142"/>
      <c r="J44" s="174">
        <f t="shared" si="2"/>
        <v>600</v>
      </c>
      <c r="K44" s="164">
        <f t="shared" si="3"/>
        <v>30</v>
      </c>
      <c r="L44" s="165">
        <f t="shared" si="4"/>
        <v>1.0526315789473684</v>
      </c>
    </row>
    <row r="45" spans="1:15" s="138" customFormat="1" ht="14.25">
      <c r="A45" s="441" t="s">
        <v>102</v>
      </c>
      <c r="B45" s="441"/>
      <c r="C45" s="441"/>
      <c r="D45" s="143">
        <v>70</v>
      </c>
      <c r="E45" s="140">
        <v>71</v>
      </c>
      <c r="F45" s="160">
        <f t="shared" si="0"/>
        <v>1</v>
      </c>
      <c r="G45" s="161">
        <f t="shared" si="1"/>
        <v>1.0142857142857142</v>
      </c>
      <c r="H45" s="141">
        <v>70</v>
      </c>
      <c r="I45" s="142"/>
      <c r="J45" s="174">
        <f t="shared" si="2"/>
        <v>70</v>
      </c>
      <c r="K45" s="164">
        <f t="shared" si="3"/>
        <v>-1</v>
      </c>
      <c r="L45" s="165">
        <f t="shared" si="4"/>
        <v>0.9859154929577465</v>
      </c>
      <c r="O45" s="147"/>
    </row>
    <row r="46" spans="1:12" s="138" customFormat="1" ht="14.25">
      <c r="A46" s="441" t="s">
        <v>103</v>
      </c>
      <c r="B46" s="441"/>
      <c r="C46" s="441"/>
      <c r="D46" s="143">
        <v>14</v>
      </c>
      <c r="E46" s="140">
        <v>5</v>
      </c>
      <c r="F46" s="160">
        <f t="shared" si="0"/>
        <v>-9</v>
      </c>
      <c r="G46" s="161">
        <f t="shared" si="1"/>
        <v>0.35714285714285715</v>
      </c>
      <c r="H46" s="141">
        <v>5</v>
      </c>
      <c r="I46" s="142"/>
      <c r="J46" s="174">
        <f t="shared" si="2"/>
        <v>5</v>
      </c>
      <c r="K46" s="164">
        <f t="shared" si="3"/>
        <v>0</v>
      </c>
      <c r="L46" s="165">
        <f t="shared" si="4"/>
        <v>1</v>
      </c>
    </row>
    <row r="47" spans="1:12" s="138" customFormat="1" ht="14.25">
      <c r="A47" s="441" t="s">
        <v>104</v>
      </c>
      <c r="B47" s="441"/>
      <c r="C47" s="441"/>
      <c r="D47" s="143">
        <v>546</v>
      </c>
      <c r="E47" s="140">
        <v>494</v>
      </c>
      <c r="F47" s="160">
        <f t="shared" si="0"/>
        <v>-52</v>
      </c>
      <c r="G47" s="161">
        <f t="shared" si="1"/>
        <v>0.9047619047619048</v>
      </c>
      <c r="H47" s="141">
        <v>525</v>
      </c>
      <c r="I47" s="142"/>
      <c r="J47" s="174">
        <f t="shared" si="2"/>
        <v>525</v>
      </c>
      <c r="K47" s="164">
        <f t="shared" si="3"/>
        <v>31</v>
      </c>
      <c r="L47" s="165">
        <f t="shared" si="4"/>
        <v>1.062753036437247</v>
      </c>
    </row>
    <row r="48" spans="1:12" s="138" customFormat="1" ht="14.25">
      <c r="A48" s="441" t="s">
        <v>105</v>
      </c>
      <c r="B48" s="441"/>
      <c r="C48" s="441"/>
      <c r="D48" s="196">
        <f>SUM(D50:D52)</f>
        <v>14494</v>
      </c>
      <c r="E48" s="177">
        <f>SUM(E50:E52)</f>
        <v>15168</v>
      </c>
      <c r="F48" s="197">
        <f t="shared" si="0"/>
        <v>674</v>
      </c>
      <c r="G48" s="198">
        <f t="shared" si="1"/>
        <v>1.0465020008279289</v>
      </c>
      <c r="H48" s="172">
        <f>SUM(H50:H52)</f>
        <v>15432</v>
      </c>
      <c r="I48" s="173">
        <f>SUM(I50:I52)</f>
        <v>109</v>
      </c>
      <c r="J48" s="174">
        <f t="shared" si="2"/>
        <v>15541</v>
      </c>
      <c r="K48" s="199">
        <f t="shared" si="3"/>
        <v>373</v>
      </c>
      <c r="L48" s="200">
        <f t="shared" si="4"/>
        <v>1.0245912447257384</v>
      </c>
    </row>
    <row r="49" spans="1:12" s="138" customFormat="1" ht="14.25">
      <c r="A49" s="441" t="s">
        <v>106</v>
      </c>
      <c r="B49" s="441"/>
      <c r="C49" s="441"/>
      <c r="D49" s="143">
        <v>10811</v>
      </c>
      <c r="E49" s="140">
        <f>SUM(E50:E51)</f>
        <v>11152</v>
      </c>
      <c r="F49" s="160">
        <f t="shared" si="0"/>
        <v>341</v>
      </c>
      <c r="G49" s="161">
        <f t="shared" si="1"/>
        <v>1.0315419480159098</v>
      </c>
      <c r="H49" s="141">
        <f>11145+330</f>
        <v>11475</v>
      </c>
      <c r="I49" s="142">
        <v>81</v>
      </c>
      <c r="J49" s="174">
        <f t="shared" si="2"/>
        <v>11556</v>
      </c>
      <c r="K49" s="164">
        <f t="shared" si="3"/>
        <v>404</v>
      </c>
      <c r="L49" s="165">
        <f t="shared" si="4"/>
        <v>1.0362266857962696</v>
      </c>
    </row>
    <row r="50" spans="1:12" s="138" customFormat="1" ht="14.25">
      <c r="A50" s="441" t="s">
        <v>107</v>
      </c>
      <c r="B50" s="441"/>
      <c r="C50" s="441"/>
      <c r="D50" s="143">
        <v>10768</v>
      </c>
      <c r="E50" s="140">
        <v>11095</v>
      </c>
      <c r="F50" s="160">
        <f t="shared" si="0"/>
        <v>327</v>
      </c>
      <c r="G50" s="161">
        <f t="shared" si="1"/>
        <v>1.0303677563150073</v>
      </c>
      <c r="H50" s="141">
        <f>11014+330</f>
        <v>11344</v>
      </c>
      <c r="I50" s="142">
        <v>81</v>
      </c>
      <c r="J50" s="174">
        <f t="shared" si="2"/>
        <v>11425</v>
      </c>
      <c r="K50" s="164">
        <f t="shared" si="3"/>
        <v>330</v>
      </c>
      <c r="L50" s="165">
        <f t="shared" si="4"/>
        <v>1.0297431275349256</v>
      </c>
    </row>
    <row r="51" spans="1:12" s="138" customFormat="1" ht="14.25">
      <c r="A51" s="441" t="s">
        <v>108</v>
      </c>
      <c r="B51" s="441"/>
      <c r="C51" s="441"/>
      <c r="D51" s="143">
        <v>43</v>
      </c>
      <c r="E51" s="140">
        <v>57</v>
      </c>
      <c r="F51" s="160">
        <f t="shared" si="0"/>
        <v>14</v>
      </c>
      <c r="G51" s="161">
        <f t="shared" si="1"/>
        <v>1.3255813953488371</v>
      </c>
      <c r="H51" s="141">
        <v>50</v>
      </c>
      <c r="I51" s="142"/>
      <c r="J51" s="174">
        <f t="shared" si="2"/>
        <v>50</v>
      </c>
      <c r="K51" s="164">
        <f t="shared" si="3"/>
        <v>-7</v>
      </c>
      <c r="L51" s="165">
        <f t="shared" si="4"/>
        <v>0.8771929824561403</v>
      </c>
    </row>
    <row r="52" spans="1:12" s="138" customFormat="1" ht="14.25">
      <c r="A52" s="441" t="s">
        <v>109</v>
      </c>
      <c r="B52" s="441"/>
      <c r="C52" s="441"/>
      <c r="D52" s="143">
        <v>3683</v>
      </c>
      <c r="E52" s="140">
        <v>4016</v>
      </c>
      <c r="F52" s="160">
        <f t="shared" si="0"/>
        <v>333</v>
      </c>
      <c r="G52" s="161">
        <f t="shared" si="1"/>
        <v>1.0904154222101548</v>
      </c>
      <c r="H52" s="141">
        <f>3919+119</f>
        <v>4038</v>
      </c>
      <c r="I52" s="142">
        <v>28</v>
      </c>
      <c r="J52" s="174">
        <f t="shared" si="2"/>
        <v>4066</v>
      </c>
      <c r="K52" s="164">
        <f t="shared" si="3"/>
        <v>50</v>
      </c>
      <c r="L52" s="165">
        <f t="shared" si="4"/>
        <v>1.0124501992031874</v>
      </c>
    </row>
    <row r="53" spans="1:12" s="138" customFormat="1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/>
      <c r="I53" s="142"/>
      <c r="J53" s="174">
        <f t="shared" si="2"/>
        <v>0</v>
      </c>
      <c r="K53" s="164">
        <f t="shared" si="3"/>
        <v>0</v>
      </c>
      <c r="L53" s="165"/>
    </row>
    <row r="54" spans="1:12" s="138" customFormat="1" ht="14.25">
      <c r="A54" s="441" t="s">
        <v>111</v>
      </c>
      <c r="B54" s="441"/>
      <c r="C54" s="441"/>
      <c r="D54" s="143">
        <v>4</v>
      </c>
      <c r="E54" s="140">
        <v>5</v>
      </c>
      <c r="F54" s="160">
        <f t="shared" si="0"/>
        <v>1</v>
      </c>
      <c r="G54" s="161">
        <f t="shared" si="1"/>
        <v>1.25</v>
      </c>
      <c r="H54" s="141">
        <v>5</v>
      </c>
      <c r="I54" s="142"/>
      <c r="J54" s="174">
        <f t="shared" si="2"/>
        <v>5</v>
      </c>
      <c r="K54" s="164">
        <f t="shared" si="3"/>
        <v>0</v>
      </c>
      <c r="L54" s="165">
        <f t="shared" si="4"/>
        <v>1</v>
      </c>
    </row>
    <row r="55" spans="1:12" s="138" customFormat="1" ht="14.25">
      <c r="A55" s="441" t="s">
        <v>112</v>
      </c>
      <c r="B55" s="441"/>
      <c r="C55" s="441"/>
      <c r="D55" s="143">
        <v>146</v>
      </c>
      <c r="E55" s="140">
        <v>110</v>
      </c>
      <c r="F55" s="160">
        <f t="shared" si="0"/>
        <v>-36</v>
      </c>
      <c r="G55" s="161">
        <f t="shared" si="1"/>
        <v>0.7534246575342466</v>
      </c>
      <c r="H55" s="141">
        <v>115</v>
      </c>
      <c r="I55" s="142"/>
      <c r="J55" s="174">
        <f t="shared" si="2"/>
        <v>115</v>
      </c>
      <c r="K55" s="164">
        <f t="shared" si="3"/>
        <v>5</v>
      </c>
      <c r="L55" s="165">
        <f t="shared" si="4"/>
        <v>1.0454545454545454</v>
      </c>
    </row>
    <row r="56" spans="1:12" s="138" customFormat="1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/>
      <c r="I56" s="142"/>
      <c r="J56" s="174">
        <f t="shared" si="2"/>
        <v>0</v>
      </c>
      <c r="K56" s="164">
        <f t="shared" si="3"/>
        <v>0</v>
      </c>
      <c r="L56" s="165"/>
    </row>
    <row r="57" spans="1:12" s="138" customFormat="1" ht="14.25">
      <c r="A57" s="441" t="s">
        <v>114</v>
      </c>
      <c r="B57" s="441"/>
      <c r="C57" s="441"/>
      <c r="D57" s="143">
        <v>1985</v>
      </c>
      <c r="E57" s="140">
        <v>1988</v>
      </c>
      <c r="F57" s="160">
        <f t="shared" si="0"/>
        <v>3</v>
      </c>
      <c r="G57" s="161">
        <f t="shared" si="1"/>
        <v>1.0015113350125944</v>
      </c>
      <c r="H57" s="141">
        <v>1982</v>
      </c>
      <c r="I57" s="142">
        <v>8</v>
      </c>
      <c r="J57" s="174">
        <f t="shared" si="2"/>
        <v>1990</v>
      </c>
      <c r="K57" s="164">
        <f t="shared" si="3"/>
        <v>2</v>
      </c>
      <c r="L57" s="165">
        <f t="shared" si="4"/>
        <v>1.0010060362173039</v>
      </c>
    </row>
    <row r="58" spans="1:12" s="138" customFormat="1" ht="14.25">
      <c r="A58" s="441" t="s">
        <v>115</v>
      </c>
      <c r="B58" s="441"/>
      <c r="C58" s="441"/>
      <c r="D58" s="143"/>
      <c r="E58" s="140"/>
      <c r="F58" s="160">
        <f t="shared" si="0"/>
        <v>0</v>
      </c>
      <c r="G58" s="161"/>
      <c r="H58" s="141"/>
      <c r="I58" s="142"/>
      <c r="J58" s="174">
        <f t="shared" si="2"/>
        <v>0</v>
      </c>
      <c r="K58" s="164">
        <f t="shared" si="3"/>
        <v>0</v>
      </c>
      <c r="L58" s="165"/>
    </row>
    <row r="59" spans="1:12" s="138" customFormat="1" ht="15" thickBot="1">
      <c r="A59" s="493" t="s">
        <v>116</v>
      </c>
      <c r="B59" s="493"/>
      <c r="C59" s="493"/>
      <c r="D59" s="159"/>
      <c r="E59" s="148"/>
      <c r="F59" s="162">
        <f t="shared" si="0"/>
        <v>0</v>
      </c>
      <c r="G59" s="163"/>
      <c r="H59" s="145"/>
      <c r="I59" s="146"/>
      <c r="J59" s="178">
        <f t="shared" si="2"/>
        <v>0</v>
      </c>
      <c r="K59" s="166">
        <f t="shared" si="3"/>
        <v>0</v>
      </c>
      <c r="L59" s="167"/>
    </row>
    <row r="60" spans="1:13" s="138" customFormat="1" ht="15.75" thickBot="1">
      <c r="A60" s="462" t="s">
        <v>117</v>
      </c>
      <c r="B60" s="462"/>
      <c r="C60" s="462"/>
      <c r="D60" s="179">
        <f>D28+D34+D44+D41+D42+D48+D54+D55+D57</f>
        <v>25628</v>
      </c>
      <c r="E60" s="180">
        <f>E28+E34+E44+E41+E42+E48+E54+E55+E57</f>
        <v>25643</v>
      </c>
      <c r="F60" s="181">
        <f t="shared" si="0"/>
        <v>15</v>
      </c>
      <c r="G60" s="182">
        <f t="shared" si="1"/>
        <v>1.000585297331044</v>
      </c>
      <c r="H60" s="183">
        <f>H28+H34+H44+H41+H42+H48+H54+H55+H57</f>
        <v>25501</v>
      </c>
      <c r="I60" s="184">
        <f>I28+I34+I44+I41+I42+I48+I54+I55+I57</f>
        <v>430</v>
      </c>
      <c r="J60" s="185">
        <f t="shared" si="2"/>
        <v>25931</v>
      </c>
      <c r="K60" s="183">
        <f t="shared" si="3"/>
        <v>288</v>
      </c>
      <c r="L60" s="186">
        <f t="shared" si="4"/>
        <v>1.0112311352025893</v>
      </c>
      <c r="M60" s="258"/>
    </row>
    <row r="61" spans="1:14" s="6" customFormat="1" ht="15">
      <c r="A61" s="447" t="s">
        <v>17</v>
      </c>
      <c r="B61" s="447"/>
      <c r="C61" s="447"/>
      <c r="D61" s="96">
        <f>D27-D60</f>
        <v>199</v>
      </c>
      <c r="E61" s="96">
        <f>E27-E60</f>
        <v>117</v>
      </c>
      <c r="F61" s="96"/>
      <c r="G61" s="96"/>
      <c r="H61" s="96">
        <f>H27-H60</f>
        <v>-569</v>
      </c>
      <c r="I61" s="96">
        <f>I27-I60</f>
        <v>120</v>
      </c>
      <c r="J61" s="96">
        <f>J27-J60</f>
        <v>-449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3" customFormat="1" ht="11.25">
      <c r="A63" s="119"/>
      <c r="B63" s="4"/>
      <c r="C63" s="4"/>
      <c r="D63" s="120"/>
      <c r="E63" s="121"/>
      <c r="F63" s="4"/>
      <c r="G63" s="4"/>
      <c r="H63" s="2"/>
      <c r="I63" s="122"/>
      <c r="J63" s="123"/>
      <c r="K63" s="119"/>
      <c r="L63" s="4"/>
      <c r="M63" s="4"/>
      <c r="N63" s="4"/>
      <c r="O63" s="2"/>
    </row>
    <row r="64" ht="13.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243</v>
      </c>
      <c r="B67" s="382"/>
      <c r="C67" s="13">
        <v>200</v>
      </c>
      <c r="D67" s="14"/>
      <c r="E67" s="382" t="s">
        <v>247</v>
      </c>
      <c r="F67" s="382"/>
      <c r="G67" s="382"/>
      <c r="H67" s="382"/>
      <c r="I67" s="15">
        <v>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244</v>
      </c>
      <c r="B68" s="382"/>
      <c r="C68" s="13">
        <v>250</v>
      </c>
      <c r="D68" s="14"/>
      <c r="E68" s="380" t="s">
        <v>245</v>
      </c>
      <c r="F68" s="380"/>
      <c r="G68" s="380"/>
      <c r="H68" s="380"/>
      <c r="I68" s="16">
        <v>100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245</v>
      </c>
      <c r="B69" s="382"/>
      <c r="C69" s="13">
        <v>100</v>
      </c>
      <c r="D69" s="14"/>
      <c r="E69" s="380" t="s">
        <v>248</v>
      </c>
      <c r="F69" s="380"/>
      <c r="G69" s="380"/>
      <c r="H69" s="380"/>
      <c r="I69" s="16">
        <v>100</v>
      </c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246</v>
      </c>
      <c r="B70" s="382"/>
      <c r="C70" s="13">
        <v>100</v>
      </c>
      <c r="D70" s="14"/>
      <c r="E70" s="380"/>
      <c r="F70" s="380"/>
      <c r="G70" s="380"/>
      <c r="H70" s="380"/>
      <c r="I70" s="16"/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 t="s">
        <v>177</v>
      </c>
      <c r="B71" s="384"/>
      <c r="C71" s="15">
        <v>1118</v>
      </c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1768</v>
      </c>
      <c r="D75" s="36"/>
      <c r="E75" s="404" t="s">
        <v>12</v>
      </c>
      <c r="F75" s="404"/>
      <c r="G75" s="404"/>
      <c r="H75" s="404"/>
      <c r="I75" s="37">
        <f>SUM(I67:I74)</f>
        <v>250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122722</v>
      </c>
      <c r="B81" s="46">
        <v>20787</v>
      </c>
      <c r="C81" s="47">
        <v>1990</v>
      </c>
      <c r="D81" s="48"/>
      <c r="E81" s="48">
        <v>871</v>
      </c>
      <c r="F81" s="48"/>
      <c r="G81" s="48"/>
      <c r="H81" s="49">
        <v>1118</v>
      </c>
      <c r="I81" s="50"/>
      <c r="J81" s="51">
        <v>99946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45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4543.59</v>
      </c>
      <c r="C86" s="61" t="s">
        <v>38</v>
      </c>
      <c r="D86" s="62" t="s">
        <v>38</v>
      </c>
      <c r="E86" s="62" t="s">
        <v>38</v>
      </c>
      <c r="F86" s="63"/>
      <c r="G86" s="64">
        <v>3294.59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48.7</v>
      </c>
      <c r="C87" s="71">
        <v>49</v>
      </c>
      <c r="D87" s="72">
        <v>0</v>
      </c>
      <c r="E87" s="72">
        <v>0</v>
      </c>
      <c r="F87" s="73">
        <v>49</v>
      </c>
      <c r="G87" s="74">
        <v>48.7</v>
      </c>
      <c r="H87" s="75">
        <f>+G87-F87</f>
        <v>-0.29999999999999716</v>
      </c>
      <c r="I87" s="71">
        <v>49</v>
      </c>
      <c r="J87" s="72">
        <v>0</v>
      </c>
      <c r="K87" s="72">
        <v>49</v>
      </c>
      <c r="L87" s="73">
        <f>I87+J87-K87</f>
        <v>0</v>
      </c>
      <c r="M87" s="76"/>
    </row>
    <row r="88" spans="1:13" s="10" customFormat="1" ht="15">
      <c r="A88" s="69" t="s">
        <v>40</v>
      </c>
      <c r="B88" s="70">
        <v>286.95</v>
      </c>
      <c r="C88" s="71">
        <v>283</v>
      </c>
      <c r="D88" s="72">
        <v>40</v>
      </c>
      <c r="E88" s="72">
        <v>21</v>
      </c>
      <c r="F88" s="73">
        <f>C88+D88-E88</f>
        <v>302</v>
      </c>
      <c r="G88" s="74">
        <f>37.29+264.9</f>
        <v>302.19</v>
      </c>
      <c r="H88" s="75">
        <f>+G88-F88</f>
        <v>0.18999999999999773</v>
      </c>
      <c r="I88" s="71">
        <v>302</v>
      </c>
      <c r="J88" s="72">
        <f>117+3</f>
        <v>120</v>
      </c>
      <c r="K88" s="72">
        <v>50</v>
      </c>
      <c r="L88" s="73">
        <f>I88+J88-K88</f>
        <v>372</v>
      </c>
      <c r="M88" s="76"/>
    </row>
    <row r="89" spans="1:13" s="10" customFormat="1" ht="15">
      <c r="A89" s="69" t="s">
        <v>44</v>
      </c>
      <c r="B89" s="70">
        <v>2869.27</v>
      </c>
      <c r="C89" s="71">
        <v>2869</v>
      </c>
      <c r="D89" s="72">
        <v>1988</v>
      </c>
      <c r="E89" s="72">
        <v>3321</v>
      </c>
      <c r="F89" s="73">
        <f>C89+D89-E89</f>
        <v>1536</v>
      </c>
      <c r="G89" s="74">
        <v>1536.33</v>
      </c>
      <c r="H89" s="75">
        <f>+G89-F89</f>
        <v>0.32999999999992724</v>
      </c>
      <c r="I89" s="77">
        <v>1536</v>
      </c>
      <c r="J89" s="78">
        <v>1990</v>
      </c>
      <c r="K89" s="78">
        <v>1768</v>
      </c>
      <c r="L89" s="73">
        <f>I89+J89-K89</f>
        <v>1758</v>
      </c>
      <c r="M89" s="76"/>
    </row>
    <row r="90" spans="1:13" s="10" customFormat="1" ht="15">
      <c r="A90" s="69" t="s">
        <v>41</v>
      </c>
      <c r="B90" s="70">
        <v>1338.67</v>
      </c>
      <c r="C90" s="79" t="s">
        <v>38</v>
      </c>
      <c r="D90" s="62" t="s">
        <v>38</v>
      </c>
      <c r="E90" s="80" t="s">
        <v>38</v>
      </c>
      <c r="F90" s="73"/>
      <c r="G90" s="74">
        <v>1407.37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184.17</v>
      </c>
      <c r="C91" s="84">
        <v>184</v>
      </c>
      <c r="D91" s="112">
        <v>222</v>
      </c>
      <c r="E91" s="112">
        <v>231</v>
      </c>
      <c r="F91" s="106">
        <f>C91+D91-E91</f>
        <v>175</v>
      </c>
      <c r="G91" s="109">
        <v>174.54</v>
      </c>
      <c r="H91" s="110">
        <f>+G91-F91</f>
        <v>-0.46000000000000796</v>
      </c>
      <c r="I91" s="111">
        <v>175</v>
      </c>
      <c r="J91" s="112">
        <v>111</v>
      </c>
      <c r="K91" s="112">
        <v>150</v>
      </c>
      <c r="L91" s="106">
        <f>I91+J91-K91</f>
        <v>136</v>
      </c>
      <c r="M91" s="76"/>
    </row>
    <row r="94" spans="1:11" s="1" customFormat="1" ht="15.75" thickBot="1">
      <c r="A94" s="5" t="s">
        <v>146</v>
      </c>
      <c r="D94" s="124"/>
      <c r="E94" s="125"/>
      <c r="K94" s="4" t="s">
        <v>46</v>
      </c>
    </row>
    <row r="95" spans="1:11" s="1" customFormat="1" ht="11.25">
      <c r="A95" s="500" t="s">
        <v>26</v>
      </c>
      <c r="B95" s="500"/>
      <c r="C95" s="500"/>
      <c r="D95" s="126"/>
      <c r="E95" s="500" t="s">
        <v>27</v>
      </c>
      <c r="F95" s="500"/>
      <c r="G95" s="500"/>
      <c r="I95" s="500" t="s">
        <v>23</v>
      </c>
      <c r="J95" s="500"/>
      <c r="K95" s="500"/>
    </row>
    <row r="96" spans="1:11" s="1" customFormat="1" ht="12" thickBot="1">
      <c r="A96" s="127" t="s">
        <v>28</v>
      </c>
      <c r="B96" s="128" t="s">
        <v>29</v>
      </c>
      <c r="C96" s="129" t="s">
        <v>25</v>
      </c>
      <c r="D96" s="126"/>
      <c r="E96" s="130"/>
      <c r="F96" s="501" t="s">
        <v>30</v>
      </c>
      <c r="G96" s="501"/>
      <c r="I96" s="127"/>
      <c r="J96" s="128" t="s">
        <v>24</v>
      </c>
      <c r="K96" s="129" t="s">
        <v>25</v>
      </c>
    </row>
    <row r="97" spans="1:11" s="1" customFormat="1" ht="11.25">
      <c r="A97" s="131">
        <v>2010</v>
      </c>
      <c r="B97" s="132">
        <v>55</v>
      </c>
      <c r="C97" s="133">
        <v>56</v>
      </c>
      <c r="D97" s="120"/>
      <c r="E97" s="131">
        <v>2010</v>
      </c>
      <c r="F97" s="502">
        <v>92</v>
      </c>
      <c r="G97" s="502"/>
      <c r="I97" s="131">
        <v>2010</v>
      </c>
      <c r="J97" s="132">
        <v>11095</v>
      </c>
      <c r="K97" s="133">
        <v>11095</v>
      </c>
    </row>
    <row r="98" spans="1:11" s="1" customFormat="1" ht="12" thickBot="1">
      <c r="A98" s="134">
        <v>2011</v>
      </c>
      <c r="B98" s="135">
        <v>55</v>
      </c>
      <c r="C98" s="136" t="s">
        <v>62</v>
      </c>
      <c r="D98" s="120"/>
      <c r="E98" s="134">
        <v>2011</v>
      </c>
      <c r="F98" s="503">
        <v>92</v>
      </c>
      <c r="G98" s="503"/>
      <c r="I98" s="134">
        <v>2011</v>
      </c>
      <c r="J98" s="135">
        <v>11425</v>
      </c>
      <c r="K98" s="136" t="s">
        <v>62</v>
      </c>
    </row>
  </sheetData>
  <mergeCells count="104">
    <mergeCell ref="I65:I66"/>
    <mergeCell ref="A67:B67"/>
    <mergeCell ref="E67:H67"/>
    <mergeCell ref="A78:A80"/>
    <mergeCell ref="B78:B80"/>
    <mergeCell ref="C78:I78"/>
    <mergeCell ref="C79:C80"/>
    <mergeCell ref="D79:I79"/>
    <mergeCell ref="A70:B70"/>
    <mergeCell ref="A71:B71"/>
    <mergeCell ref="F98:G98"/>
    <mergeCell ref="A65:B66"/>
    <mergeCell ref="C65:C66"/>
    <mergeCell ref="E65:H66"/>
    <mergeCell ref="A84:A85"/>
    <mergeCell ref="B84:B85"/>
    <mergeCell ref="C84:F84"/>
    <mergeCell ref="G84:G85"/>
    <mergeCell ref="H84:H85"/>
    <mergeCell ref="A69:B69"/>
    <mergeCell ref="A7:C7"/>
    <mergeCell ref="A62:C62"/>
    <mergeCell ref="A95:C95"/>
    <mergeCell ref="E95:G95"/>
    <mergeCell ref="A8:C8"/>
    <mergeCell ref="A9:C9"/>
    <mergeCell ref="A10:C10"/>
    <mergeCell ref="A11:C11"/>
    <mergeCell ref="A60:C60"/>
    <mergeCell ref="A61:C61"/>
    <mergeCell ref="A2:N2"/>
    <mergeCell ref="A4:C6"/>
    <mergeCell ref="D4:D6"/>
    <mergeCell ref="A3:G3"/>
    <mergeCell ref="E4:E6"/>
    <mergeCell ref="F4:G4"/>
    <mergeCell ref="H4:J4"/>
    <mergeCell ref="K4:L4"/>
    <mergeCell ref="I95:K95"/>
    <mergeCell ref="F96:G96"/>
    <mergeCell ref="F97:G9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6:C56"/>
    <mergeCell ref="A55:C55"/>
    <mergeCell ref="A51:C51"/>
    <mergeCell ref="A52:C52"/>
    <mergeCell ref="A53:C53"/>
    <mergeCell ref="A54:C54"/>
    <mergeCell ref="A57:C57"/>
    <mergeCell ref="A58:C58"/>
    <mergeCell ref="A59:C59"/>
    <mergeCell ref="A68:B68"/>
    <mergeCell ref="A72:B72"/>
    <mergeCell ref="A73:B73"/>
    <mergeCell ref="A74:B74"/>
    <mergeCell ref="A75:B75"/>
    <mergeCell ref="E68:H68"/>
    <mergeCell ref="E69:H69"/>
    <mergeCell ref="E70:H70"/>
    <mergeCell ref="E71:H71"/>
    <mergeCell ref="J78:J80"/>
    <mergeCell ref="I84:L84"/>
    <mergeCell ref="E72:H72"/>
    <mergeCell ref="E73:H73"/>
    <mergeCell ref="E74:H74"/>
    <mergeCell ref="E75:H75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4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Normal="90" zoomScaleSheetLayoutView="70" workbookViewId="0" topLeftCell="A67">
      <selection activeCell="L77" sqref="L7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75390625" style="0" customWidth="1"/>
    <col min="4" max="4" width="11.75390625" style="117" customWidth="1"/>
    <col min="5" max="5" width="11.75390625" style="118" customWidth="1"/>
    <col min="6" max="6" width="12.75390625" style="0" customWidth="1"/>
    <col min="7" max="12" width="11.75390625" style="0" customWidth="1"/>
    <col min="13" max="13" width="9.75390625" style="0" customWidth="1"/>
    <col min="14" max="14" width="10.25390625" style="0" customWidth="1"/>
    <col min="15" max="15" width="10.75390625" style="0" customWidth="1"/>
  </cols>
  <sheetData>
    <row r="2" spans="1:14" s="6" customFormat="1" ht="15">
      <c r="A2" s="407" t="s">
        <v>169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s="138" customFormat="1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s="138" customFormat="1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s="138" customFormat="1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s="138" customFormat="1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s="138" customFormat="1" ht="14.25">
      <c r="A7" s="483" t="s">
        <v>65</v>
      </c>
      <c r="B7" s="483"/>
      <c r="C7" s="483"/>
      <c r="D7" s="168">
        <v>0</v>
      </c>
      <c r="E7" s="169">
        <v>1418</v>
      </c>
      <c r="F7" s="170">
        <f>E7-D7</f>
        <v>1418</v>
      </c>
      <c r="G7" s="171"/>
      <c r="H7" s="172">
        <v>0</v>
      </c>
      <c r="I7" s="173">
        <v>0</v>
      </c>
      <c r="J7" s="174">
        <f>H7+I7</f>
        <v>0</v>
      </c>
      <c r="K7" s="175">
        <f>J7-E7</f>
        <v>-1418</v>
      </c>
      <c r="L7" s="176">
        <f>J7/E7</f>
        <v>0</v>
      </c>
    </row>
    <row r="8" spans="1:12" s="138" customFormat="1" ht="14.25">
      <c r="A8" s="465" t="s">
        <v>66</v>
      </c>
      <c r="B8" s="465"/>
      <c r="C8" s="465"/>
      <c r="D8" s="143">
        <v>0</v>
      </c>
      <c r="E8" s="140">
        <v>0</v>
      </c>
      <c r="F8" s="160">
        <f aca="true" t="shared" si="0" ref="F8:F60">E8-D8</f>
        <v>0</v>
      </c>
      <c r="G8" s="161"/>
      <c r="H8" s="141">
        <v>0</v>
      </c>
      <c r="I8" s="142">
        <v>0</v>
      </c>
      <c r="J8" s="174">
        <f aca="true" t="shared" si="1" ref="J8:J61">H8+I8</f>
        <v>0</v>
      </c>
      <c r="K8" s="164">
        <f aca="true" t="shared" si="2" ref="K8:K60">J8-E8</f>
        <v>0</v>
      </c>
      <c r="L8" s="165"/>
    </row>
    <row r="9" spans="1:12" s="138" customFormat="1" ht="14.25">
      <c r="A9" s="465" t="s">
        <v>67</v>
      </c>
      <c r="B9" s="465"/>
      <c r="C9" s="465"/>
      <c r="D9" s="143">
        <v>0</v>
      </c>
      <c r="E9" s="140">
        <v>0</v>
      </c>
      <c r="F9" s="160">
        <f t="shared" si="0"/>
        <v>0</v>
      </c>
      <c r="G9" s="161"/>
      <c r="H9" s="141">
        <v>0</v>
      </c>
      <c r="I9" s="142">
        <v>0</v>
      </c>
      <c r="J9" s="174">
        <f t="shared" si="1"/>
        <v>0</v>
      </c>
      <c r="K9" s="164">
        <f t="shared" si="2"/>
        <v>0</v>
      </c>
      <c r="L9" s="165"/>
    </row>
    <row r="10" spans="1:12" s="138" customFormat="1" ht="14.25">
      <c r="A10" s="465" t="s">
        <v>68</v>
      </c>
      <c r="B10" s="465"/>
      <c r="C10" s="465"/>
      <c r="D10" s="143">
        <v>0</v>
      </c>
      <c r="E10" s="140">
        <v>0</v>
      </c>
      <c r="F10" s="160">
        <f t="shared" si="0"/>
        <v>0</v>
      </c>
      <c r="G10" s="161"/>
      <c r="H10" s="141">
        <v>0</v>
      </c>
      <c r="I10" s="142">
        <v>0</v>
      </c>
      <c r="J10" s="174">
        <f t="shared" si="1"/>
        <v>0</v>
      </c>
      <c r="K10" s="164">
        <f t="shared" si="2"/>
        <v>0</v>
      </c>
      <c r="L10" s="165"/>
    </row>
    <row r="11" spans="1:12" s="138" customFormat="1" ht="14.25">
      <c r="A11" s="465" t="s">
        <v>69</v>
      </c>
      <c r="B11" s="465"/>
      <c r="C11" s="465"/>
      <c r="D11" s="143">
        <v>0</v>
      </c>
      <c r="E11" s="140">
        <v>0</v>
      </c>
      <c r="F11" s="160">
        <f t="shared" si="0"/>
        <v>0</v>
      </c>
      <c r="G11" s="161"/>
      <c r="H11" s="141">
        <v>0</v>
      </c>
      <c r="I11" s="142">
        <v>0</v>
      </c>
      <c r="J11" s="174">
        <f t="shared" si="1"/>
        <v>0</v>
      </c>
      <c r="K11" s="164">
        <f t="shared" si="2"/>
        <v>0</v>
      </c>
      <c r="L11" s="165"/>
    </row>
    <row r="12" spans="1:12" s="138" customFormat="1" ht="14.25">
      <c r="A12" s="465" t="s">
        <v>70</v>
      </c>
      <c r="B12" s="465"/>
      <c r="C12" s="465"/>
      <c r="D12" s="143">
        <v>0</v>
      </c>
      <c r="E12" s="140">
        <v>0</v>
      </c>
      <c r="F12" s="160">
        <f t="shared" si="0"/>
        <v>0</v>
      </c>
      <c r="G12" s="161"/>
      <c r="H12" s="141">
        <v>0</v>
      </c>
      <c r="I12" s="142">
        <v>0</v>
      </c>
      <c r="J12" s="174">
        <f t="shared" si="1"/>
        <v>0</v>
      </c>
      <c r="K12" s="164">
        <f t="shared" si="2"/>
        <v>0</v>
      </c>
      <c r="L12" s="165"/>
    </row>
    <row r="13" spans="1:12" s="138" customFormat="1" ht="14.25">
      <c r="A13" s="465" t="s">
        <v>71</v>
      </c>
      <c r="B13" s="465"/>
      <c r="C13" s="465"/>
      <c r="D13" s="143">
        <v>0</v>
      </c>
      <c r="E13" s="140">
        <v>1418</v>
      </c>
      <c r="F13" s="160">
        <f t="shared" si="0"/>
        <v>1418</v>
      </c>
      <c r="G13" s="161"/>
      <c r="H13" s="141">
        <v>0</v>
      </c>
      <c r="I13" s="142">
        <v>0</v>
      </c>
      <c r="J13" s="174">
        <f t="shared" si="1"/>
        <v>0</v>
      </c>
      <c r="K13" s="164">
        <f t="shared" si="2"/>
        <v>-1418</v>
      </c>
      <c r="L13" s="165">
        <f aca="true" t="shared" si="3" ref="L13:L60">J13/E13</f>
        <v>0</v>
      </c>
    </row>
    <row r="14" spans="1:20" s="138" customFormat="1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>
        <v>0</v>
      </c>
      <c r="I14" s="173">
        <v>0</v>
      </c>
      <c r="J14" s="174">
        <f t="shared" si="1"/>
        <v>0</v>
      </c>
      <c r="K14" s="164">
        <f t="shared" si="2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s="138" customFormat="1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>
        <v>0</v>
      </c>
      <c r="I15" s="142">
        <v>0</v>
      </c>
      <c r="J15" s="174">
        <f t="shared" si="1"/>
        <v>0</v>
      </c>
      <c r="K15" s="164">
        <f t="shared" si="2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s="138" customFormat="1" ht="14.25">
      <c r="A16" s="456" t="s">
        <v>74</v>
      </c>
      <c r="B16" s="456"/>
      <c r="C16" s="456"/>
      <c r="D16" s="143">
        <v>8</v>
      </c>
      <c r="E16" s="140">
        <v>408</v>
      </c>
      <c r="F16" s="160">
        <f t="shared" si="0"/>
        <v>400</v>
      </c>
      <c r="G16" s="161">
        <f aca="true" t="shared" si="4" ref="G16:G60">E16/D16</f>
        <v>51</v>
      </c>
      <c r="H16" s="141">
        <v>0</v>
      </c>
      <c r="I16" s="142">
        <v>0</v>
      </c>
      <c r="J16" s="174">
        <f t="shared" si="1"/>
        <v>0</v>
      </c>
      <c r="K16" s="164">
        <f t="shared" si="2"/>
        <v>-408</v>
      </c>
      <c r="L16" s="165">
        <f t="shared" si="3"/>
        <v>0</v>
      </c>
      <c r="N16" s="139"/>
      <c r="O16" s="139"/>
      <c r="P16" s="139"/>
      <c r="Q16" s="139"/>
      <c r="R16" s="139"/>
      <c r="S16" s="139"/>
      <c r="T16" s="139"/>
    </row>
    <row r="17" spans="1:20" s="138" customFormat="1" ht="14.25">
      <c r="A17" s="456" t="s">
        <v>75</v>
      </c>
      <c r="B17" s="456"/>
      <c r="C17" s="456"/>
      <c r="D17" s="143">
        <v>0</v>
      </c>
      <c r="E17" s="140">
        <v>408</v>
      </c>
      <c r="F17" s="160">
        <f t="shared" si="0"/>
        <v>408</v>
      </c>
      <c r="G17" s="161"/>
      <c r="H17" s="141">
        <v>0</v>
      </c>
      <c r="I17" s="142">
        <v>0</v>
      </c>
      <c r="J17" s="174">
        <f t="shared" si="1"/>
        <v>0</v>
      </c>
      <c r="K17" s="164">
        <f t="shared" si="2"/>
        <v>-408</v>
      </c>
      <c r="L17" s="165">
        <f t="shared" si="3"/>
        <v>0</v>
      </c>
      <c r="N17" s="144"/>
      <c r="O17" s="144"/>
      <c r="P17" s="144"/>
      <c r="Q17" s="144"/>
      <c r="R17" s="144"/>
      <c r="S17" s="144"/>
      <c r="T17" s="144"/>
    </row>
    <row r="18" spans="1:12" s="138" customFormat="1" ht="14.25">
      <c r="A18" s="456" t="s">
        <v>76</v>
      </c>
      <c r="B18" s="456"/>
      <c r="C18" s="456"/>
      <c r="D18" s="143">
        <v>0</v>
      </c>
      <c r="E18" s="140">
        <v>0</v>
      </c>
      <c r="F18" s="160">
        <f t="shared" si="0"/>
        <v>0</v>
      </c>
      <c r="G18" s="161"/>
      <c r="H18" s="141">
        <v>0</v>
      </c>
      <c r="I18" s="142">
        <v>0</v>
      </c>
      <c r="J18" s="174">
        <f t="shared" si="1"/>
        <v>0</v>
      </c>
      <c r="K18" s="164">
        <f t="shared" si="2"/>
        <v>0</v>
      </c>
      <c r="L18" s="165"/>
    </row>
    <row r="19" spans="1:12" s="138" customFormat="1" ht="14.25">
      <c r="A19" s="456" t="s">
        <v>77</v>
      </c>
      <c r="B19" s="456"/>
      <c r="C19" s="456"/>
      <c r="D19" s="143">
        <v>0</v>
      </c>
      <c r="E19" s="140">
        <v>0</v>
      </c>
      <c r="F19" s="160">
        <f t="shared" si="0"/>
        <v>0</v>
      </c>
      <c r="G19" s="161"/>
      <c r="H19" s="141">
        <v>0</v>
      </c>
      <c r="I19" s="142">
        <v>0</v>
      </c>
      <c r="J19" s="174">
        <f t="shared" si="1"/>
        <v>0</v>
      </c>
      <c r="K19" s="164">
        <f t="shared" si="2"/>
        <v>0</v>
      </c>
      <c r="L19" s="165"/>
    </row>
    <row r="20" spans="1:12" s="138" customFormat="1" ht="14.25">
      <c r="A20" s="456" t="s">
        <v>78</v>
      </c>
      <c r="B20" s="456"/>
      <c r="C20" s="456"/>
      <c r="D20" s="143">
        <v>0</v>
      </c>
      <c r="E20" s="140">
        <v>0</v>
      </c>
      <c r="F20" s="160">
        <f t="shared" si="0"/>
        <v>0</v>
      </c>
      <c r="G20" s="161"/>
      <c r="H20" s="141">
        <v>0</v>
      </c>
      <c r="I20" s="142">
        <v>0</v>
      </c>
      <c r="J20" s="174">
        <f t="shared" si="1"/>
        <v>0</v>
      </c>
      <c r="K20" s="164">
        <f t="shared" si="2"/>
        <v>0</v>
      </c>
      <c r="L20" s="165"/>
    </row>
    <row r="21" spans="1:12" s="138" customFormat="1" ht="14.25">
      <c r="A21" s="456" t="s">
        <v>79</v>
      </c>
      <c r="B21" s="456"/>
      <c r="C21" s="456"/>
      <c r="D21" s="143">
        <v>0</v>
      </c>
      <c r="E21" s="140">
        <v>0</v>
      </c>
      <c r="F21" s="160">
        <f t="shared" si="0"/>
        <v>0</v>
      </c>
      <c r="G21" s="161"/>
      <c r="H21" s="141">
        <v>0</v>
      </c>
      <c r="I21" s="142">
        <v>0</v>
      </c>
      <c r="J21" s="174">
        <f t="shared" si="1"/>
        <v>0</v>
      </c>
      <c r="K21" s="164">
        <f t="shared" si="2"/>
        <v>0</v>
      </c>
      <c r="L21" s="165"/>
    </row>
    <row r="22" spans="1:12" s="138" customFormat="1" ht="14.25">
      <c r="A22" s="456" t="s">
        <v>80</v>
      </c>
      <c r="B22" s="456"/>
      <c r="C22" s="456"/>
      <c r="D22" s="143">
        <v>7960</v>
      </c>
      <c r="E22" s="177">
        <v>7164</v>
      </c>
      <c r="F22" s="160">
        <f t="shared" si="0"/>
        <v>-796</v>
      </c>
      <c r="G22" s="161">
        <f t="shared" si="4"/>
        <v>0.9</v>
      </c>
      <c r="H22" s="172">
        <v>9494</v>
      </c>
      <c r="I22" s="173">
        <v>0</v>
      </c>
      <c r="J22" s="174">
        <f t="shared" si="1"/>
        <v>9494</v>
      </c>
      <c r="K22" s="164">
        <f t="shared" si="2"/>
        <v>2330</v>
      </c>
      <c r="L22" s="165">
        <f t="shared" si="3"/>
        <v>1.3252372975991067</v>
      </c>
    </row>
    <row r="23" spans="1:12" s="138" customFormat="1" ht="14.25">
      <c r="A23" s="456" t="s">
        <v>81</v>
      </c>
      <c r="B23" s="456"/>
      <c r="C23" s="456"/>
      <c r="D23" s="143">
        <v>1348</v>
      </c>
      <c r="E23" s="140">
        <v>1355</v>
      </c>
      <c r="F23" s="160">
        <f t="shared" si="0"/>
        <v>7</v>
      </c>
      <c r="G23" s="161">
        <f t="shared" si="4"/>
        <v>1.0051928783382789</v>
      </c>
      <c r="H23" s="141">
        <v>1978</v>
      </c>
      <c r="I23" s="142">
        <v>0</v>
      </c>
      <c r="J23" s="174">
        <f t="shared" si="1"/>
        <v>1978</v>
      </c>
      <c r="K23" s="164">
        <f t="shared" si="2"/>
        <v>623</v>
      </c>
      <c r="L23" s="165">
        <f t="shared" si="3"/>
        <v>1.4597785977859778</v>
      </c>
    </row>
    <row r="24" spans="1:12" s="138" customFormat="1" ht="14.25">
      <c r="A24" s="456" t="s">
        <v>82</v>
      </c>
      <c r="B24" s="456"/>
      <c r="C24" s="456"/>
      <c r="D24" s="143">
        <v>6612</v>
      </c>
      <c r="E24" s="140">
        <v>5064</v>
      </c>
      <c r="F24" s="160">
        <f t="shared" si="0"/>
        <v>-1548</v>
      </c>
      <c r="G24" s="161">
        <f t="shared" si="4"/>
        <v>0.7658802177858439</v>
      </c>
      <c r="H24" s="141">
        <v>5064</v>
      </c>
      <c r="I24" s="142">
        <v>0</v>
      </c>
      <c r="J24" s="174">
        <f t="shared" si="1"/>
        <v>5064</v>
      </c>
      <c r="K24" s="164">
        <f t="shared" si="2"/>
        <v>0</v>
      </c>
      <c r="L24" s="165">
        <f t="shared" si="3"/>
        <v>1</v>
      </c>
    </row>
    <row r="25" spans="1:12" s="138" customFormat="1" ht="14.25">
      <c r="A25" s="456" t="s">
        <v>83</v>
      </c>
      <c r="B25" s="456"/>
      <c r="C25" s="456"/>
      <c r="D25" s="143">
        <v>0</v>
      </c>
      <c r="E25" s="140">
        <v>0</v>
      </c>
      <c r="F25" s="160">
        <f t="shared" si="0"/>
        <v>0</v>
      </c>
      <c r="G25" s="161"/>
      <c r="H25" s="141">
        <v>0</v>
      </c>
      <c r="I25" s="142">
        <v>0</v>
      </c>
      <c r="J25" s="174">
        <f t="shared" si="1"/>
        <v>0</v>
      </c>
      <c r="K25" s="164">
        <f t="shared" si="2"/>
        <v>0</v>
      </c>
      <c r="L25" s="165"/>
    </row>
    <row r="26" spans="1:12" s="138" customFormat="1" ht="15" thickBot="1">
      <c r="A26" s="494" t="s">
        <v>168</v>
      </c>
      <c r="B26" s="494"/>
      <c r="C26" s="494"/>
      <c r="D26" s="159">
        <v>0</v>
      </c>
      <c r="E26" s="148">
        <v>745</v>
      </c>
      <c r="F26" s="162">
        <f t="shared" si="0"/>
        <v>745</v>
      </c>
      <c r="G26" s="163"/>
      <c r="H26" s="145">
        <v>2452</v>
      </c>
      <c r="I26" s="146">
        <v>0</v>
      </c>
      <c r="J26" s="178">
        <f t="shared" si="1"/>
        <v>2452</v>
      </c>
      <c r="K26" s="166">
        <f t="shared" si="2"/>
        <v>1707</v>
      </c>
      <c r="L26" s="167">
        <f t="shared" si="3"/>
        <v>3.2912751677852348</v>
      </c>
    </row>
    <row r="27" spans="1:12" s="138" customFormat="1" ht="15.75" thickBot="1">
      <c r="A27" s="462" t="s">
        <v>84</v>
      </c>
      <c r="B27" s="462"/>
      <c r="C27" s="462"/>
      <c r="D27" s="179">
        <v>7968</v>
      </c>
      <c r="E27" s="180">
        <v>8990</v>
      </c>
      <c r="F27" s="181">
        <f t="shared" si="0"/>
        <v>1022</v>
      </c>
      <c r="G27" s="182">
        <f t="shared" si="4"/>
        <v>1.1282630522088353</v>
      </c>
      <c r="H27" s="183">
        <v>9494</v>
      </c>
      <c r="I27" s="184"/>
      <c r="J27" s="185">
        <f t="shared" si="1"/>
        <v>9494</v>
      </c>
      <c r="K27" s="183">
        <f t="shared" si="2"/>
        <v>504</v>
      </c>
      <c r="L27" s="186">
        <f t="shared" si="3"/>
        <v>1.0560622914349278</v>
      </c>
    </row>
    <row r="28" spans="1:12" s="138" customFormat="1" ht="14.25">
      <c r="A28" s="495" t="s">
        <v>85</v>
      </c>
      <c r="B28" s="495"/>
      <c r="C28" s="495"/>
      <c r="D28" s="187">
        <v>491</v>
      </c>
      <c r="E28" s="188">
        <v>396</v>
      </c>
      <c r="F28" s="189">
        <f t="shared" si="0"/>
        <v>-95</v>
      </c>
      <c r="G28" s="190">
        <f t="shared" si="4"/>
        <v>0.8065173116089613</v>
      </c>
      <c r="H28" s="191">
        <v>206</v>
      </c>
      <c r="I28" s="192"/>
      <c r="J28" s="193">
        <f t="shared" si="1"/>
        <v>206</v>
      </c>
      <c r="K28" s="194">
        <f t="shared" si="2"/>
        <v>-190</v>
      </c>
      <c r="L28" s="195">
        <f t="shared" si="3"/>
        <v>0.5202020202020202</v>
      </c>
    </row>
    <row r="29" spans="1:12" s="138" customFormat="1" ht="14.25">
      <c r="A29" s="441" t="s">
        <v>86</v>
      </c>
      <c r="B29" s="441"/>
      <c r="C29" s="441"/>
      <c r="D29" s="143">
        <v>0</v>
      </c>
      <c r="E29" s="140">
        <v>0</v>
      </c>
      <c r="F29" s="160">
        <f t="shared" si="0"/>
        <v>0</v>
      </c>
      <c r="G29" s="161"/>
      <c r="H29" s="141">
        <v>0</v>
      </c>
      <c r="I29" s="142"/>
      <c r="J29" s="174">
        <f t="shared" si="1"/>
        <v>0</v>
      </c>
      <c r="K29" s="164">
        <f t="shared" si="2"/>
        <v>0</v>
      </c>
      <c r="L29" s="165"/>
    </row>
    <row r="30" spans="1:12" s="138" customFormat="1" ht="14.25">
      <c r="A30" s="441" t="s">
        <v>87</v>
      </c>
      <c r="B30" s="441"/>
      <c r="C30" s="441"/>
      <c r="D30" s="143">
        <v>4</v>
      </c>
      <c r="E30" s="140">
        <v>15</v>
      </c>
      <c r="F30" s="160">
        <f t="shared" si="0"/>
        <v>11</v>
      </c>
      <c r="G30" s="161">
        <f t="shared" si="4"/>
        <v>3.75</v>
      </c>
      <c r="H30" s="141">
        <v>20</v>
      </c>
      <c r="I30" s="142"/>
      <c r="J30" s="174">
        <f t="shared" si="1"/>
        <v>20</v>
      </c>
      <c r="K30" s="164">
        <f t="shared" si="2"/>
        <v>5</v>
      </c>
      <c r="L30" s="165">
        <f t="shared" si="3"/>
        <v>1.3333333333333333</v>
      </c>
    </row>
    <row r="31" spans="1:12" s="138" customFormat="1" ht="14.25">
      <c r="A31" s="441" t="s">
        <v>88</v>
      </c>
      <c r="B31" s="441"/>
      <c r="C31" s="441"/>
      <c r="D31" s="143">
        <v>294</v>
      </c>
      <c r="E31" s="140">
        <v>179</v>
      </c>
      <c r="F31" s="160">
        <f t="shared" si="0"/>
        <v>-115</v>
      </c>
      <c r="G31" s="161">
        <f t="shared" si="4"/>
        <v>0.608843537414966</v>
      </c>
      <c r="H31" s="141">
        <v>76</v>
      </c>
      <c r="I31" s="142"/>
      <c r="J31" s="174">
        <f t="shared" si="1"/>
        <v>76</v>
      </c>
      <c r="K31" s="164">
        <f t="shared" si="2"/>
        <v>-103</v>
      </c>
      <c r="L31" s="165">
        <f t="shared" si="3"/>
        <v>0.4245810055865922</v>
      </c>
    </row>
    <row r="32" spans="1:12" s="138" customFormat="1" ht="14.25">
      <c r="A32" s="441" t="s">
        <v>89</v>
      </c>
      <c r="B32" s="441"/>
      <c r="C32" s="441"/>
      <c r="D32" s="143">
        <v>166</v>
      </c>
      <c r="E32" s="140">
        <v>174</v>
      </c>
      <c r="F32" s="160">
        <f t="shared" si="0"/>
        <v>8</v>
      </c>
      <c r="G32" s="161">
        <f t="shared" si="4"/>
        <v>1.0481927710843373</v>
      </c>
      <c r="H32" s="141">
        <v>76</v>
      </c>
      <c r="I32" s="142"/>
      <c r="J32" s="174">
        <f t="shared" si="1"/>
        <v>76</v>
      </c>
      <c r="K32" s="164">
        <f t="shared" si="2"/>
        <v>-98</v>
      </c>
      <c r="L32" s="165">
        <f t="shared" si="3"/>
        <v>0.4367816091954023</v>
      </c>
    </row>
    <row r="33" spans="1:12" s="138" customFormat="1" ht="14.25">
      <c r="A33" s="441" t="s">
        <v>90</v>
      </c>
      <c r="B33" s="441"/>
      <c r="C33" s="441"/>
      <c r="D33" s="143">
        <v>27</v>
      </c>
      <c r="E33" s="140">
        <v>28</v>
      </c>
      <c r="F33" s="160">
        <f t="shared" si="0"/>
        <v>1</v>
      </c>
      <c r="G33" s="161">
        <f t="shared" si="4"/>
        <v>1.037037037037037</v>
      </c>
      <c r="H33" s="141">
        <v>34</v>
      </c>
      <c r="I33" s="142"/>
      <c r="J33" s="174">
        <f t="shared" si="1"/>
        <v>34</v>
      </c>
      <c r="K33" s="164">
        <f t="shared" si="2"/>
        <v>6</v>
      </c>
      <c r="L33" s="165">
        <f t="shared" si="3"/>
        <v>1.2142857142857142</v>
      </c>
    </row>
    <row r="34" spans="1:12" s="138" customFormat="1" ht="14.25">
      <c r="A34" s="441" t="s">
        <v>91</v>
      </c>
      <c r="B34" s="441"/>
      <c r="C34" s="441"/>
      <c r="D34" s="196">
        <v>245</v>
      </c>
      <c r="E34" s="177">
        <v>284</v>
      </c>
      <c r="F34" s="197">
        <f t="shared" si="0"/>
        <v>39</v>
      </c>
      <c r="G34" s="198">
        <f t="shared" si="4"/>
        <v>1.1591836734693877</v>
      </c>
      <c r="H34" s="172">
        <v>329</v>
      </c>
      <c r="I34" s="173"/>
      <c r="J34" s="174">
        <f t="shared" si="1"/>
        <v>329</v>
      </c>
      <c r="K34" s="199">
        <f t="shared" si="2"/>
        <v>45</v>
      </c>
      <c r="L34" s="200">
        <f t="shared" si="3"/>
        <v>1.158450704225352</v>
      </c>
    </row>
    <row r="35" spans="1:12" s="138" customFormat="1" ht="14.25">
      <c r="A35" s="441" t="s">
        <v>92</v>
      </c>
      <c r="B35" s="441"/>
      <c r="C35" s="441"/>
      <c r="D35" s="143">
        <v>59</v>
      </c>
      <c r="E35" s="140">
        <v>84</v>
      </c>
      <c r="F35" s="160">
        <f t="shared" si="0"/>
        <v>25</v>
      </c>
      <c r="G35" s="161">
        <f t="shared" si="4"/>
        <v>1.423728813559322</v>
      </c>
      <c r="H35" s="141">
        <v>90</v>
      </c>
      <c r="I35" s="142"/>
      <c r="J35" s="174">
        <f t="shared" si="1"/>
        <v>90</v>
      </c>
      <c r="K35" s="164">
        <f t="shared" si="2"/>
        <v>6</v>
      </c>
      <c r="L35" s="165">
        <f t="shared" si="3"/>
        <v>1.0714285714285714</v>
      </c>
    </row>
    <row r="36" spans="1:12" s="138" customFormat="1" ht="14.25">
      <c r="A36" s="441" t="s">
        <v>93</v>
      </c>
      <c r="B36" s="441"/>
      <c r="C36" s="441"/>
      <c r="D36" s="143">
        <v>142</v>
      </c>
      <c r="E36" s="140">
        <v>138</v>
      </c>
      <c r="F36" s="160">
        <f t="shared" si="0"/>
        <v>-4</v>
      </c>
      <c r="G36" s="161">
        <f t="shared" si="4"/>
        <v>0.971830985915493</v>
      </c>
      <c r="H36" s="141">
        <v>153</v>
      </c>
      <c r="I36" s="142"/>
      <c r="J36" s="174">
        <f t="shared" si="1"/>
        <v>153</v>
      </c>
      <c r="K36" s="164">
        <f t="shared" si="2"/>
        <v>15</v>
      </c>
      <c r="L36" s="165">
        <f t="shared" si="3"/>
        <v>1.108695652173913</v>
      </c>
    </row>
    <row r="37" spans="1:12" s="138" customFormat="1" ht="14.25">
      <c r="A37" s="441" t="s">
        <v>94</v>
      </c>
      <c r="B37" s="441"/>
      <c r="C37" s="441"/>
      <c r="D37" s="143">
        <v>0</v>
      </c>
      <c r="E37" s="140">
        <v>0</v>
      </c>
      <c r="F37" s="160">
        <f t="shared" si="0"/>
        <v>0</v>
      </c>
      <c r="G37" s="161"/>
      <c r="H37" s="141">
        <v>0</v>
      </c>
      <c r="I37" s="142"/>
      <c r="J37" s="174">
        <f t="shared" si="1"/>
        <v>0</v>
      </c>
      <c r="K37" s="164">
        <f t="shared" si="2"/>
        <v>0</v>
      </c>
      <c r="L37" s="165"/>
    </row>
    <row r="38" spans="1:12" s="138" customFormat="1" ht="14.25">
      <c r="A38" s="441" t="s">
        <v>95</v>
      </c>
      <c r="B38" s="441"/>
      <c r="C38" s="441"/>
      <c r="D38" s="143">
        <v>23</v>
      </c>
      <c r="E38" s="140">
        <v>35</v>
      </c>
      <c r="F38" s="160">
        <f t="shared" si="0"/>
        <v>12</v>
      </c>
      <c r="G38" s="161">
        <f t="shared" si="4"/>
        <v>1.5217391304347827</v>
      </c>
      <c r="H38" s="141">
        <v>50</v>
      </c>
      <c r="I38" s="142"/>
      <c r="J38" s="174">
        <f t="shared" si="1"/>
        <v>50</v>
      </c>
      <c r="K38" s="164">
        <f t="shared" si="2"/>
        <v>15</v>
      </c>
      <c r="L38" s="165">
        <f t="shared" si="3"/>
        <v>1.4285714285714286</v>
      </c>
    </row>
    <row r="39" spans="1:12" s="138" customFormat="1" ht="14.25">
      <c r="A39" s="441" t="s">
        <v>96</v>
      </c>
      <c r="B39" s="441"/>
      <c r="C39" s="441"/>
      <c r="D39" s="143">
        <v>21</v>
      </c>
      <c r="E39" s="140">
        <v>27</v>
      </c>
      <c r="F39" s="160">
        <f t="shared" si="0"/>
        <v>6</v>
      </c>
      <c r="G39" s="161">
        <f t="shared" si="4"/>
        <v>1.2857142857142858</v>
      </c>
      <c r="H39" s="141">
        <v>36</v>
      </c>
      <c r="I39" s="142"/>
      <c r="J39" s="174">
        <f t="shared" si="1"/>
        <v>36</v>
      </c>
      <c r="K39" s="164">
        <f t="shared" si="2"/>
        <v>9</v>
      </c>
      <c r="L39" s="165">
        <f t="shared" si="3"/>
        <v>1.3333333333333333</v>
      </c>
    </row>
    <row r="40" spans="1:12" s="138" customFormat="1" ht="14.25">
      <c r="A40" s="441" t="s">
        <v>97</v>
      </c>
      <c r="B40" s="441"/>
      <c r="C40" s="441"/>
      <c r="D40" s="143">
        <v>0</v>
      </c>
      <c r="E40" s="140">
        <v>0</v>
      </c>
      <c r="F40" s="160">
        <f t="shared" si="0"/>
        <v>0</v>
      </c>
      <c r="G40" s="161"/>
      <c r="H40" s="141">
        <v>0</v>
      </c>
      <c r="I40" s="142"/>
      <c r="J40" s="174">
        <f t="shared" si="1"/>
        <v>0</v>
      </c>
      <c r="K40" s="164">
        <f t="shared" si="2"/>
        <v>0</v>
      </c>
      <c r="L40" s="165"/>
    </row>
    <row r="41" spans="1:12" s="138" customFormat="1" ht="14.25">
      <c r="A41" s="441" t="s">
        <v>98</v>
      </c>
      <c r="B41" s="441"/>
      <c r="C41" s="441"/>
      <c r="D41" s="143">
        <v>38</v>
      </c>
      <c r="E41" s="140">
        <v>70</v>
      </c>
      <c r="F41" s="160">
        <f t="shared" si="0"/>
        <v>32</v>
      </c>
      <c r="G41" s="161">
        <f t="shared" si="4"/>
        <v>1.8421052631578947</v>
      </c>
      <c r="H41" s="141">
        <v>74</v>
      </c>
      <c r="I41" s="142"/>
      <c r="J41" s="174">
        <f t="shared" si="1"/>
        <v>74</v>
      </c>
      <c r="K41" s="164">
        <f t="shared" si="2"/>
        <v>4</v>
      </c>
      <c r="L41" s="165">
        <f t="shared" si="3"/>
        <v>1.0571428571428572</v>
      </c>
    </row>
    <row r="42" spans="1:12" s="138" customFormat="1" ht="14.25">
      <c r="A42" s="441" t="s">
        <v>99</v>
      </c>
      <c r="B42" s="441"/>
      <c r="C42" s="441"/>
      <c r="D42" s="143">
        <v>102</v>
      </c>
      <c r="E42" s="140">
        <v>130</v>
      </c>
      <c r="F42" s="160">
        <f t="shared" si="0"/>
        <v>28</v>
      </c>
      <c r="G42" s="161">
        <f t="shared" si="4"/>
        <v>1.2745098039215685</v>
      </c>
      <c r="H42" s="141">
        <v>159</v>
      </c>
      <c r="I42" s="142"/>
      <c r="J42" s="174">
        <f t="shared" si="1"/>
        <v>159</v>
      </c>
      <c r="K42" s="164">
        <f t="shared" si="2"/>
        <v>29</v>
      </c>
      <c r="L42" s="165">
        <f t="shared" si="3"/>
        <v>1.2230769230769232</v>
      </c>
    </row>
    <row r="43" spans="1:12" s="138" customFormat="1" ht="14.25">
      <c r="A43" s="441" t="s">
        <v>100</v>
      </c>
      <c r="B43" s="441"/>
      <c r="C43" s="441"/>
      <c r="D43" s="143">
        <v>0</v>
      </c>
      <c r="E43" s="140">
        <v>3</v>
      </c>
      <c r="F43" s="160">
        <f t="shared" si="0"/>
        <v>3</v>
      </c>
      <c r="G43" s="161"/>
      <c r="H43" s="141">
        <v>0</v>
      </c>
      <c r="I43" s="142"/>
      <c r="J43" s="174">
        <f t="shared" si="1"/>
        <v>0</v>
      </c>
      <c r="K43" s="164">
        <f t="shared" si="2"/>
        <v>-3</v>
      </c>
      <c r="L43" s="165">
        <f t="shared" si="3"/>
        <v>0</v>
      </c>
    </row>
    <row r="44" spans="1:12" s="138" customFormat="1" ht="14.25">
      <c r="A44" s="441" t="s">
        <v>101</v>
      </c>
      <c r="B44" s="441"/>
      <c r="C44" s="441"/>
      <c r="D44" s="143">
        <v>809</v>
      </c>
      <c r="E44" s="140">
        <v>797</v>
      </c>
      <c r="F44" s="160">
        <f t="shared" si="0"/>
        <v>-12</v>
      </c>
      <c r="G44" s="161">
        <f t="shared" si="4"/>
        <v>0.9851668726823238</v>
      </c>
      <c r="H44" s="141">
        <v>848</v>
      </c>
      <c r="I44" s="142"/>
      <c r="J44" s="174">
        <f t="shared" si="1"/>
        <v>848</v>
      </c>
      <c r="K44" s="164">
        <f t="shared" si="2"/>
        <v>51</v>
      </c>
      <c r="L44" s="165">
        <f t="shared" si="3"/>
        <v>1.0639899623588456</v>
      </c>
    </row>
    <row r="45" spans="1:15" s="138" customFormat="1" ht="14.25">
      <c r="A45" s="441" t="s">
        <v>102</v>
      </c>
      <c r="B45" s="441"/>
      <c r="C45" s="441"/>
      <c r="D45" s="143">
        <v>123</v>
      </c>
      <c r="E45" s="140">
        <v>124</v>
      </c>
      <c r="F45" s="160">
        <f t="shared" si="0"/>
        <v>1</v>
      </c>
      <c r="G45" s="161">
        <f t="shared" si="4"/>
        <v>1.008130081300813</v>
      </c>
      <c r="H45" s="141">
        <v>143</v>
      </c>
      <c r="I45" s="142"/>
      <c r="J45" s="174">
        <f t="shared" si="1"/>
        <v>143</v>
      </c>
      <c r="K45" s="164">
        <f t="shared" si="2"/>
        <v>19</v>
      </c>
      <c r="L45" s="165">
        <f t="shared" si="3"/>
        <v>1.153225806451613</v>
      </c>
      <c r="O45" s="147"/>
    </row>
    <row r="46" spans="1:12" s="138" customFormat="1" ht="14.25">
      <c r="A46" s="441" t="s">
        <v>103</v>
      </c>
      <c r="B46" s="441"/>
      <c r="C46" s="441"/>
      <c r="D46" s="143">
        <v>137</v>
      </c>
      <c r="E46" s="140">
        <v>167</v>
      </c>
      <c r="F46" s="160">
        <f t="shared" si="0"/>
        <v>30</v>
      </c>
      <c r="G46" s="161">
        <f t="shared" si="4"/>
        <v>1.218978102189781</v>
      </c>
      <c r="H46" s="141">
        <v>168</v>
      </c>
      <c r="I46" s="142"/>
      <c r="J46" s="174">
        <f t="shared" si="1"/>
        <v>168</v>
      </c>
      <c r="K46" s="164">
        <f t="shared" si="2"/>
        <v>1</v>
      </c>
      <c r="L46" s="165">
        <f t="shared" si="3"/>
        <v>1.0059880239520957</v>
      </c>
    </row>
    <row r="47" spans="1:12" s="138" customFormat="1" ht="14.25">
      <c r="A47" s="441" t="s">
        <v>104</v>
      </c>
      <c r="B47" s="441"/>
      <c r="C47" s="441"/>
      <c r="D47" s="143">
        <v>549</v>
      </c>
      <c r="E47" s="140">
        <v>506</v>
      </c>
      <c r="F47" s="160">
        <f t="shared" si="0"/>
        <v>-43</v>
      </c>
      <c r="G47" s="161">
        <f t="shared" si="4"/>
        <v>0.9216757741347905</v>
      </c>
      <c r="H47" s="141">
        <v>537</v>
      </c>
      <c r="I47" s="142"/>
      <c r="J47" s="174">
        <f t="shared" si="1"/>
        <v>537</v>
      </c>
      <c r="K47" s="164">
        <f t="shared" si="2"/>
        <v>31</v>
      </c>
      <c r="L47" s="165">
        <f t="shared" si="3"/>
        <v>1.0612648221343874</v>
      </c>
    </row>
    <row r="48" spans="1:12" s="138" customFormat="1" ht="14.25">
      <c r="A48" s="441" t="s">
        <v>105</v>
      </c>
      <c r="B48" s="441"/>
      <c r="C48" s="441"/>
      <c r="D48" s="196">
        <v>5831</v>
      </c>
      <c r="E48" s="177">
        <v>7084</v>
      </c>
      <c r="F48" s="197">
        <f t="shared" si="0"/>
        <v>1253</v>
      </c>
      <c r="G48" s="198">
        <f t="shared" si="4"/>
        <v>1.2148859543817527</v>
      </c>
      <c r="H48" s="172">
        <v>7633</v>
      </c>
      <c r="I48" s="173"/>
      <c r="J48" s="174">
        <f t="shared" si="1"/>
        <v>7633</v>
      </c>
      <c r="K48" s="199">
        <f t="shared" si="2"/>
        <v>549</v>
      </c>
      <c r="L48" s="200">
        <f t="shared" si="3"/>
        <v>1.0774985883681536</v>
      </c>
    </row>
    <row r="49" spans="1:12" s="138" customFormat="1" ht="14.25">
      <c r="A49" s="441" t="s">
        <v>106</v>
      </c>
      <c r="B49" s="441"/>
      <c r="C49" s="441"/>
      <c r="D49" s="143">
        <v>4299</v>
      </c>
      <c r="E49" s="140">
        <v>5218</v>
      </c>
      <c r="F49" s="160">
        <f t="shared" si="0"/>
        <v>919</v>
      </c>
      <c r="G49" s="161">
        <f t="shared" si="4"/>
        <v>1.213770644335892</v>
      </c>
      <c r="H49" s="141">
        <v>5639</v>
      </c>
      <c r="I49" s="142"/>
      <c r="J49" s="174">
        <f t="shared" si="1"/>
        <v>5639</v>
      </c>
      <c r="K49" s="164">
        <f t="shared" si="2"/>
        <v>421</v>
      </c>
      <c r="L49" s="165">
        <f t="shared" si="3"/>
        <v>1.080682253737064</v>
      </c>
    </row>
    <row r="50" spans="1:12" s="138" customFormat="1" ht="14.25">
      <c r="A50" s="441" t="s">
        <v>107</v>
      </c>
      <c r="B50" s="441"/>
      <c r="C50" s="441"/>
      <c r="D50" s="143">
        <v>4158</v>
      </c>
      <c r="E50" s="140">
        <v>4931</v>
      </c>
      <c r="F50" s="160">
        <f t="shared" si="0"/>
        <v>773</v>
      </c>
      <c r="G50" s="161">
        <f t="shared" si="4"/>
        <v>1.1859066859066858</v>
      </c>
      <c r="H50" s="141">
        <v>5337</v>
      </c>
      <c r="I50" s="142"/>
      <c r="J50" s="174">
        <f t="shared" si="1"/>
        <v>5337</v>
      </c>
      <c r="K50" s="164">
        <f t="shared" si="2"/>
        <v>406</v>
      </c>
      <c r="L50" s="165">
        <f t="shared" si="3"/>
        <v>1.0823362401135672</v>
      </c>
    </row>
    <row r="51" spans="1:12" s="138" customFormat="1" ht="14.25">
      <c r="A51" s="441" t="s">
        <v>108</v>
      </c>
      <c r="B51" s="441"/>
      <c r="C51" s="441"/>
      <c r="D51" s="143">
        <v>141</v>
      </c>
      <c r="E51" s="140">
        <v>287</v>
      </c>
      <c r="F51" s="160">
        <f t="shared" si="0"/>
        <v>146</v>
      </c>
      <c r="G51" s="161">
        <f t="shared" si="4"/>
        <v>2.0354609929078014</v>
      </c>
      <c r="H51" s="141">
        <v>302</v>
      </c>
      <c r="I51" s="142"/>
      <c r="J51" s="174">
        <f t="shared" si="1"/>
        <v>302</v>
      </c>
      <c r="K51" s="164">
        <f t="shared" si="2"/>
        <v>15</v>
      </c>
      <c r="L51" s="165">
        <f t="shared" si="3"/>
        <v>1.0522648083623694</v>
      </c>
    </row>
    <row r="52" spans="1:12" s="138" customFormat="1" ht="14.25">
      <c r="A52" s="441" t="s">
        <v>109</v>
      </c>
      <c r="B52" s="441"/>
      <c r="C52" s="441"/>
      <c r="D52" s="143">
        <v>1532</v>
      </c>
      <c r="E52" s="140">
        <v>1866</v>
      </c>
      <c r="F52" s="160">
        <f t="shared" si="0"/>
        <v>334</v>
      </c>
      <c r="G52" s="161">
        <f t="shared" si="4"/>
        <v>1.2180156657963446</v>
      </c>
      <c r="H52" s="141">
        <v>1994</v>
      </c>
      <c r="I52" s="142"/>
      <c r="J52" s="174">
        <f t="shared" si="1"/>
        <v>1994</v>
      </c>
      <c r="K52" s="164">
        <f t="shared" si="2"/>
        <v>128</v>
      </c>
      <c r="L52" s="165">
        <f t="shared" si="3"/>
        <v>1.0685959271168275</v>
      </c>
    </row>
    <row r="53" spans="1:12" s="138" customFormat="1" ht="14.25">
      <c r="A53" s="441" t="s">
        <v>110</v>
      </c>
      <c r="B53" s="441"/>
      <c r="C53" s="441"/>
      <c r="D53" s="143">
        <v>0</v>
      </c>
      <c r="E53" s="140">
        <v>0</v>
      </c>
      <c r="F53" s="160">
        <f t="shared" si="0"/>
        <v>0</v>
      </c>
      <c r="G53" s="161"/>
      <c r="H53" s="141">
        <v>0</v>
      </c>
      <c r="I53" s="142"/>
      <c r="J53" s="174">
        <f t="shared" si="1"/>
        <v>0</v>
      </c>
      <c r="K53" s="164">
        <f t="shared" si="2"/>
        <v>0</v>
      </c>
      <c r="L53" s="165"/>
    </row>
    <row r="54" spans="1:12" s="138" customFormat="1" ht="14.25">
      <c r="A54" s="441" t="s">
        <v>111</v>
      </c>
      <c r="B54" s="441"/>
      <c r="C54" s="441"/>
      <c r="D54" s="143">
        <v>0</v>
      </c>
      <c r="E54" s="140">
        <v>0</v>
      </c>
      <c r="F54" s="160">
        <f t="shared" si="0"/>
        <v>0</v>
      </c>
      <c r="G54" s="161"/>
      <c r="H54" s="141">
        <v>0</v>
      </c>
      <c r="I54" s="142"/>
      <c r="J54" s="174">
        <f t="shared" si="1"/>
        <v>0</v>
      </c>
      <c r="K54" s="164">
        <f t="shared" si="2"/>
        <v>0</v>
      </c>
      <c r="L54" s="165"/>
    </row>
    <row r="55" spans="1:12" s="138" customFormat="1" ht="14.25">
      <c r="A55" s="441" t="s">
        <v>112</v>
      </c>
      <c r="B55" s="441"/>
      <c r="C55" s="441"/>
      <c r="D55" s="143">
        <v>48</v>
      </c>
      <c r="E55" s="140">
        <v>58</v>
      </c>
      <c r="F55" s="160">
        <f t="shared" si="0"/>
        <v>10</v>
      </c>
      <c r="G55" s="161">
        <f t="shared" si="4"/>
        <v>1.2083333333333333</v>
      </c>
      <c r="H55" s="141">
        <v>62</v>
      </c>
      <c r="I55" s="142"/>
      <c r="J55" s="174">
        <f t="shared" si="1"/>
        <v>62</v>
      </c>
      <c r="K55" s="164">
        <f t="shared" si="2"/>
        <v>4</v>
      </c>
      <c r="L55" s="165">
        <f t="shared" si="3"/>
        <v>1.0689655172413792</v>
      </c>
    </row>
    <row r="56" spans="1:12" s="138" customFormat="1" ht="14.25">
      <c r="A56" s="441" t="s">
        <v>113</v>
      </c>
      <c r="B56" s="441"/>
      <c r="C56" s="441"/>
      <c r="D56" s="143">
        <v>0</v>
      </c>
      <c r="E56" s="140">
        <v>0</v>
      </c>
      <c r="F56" s="160">
        <f t="shared" si="0"/>
        <v>0</v>
      </c>
      <c r="G56" s="161"/>
      <c r="H56" s="141">
        <v>0</v>
      </c>
      <c r="I56" s="142"/>
      <c r="J56" s="174">
        <f t="shared" si="1"/>
        <v>0</v>
      </c>
      <c r="K56" s="164">
        <f t="shared" si="2"/>
        <v>0</v>
      </c>
      <c r="L56" s="165"/>
    </row>
    <row r="57" spans="1:12" s="138" customFormat="1" ht="14.25">
      <c r="A57" s="441" t="s">
        <v>114</v>
      </c>
      <c r="B57" s="441"/>
      <c r="C57" s="441"/>
      <c r="D57" s="143">
        <v>126</v>
      </c>
      <c r="E57" s="140">
        <v>168</v>
      </c>
      <c r="F57" s="160">
        <f t="shared" si="0"/>
        <v>42</v>
      </c>
      <c r="G57" s="161">
        <f t="shared" si="4"/>
        <v>1.3333333333333333</v>
      </c>
      <c r="H57" s="141">
        <v>183</v>
      </c>
      <c r="I57" s="142"/>
      <c r="J57" s="174">
        <f t="shared" si="1"/>
        <v>183</v>
      </c>
      <c r="K57" s="164">
        <f t="shared" si="2"/>
        <v>15</v>
      </c>
      <c r="L57" s="165">
        <f t="shared" si="3"/>
        <v>1.0892857142857142</v>
      </c>
    </row>
    <row r="58" spans="1:12" s="138" customFormat="1" ht="14.25">
      <c r="A58" s="441" t="s">
        <v>115</v>
      </c>
      <c r="B58" s="441"/>
      <c r="C58" s="441"/>
      <c r="D58" s="143">
        <v>0</v>
      </c>
      <c r="E58" s="140">
        <v>0</v>
      </c>
      <c r="F58" s="160">
        <f t="shared" si="0"/>
        <v>0</v>
      </c>
      <c r="G58" s="161"/>
      <c r="H58" s="141">
        <v>0</v>
      </c>
      <c r="I58" s="142"/>
      <c r="J58" s="174">
        <f t="shared" si="1"/>
        <v>0</v>
      </c>
      <c r="K58" s="164">
        <f t="shared" si="2"/>
        <v>0</v>
      </c>
      <c r="L58" s="165"/>
    </row>
    <row r="59" spans="1:12" s="138" customFormat="1" ht="15" thickBot="1">
      <c r="A59" s="493" t="s">
        <v>116</v>
      </c>
      <c r="B59" s="493"/>
      <c r="C59" s="493"/>
      <c r="D59" s="159">
        <v>0</v>
      </c>
      <c r="E59" s="148">
        <v>0</v>
      </c>
      <c r="F59" s="162">
        <f t="shared" si="0"/>
        <v>0</v>
      </c>
      <c r="G59" s="163"/>
      <c r="H59" s="145">
        <v>0</v>
      </c>
      <c r="I59" s="146"/>
      <c r="J59" s="178">
        <f t="shared" si="1"/>
        <v>0</v>
      </c>
      <c r="K59" s="166">
        <f t="shared" si="2"/>
        <v>0</v>
      </c>
      <c r="L59" s="167"/>
    </row>
    <row r="60" spans="1:12" s="138" customFormat="1" ht="15.75" thickBot="1">
      <c r="A60" s="462" t="s">
        <v>117</v>
      </c>
      <c r="B60" s="462"/>
      <c r="C60" s="462"/>
      <c r="D60" s="179">
        <v>7690</v>
      </c>
      <c r="E60" s="180">
        <v>8990</v>
      </c>
      <c r="F60" s="181">
        <f t="shared" si="0"/>
        <v>1300</v>
      </c>
      <c r="G60" s="182">
        <f t="shared" si="4"/>
        <v>1.1690507152145644</v>
      </c>
      <c r="H60" s="183">
        <v>9494</v>
      </c>
      <c r="I60" s="184"/>
      <c r="J60" s="185">
        <f t="shared" si="1"/>
        <v>9494</v>
      </c>
      <c r="K60" s="183">
        <f t="shared" si="2"/>
        <v>504</v>
      </c>
      <c r="L60" s="186">
        <f t="shared" si="3"/>
        <v>1.0560622914349278</v>
      </c>
    </row>
    <row r="61" spans="1:14" s="6" customFormat="1" ht="15">
      <c r="A61" s="447" t="s">
        <v>17</v>
      </c>
      <c r="B61" s="447"/>
      <c r="C61" s="447"/>
      <c r="D61" s="96">
        <v>278</v>
      </c>
      <c r="E61" s="96">
        <v>0</v>
      </c>
      <c r="F61" s="96"/>
      <c r="G61" s="96"/>
      <c r="H61" s="96">
        <v>0</v>
      </c>
      <c r="I61" s="96"/>
      <c r="J61" s="96">
        <f t="shared" si="1"/>
        <v>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>
        <v>0</v>
      </c>
      <c r="E62" s="97">
        <v>0</v>
      </c>
      <c r="F62" s="98"/>
      <c r="G62" s="116"/>
      <c r="H62" s="10"/>
      <c r="I62" s="10"/>
      <c r="J62" s="10"/>
      <c r="K62" s="10"/>
      <c r="L62" s="10"/>
      <c r="N62" s="8"/>
    </row>
    <row r="63" spans="1:15" s="3" customFormat="1" ht="11.25">
      <c r="A63" s="119"/>
      <c r="B63" s="4"/>
      <c r="C63" s="4"/>
      <c r="D63" s="120"/>
      <c r="E63" s="121"/>
      <c r="F63" s="4"/>
      <c r="G63" s="4"/>
      <c r="H63" s="2"/>
      <c r="I63" s="122"/>
      <c r="J63" s="123"/>
      <c r="K63" s="119"/>
      <c r="L63" s="4"/>
      <c r="M63" s="4"/>
      <c r="N63" s="4"/>
      <c r="O63" s="2"/>
    </row>
    <row r="64" ht="13.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177</v>
      </c>
      <c r="B67" s="382"/>
      <c r="C67" s="13">
        <v>62</v>
      </c>
      <c r="D67" s="14"/>
      <c r="E67" s="382" t="s">
        <v>249</v>
      </c>
      <c r="F67" s="382"/>
      <c r="G67" s="382"/>
      <c r="H67" s="382"/>
      <c r="I67" s="15">
        <v>23</v>
      </c>
      <c r="J67" s="11"/>
      <c r="K67" s="11"/>
      <c r="L67" s="11"/>
      <c r="M67" s="11"/>
      <c r="N67" s="113" t="s">
        <v>122</v>
      </c>
    </row>
    <row r="68" spans="1:14" s="6" customFormat="1" ht="15">
      <c r="A68" s="382"/>
      <c r="B68" s="382"/>
      <c r="C68" s="13"/>
      <c r="D68" s="14"/>
      <c r="E68" s="380" t="s">
        <v>250</v>
      </c>
      <c r="F68" s="380"/>
      <c r="G68" s="380"/>
      <c r="H68" s="380"/>
      <c r="I68" s="16">
        <v>8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/>
      <c r="B69" s="382"/>
      <c r="C69" s="13"/>
      <c r="D69" s="14"/>
      <c r="E69" s="380" t="s">
        <v>251</v>
      </c>
      <c r="F69" s="380"/>
      <c r="G69" s="380"/>
      <c r="H69" s="380"/>
      <c r="I69" s="16">
        <v>3</v>
      </c>
      <c r="J69" s="11"/>
      <c r="K69" s="21" t="s">
        <v>45</v>
      </c>
      <c r="L69" s="22"/>
      <c r="M69" s="23"/>
      <c r="N69" s="24"/>
    </row>
    <row r="70" spans="1:14" s="6" customFormat="1" ht="15">
      <c r="A70" s="382"/>
      <c r="B70" s="382"/>
      <c r="C70" s="13"/>
      <c r="D70" s="14"/>
      <c r="E70" s="380" t="s">
        <v>252</v>
      </c>
      <c r="F70" s="380"/>
      <c r="G70" s="380"/>
      <c r="H70" s="380"/>
      <c r="I70" s="16">
        <v>20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 t="s">
        <v>253</v>
      </c>
      <c r="F71" s="380"/>
      <c r="G71" s="380"/>
      <c r="H71" s="380"/>
      <c r="I71" s="28">
        <v>20</v>
      </c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62</v>
      </c>
      <c r="D75" s="36"/>
      <c r="E75" s="404" t="s">
        <v>12</v>
      </c>
      <c r="F75" s="404"/>
      <c r="G75" s="404"/>
      <c r="H75" s="404"/>
      <c r="I75" s="37">
        <f>SUM(I67:I74)</f>
        <v>74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7114</v>
      </c>
      <c r="B81" s="46">
        <v>909</v>
      </c>
      <c r="C81" s="47">
        <v>183</v>
      </c>
      <c r="D81" s="48">
        <v>121</v>
      </c>
      <c r="E81" s="48"/>
      <c r="F81" s="48"/>
      <c r="G81" s="48"/>
      <c r="H81" s="49">
        <v>62</v>
      </c>
      <c r="I81" s="50"/>
      <c r="J81" s="51">
        <v>6023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52.5" customHeight="1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766.96</v>
      </c>
      <c r="C86" s="61" t="s">
        <v>38</v>
      </c>
      <c r="D86" s="62" t="s">
        <v>38</v>
      </c>
      <c r="E86" s="62" t="s">
        <v>38</v>
      </c>
      <c r="F86" s="63"/>
      <c r="G86" s="64">
        <v>271.15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27.5</v>
      </c>
      <c r="C87" s="71">
        <v>28</v>
      </c>
      <c r="D87" s="72">
        <v>0</v>
      </c>
      <c r="E87" s="72">
        <v>0</v>
      </c>
      <c r="F87" s="73">
        <f>C87+D87-E87</f>
        <v>28</v>
      </c>
      <c r="G87" s="74">
        <v>28</v>
      </c>
      <c r="H87" s="75">
        <f>+G87-F87</f>
        <v>0</v>
      </c>
      <c r="I87" s="71">
        <v>28</v>
      </c>
      <c r="J87" s="72">
        <v>0</v>
      </c>
      <c r="K87" s="72">
        <v>0</v>
      </c>
      <c r="L87" s="73">
        <f>I87+J87-K87</f>
        <v>28</v>
      </c>
      <c r="M87" s="76"/>
    </row>
    <row r="88" spans="1:13" s="10" customFormat="1" ht="15">
      <c r="A88" s="69" t="s">
        <v>40</v>
      </c>
      <c r="B88" s="70">
        <v>130.38</v>
      </c>
      <c r="C88" s="71">
        <f>130+0</f>
        <v>130</v>
      </c>
      <c r="D88" s="72">
        <v>278</v>
      </c>
      <c r="E88" s="72">
        <v>408</v>
      </c>
      <c r="F88" s="73">
        <f>C88+D88-E88</f>
        <v>0</v>
      </c>
      <c r="G88" s="74">
        <f>0.29</f>
        <v>0.29</v>
      </c>
      <c r="H88" s="75">
        <f>+G88-F88</f>
        <v>0.29</v>
      </c>
      <c r="I88" s="71">
        <v>0</v>
      </c>
      <c r="J88" s="72">
        <v>0</v>
      </c>
      <c r="K88" s="72">
        <v>0</v>
      </c>
      <c r="L88" s="73">
        <f>I88+J88-K88</f>
        <v>0</v>
      </c>
      <c r="M88" s="76"/>
    </row>
    <row r="89" spans="1:13" s="10" customFormat="1" ht="15">
      <c r="A89" s="69" t="s">
        <v>44</v>
      </c>
      <c r="B89" s="70">
        <v>429.61</v>
      </c>
      <c r="C89" s="71">
        <v>430</v>
      </c>
      <c r="D89" s="72">
        <v>168</v>
      </c>
      <c r="E89" s="72">
        <v>452</v>
      </c>
      <c r="F89" s="73">
        <f>C89+D89-E89</f>
        <v>146</v>
      </c>
      <c r="G89" s="74">
        <v>146.44</v>
      </c>
      <c r="H89" s="75">
        <f>+G89-F89</f>
        <v>0.4399999999999977</v>
      </c>
      <c r="I89" s="77">
        <v>146</v>
      </c>
      <c r="J89" s="78">
        <v>183</v>
      </c>
      <c r="K89" s="78">
        <v>62</v>
      </c>
      <c r="L89" s="73">
        <f>I89+J89-K89</f>
        <v>267</v>
      </c>
      <c r="M89" s="76"/>
    </row>
    <row r="90" spans="1:13" s="10" customFormat="1" ht="15">
      <c r="A90" s="69" t="s">
        <v>41</v>
      </c>
      <c r="B90" s="70">
        <v>179.47</v>
      </c>
      <c r="C90" s="79" t="s">
        <v>38</v>
      </c>
      <c r="D90" s="62" t="s">
        <v>38</v>
      </c>
      <c r="E90" s="80" t="s">
        <v>38</v>
      </c>
      <c r="F90" s="73"/>
      <c r="G90" s="74">
        <v>96.92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63.32</v>
      </c>
      <c r="C91" s="84">
        <v>64</v>
      </c>
      <c r="D91" s="85">
        <v>99</v>
      </c>
      <c r="E91" s="85">
        <v>94</v>
      </c>
      <c r="F91" s="106">
        <f>C91+D91-E91</f>
        <v>69</v>
      </c>
      <c r="G91" s="109">
        <v>68.36</v>
      </c>
      <c r="H91" s="110">
        <f>+G91-F91</f>
        <v>-0.6400000000000006</v>
      </c>
      <c r="I91" s="111">
        <v>69</v>
      </c>
      <c r="J91" s="112">
        <v>54</v>
      </c>
      <c r="K91" s="112">
        <v>82</v>
      </c>
      <c r="L91" s="106">
        <f>I91+J91-K91</f>
        <v>41</v>
      </c>
      <c r="M91" s="76"/>
    </row>
    <row r="94" spans="1:11" s="1" customFormat="1" ht="15.75" thickBot="1">
      <c r="A94" s="5" t="s">
        <v>146</v>
      </c>
      <c r="D94" s="124"/>
      <c r="E94" s="125"/>
      <c r="K94" s="4" t="s">
        <v>46</v>
      </c>
    </row>
    <row r="95" spans="1:11" s="1" customFormat="1" ht="11.25">
      <c r="A95" s="500" t="s">
        <v>26</v>
      </c>
      <c r="B95" s="500"/>
      <c r="C95" s="500"/>
      <c r="D95" s="126"/>
      <c r="E95" s="500" t="s">
        <v>27</v>
      </c>
      <c r="F95" s="500"/>
      <c r="G95" s="500"/>
      <c r="I95" s="500" t="s">
        <v>23</v>
      </c>
      <c r="J95" s="500"/>
      <c r="K95" s="500"/>
    </row>
    <row r="96" spans="1:11" s="1" customFormat="1" ht="12" thickBot="1">
      <c r="A96" s="127" t="s">
        <v>28</v>
      </c>
      <c r="B96" s="128" t="s">
        <v>29</v>
      </c>
      <c r="C96" s="129" t="s">
        <v>25</v>
      </c>
      <c r="D96" s="126"/>
      <c r="E96" s="130"/>
      <c r="F96" s="501" t="s">
        <v>30</v>
      </c>
      <c r="G96" s="501"/>
      <c r="I96" s="127"/>
      <c r="J96" s="128" t="s">
        <v>24</v>
      </c>
      <c r="K96" s="129" t="s">
        <v>25</v>
      </c>
    </row>
    <row r="97" spans="1:11" s="1" customFormat="1" ht="11.25">
      <c r="A97" s="131">
        <v>2010</v>
      </c>
      <c r="B97" s="132">
        <v>16</v>
      </c>
      <c r="C97" s="133">
        <v>16</v>
      </c>
      <c r="D97" s="120"/>
      <c r="E97" s="131">
        <v>2010</v>
      </c>
      <c r="F97" s="502">
        <v>0</v>
      </c>
      <c r="G97" s="502"/>
      <c r="I97" s="131">
        <v>2010</v>
      </c>
      <c r="J97" s="132">
        <v>5039</v>
      </c>
      <c r="K97" s="133">
        <v>4931</v>
      </c>
    </row>
    <row r="98" spans="1:11" s="1" customFormat="1" ht="12" thickBot="1">
      <c r="A98" s="134">
        <v>2011</v>
      </c>
      <c r="B98" s="260">
        <v>16.5</v>
      </c>
      <c r="C98" s="136" t="s">
        <v>62</v>
      </c>
      <c r="D98" s="120"/>
      <c r="E98" s="134">
        <v>2011</v>
      </c>
      <c r="F98" s="503">
        <v>0</v>
      </c>
      <c r="G98" s="503"/>
      <c r="I98" s="134">
        <v>2011</v>
      </c>
      <c r="J98" s="135">
        <v>5337</v>
      </c>
      <c r="K98" s="136" t="s">
        <v>62</v>
      </c>
    </row>
  </sheetData>
  <mergeCells count="104">
    <mergeCell ref="A3:G3"/>
    <mergeCell ref="A67:B67"/>
    <mergeCell ref="E67:H67"/>
    <mergeCell ref="A78:A80"/>
    <mergeCell ref="B78:B80"/>
    <mergeCell ref="C78:I78"/>
    <mergeCell ref="C79:C80"/>
    <mergeCell ref="D79:I79"/>
    <mergeCell ref="H4:J4"/>
    <mergeCell ref="A19:C19"/>
    <mergeCell ref="E95:G95"/>
    <mergeCell ref="I95:K95"/>
    <mergeCell ref="F96:G96"/>
    <mergeCell ref="F97:G97"/>
    <mergeCell ref="K4:L4"/>
    <mergeCell ref="A7:C7"/>
    <mergeCell ref="A62:C62"/>
    <mergeCell ref="A2:N2"/>
    <mergeCell ref="A10:C10"/>
    <mergeCell ref="A11:C11"/>
    <mergeCell ref="A12:C12"/>
    <mergeCell ref="A8:C8"/>
    <mergeCell ref="A9:C9"/>
    <mergeCell ref="A4:C6"/>
    <mergeCell ref="E71:H71"/>
    <mergeCell ref="A45:C45"/>
    <mergeCell ref="A46:C46"/>
    <mergeCell ref="A47:C47"/>
    <mergeCell ref="A52:C52"/>
    <mergeCell ref="A53:C53"/>
    <mergeCell ref="A54:C54"/>
    <mergeCell ref="A59:C59"/>
    <mergeCell ref="A48:C48"/>
    <mergeCell ref="A49:C49"/>
    <mergeCell ref="E4:E6"/>
    <mergeCell ref="F4:G4"/>
    <mergeCell ref="A14:C14"/>
    <mergeCell ref="A20:C20"/>
    <mergeCell ref="A16:C16"/>
    <mergeCell ref="A17:C17"/>
    <mergeCell ref="A18:C18"/>
    <mergeCell ref="A13:C13"/>
    <mergeCell ref="D4:D6"/>
    <mergeCell ref="A15:C15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0:C50"/>
    <mergeCell ref="A72:B72"/>
    <mergeCell ref="A73:B73"/>
    <mergeCell ref="A51:C51"/>
    <mergeCell ref="A55:C55"/>
    <mergeCell ref="A56:C56"/>
    <mergeCell ref="A57:C57"/>
    <mergeCell ref="A61:C61"/>
    <mergeCell ref="A60:C60"/>
    <mergeCell ref="E70:H70"/>
    <mergeCell ref="F98:G98"/>
    <mergeCell ref="A58:C58"/>
    <mergeCell ref="A95:C95"/>
    <mergeCell ref="A65:B66"/>
    <mergeCell ref="C65:C66"/>
    <mergeCell ref="A68:B68"/>
    <mergeCell ref="A69:B69"/>
    <mergeCell ref="A70:B70"/>
    <mergeCell ref="A71:B71"/>
    <mergeCell ref="E65:H66"/>
    <mergeCell ref="I65:I66"/>
    <mergeCell ref="C84:F84"/>
    <mergeCell ref="G84:G85"/>
    <mergeCell ref="E72:H72"/>
    <mergeCell ref="E73:H73"/>
    <mergeCell ref="E74:H74"/>
    <mergeCell ref="E75:H75"/>
    <mergeCell ref="E68:H68"/>
    <mergeCell ref="E69:H69"/>
    <mergeCell ref="A74:B74"/>
    <mergeCell ref="A75:B75"/>
    <mergeCell ref="J78:J80"/>
    <mergeCell ref="A84:A85"/>
    <mergeCell ref="B84:B85"/>
    <mergeCell ref="H84:H85"/>
    <mergeCell ref="I84:L84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4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T100"/>
  <sheetViews>
    <sheetView view="pageBreakPreview" zoomScale="70" zoomScaleSheetLayoutView="70" workbookViewId="0" topLeftCell="A1">
      <selection activeCell="L85" sqref="L85"/>
    </sheetView>
  </sheetViews>
  <sheetFormatPr defaultColWidth="9.00390625" defaultRowHeight="12.75"/>
  <cols>
    <col min="1" max="1" width="27.875" style="138" customWidth="1"/>
    <col min="2" max="2" width="21.25390625" style="138" customWidth="1"/>
    <col min="3" max="3" width="11.875" style="138" customWidth="1"/>
    <col min="4" max="4" width="13.00390625" style="154" customWidth="1"/>
    <col min="5" max="5" width="13.00390625" style="147" customWidth="1"/>
    <col min="6" max="12" width="13.003906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130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25832</v>
      </c>
      <c r="E7" s="169">
        <v>26809</v>
      </c>
      <c r="F7" s="170">
        <f>E7-D7</f>
        <v>977</v>
      </c>
      <c r="G7" s="171">
        <f>E7/D7</f>
        <v>1.0378213069061628</v>
      </c>
      <c r="H7" s="172">
        <v>26392</v>
      </c>
      <c r="I7" s="173"/>
      <c r="J7" s="174">
        <v>26592</v>
      </c>
      <c r="K7" s="175">
        <f>J7-E7</f>
        <v>-217</v>
      </c>
      <c r="L7" s="176">
        <f>J7/E7</f>
        <v>0.9919057033085904</v>
      </c>
    </row>
    <row r="8" spans="1:12" ht="14.25">
      <c r="A8" s="465" t="s">
        <v>66</v>
      </c>
      <c r="B8" s="465"/>
      <c r="C8" s="465"/>
      <c r="D8" s="143">
        <v>11560</v>
      </c>
      <c r="E8" s="140">
        <v>11721</v>
      </c>
      <c r="F8" s="160">
        <f aca="true" t="shared" si="0" ref="F8:F60">E8-D8</f>
        <v>161</v>
      </c>
      <c r="G8" s="161">
        <f aca="true" t="shared" si="1" ref="G8:G60">E8/D8</f>
        <v>1.0139273356401384</v>
      </c>
      <c r="H8" s="141">
        <v>12000</v>
      </c>
      <c r="I8" s="142"/>
      <c r="J8" s="174">
        <f aca="true" t="shared" si="2" ref="J8:J60">H8+I8</f>
        <v>12000</v>
      </c>
      <c r="K8" s="164">
        <f aca="true" t="shared" si="3" ref="K8:K59">J8-E8</f>
        <v>279</v>
      </c>
      <c r="L8" s="165">
        <f aca="true" t="shared" si="4" ref="L8:L60">J8/E8</f>
        <v>1.0238034297414895</v>
      </c>
    </row>
    <row r="9" spans="1:12" ht="14.25">
      <c r="A9" s="465" t="s">
        <v>67</v>
      </c>
      <c r="B9" s="465"/>
      <c r="C9" s="465"/>
      <c r="D9" s="143">
        <v>11976</v>
      </c>
      <c r="E9" s="140">
        <v>12862</v>
      </c>
      <c r="F9" s="160">
        <f t="shared" si="0"/>
        <v>886</v>
      </c>
      <c r="G9" s="161">
        <f t="shared" si="1"/>
        <v>1.0739812959251838</v>
      </c>
      <c r="H9" s="141">
        <v>12380</v>
      </c>
      <c r="I9" s="142"/>
      <c r="J9" s="174">
        <f t="shared" si="2"/>
        <v>12380</v>
      </c>
      <c r="K9" s="164">
        <f t="shared" si="3"/>
        <v>-482</v>
      </c>
      <c r="L9" s="165">
        <f t="shared" si="4"/>
        <v>0.9625252682320012</v>
      </c>
    </row>
    <row r="10" spans="1:12" ht="14.25">
      <c r="A10" s="465" t="s">
        <v>68</v>
      </c>
      <c r="B10" s="465"/>
      <c r="C10" s="465"/>
      <c r="D10" s="143">
        <v>2</v>
      </c>
      <c r="E10" s="140">
        <v>2</v>
      </c>
      <c r="F10" s="160">
        <f t="shared" si="0"/>
        <v>0</v>
      </c>
      <c r="G10" s="161">
        <f t="shared" si="1"/>
        <v>1</v>
      </c>
      <c r="H10" s="141">
        <v>2</v>
      </c>
      <c r="I10" s="142"/>
      <c r="J10" s="174">
        <f t="shared" si="2"/>
        <v>2</v>
      </c>
      <c r="K10" s="164">
        <f t="shared" si="3"/>
        <v>0</v>
      </c>
      <c r="L10" s="165">
        <f t="shared" si="4"/>
        <v>1</v>
      </c>
    </row>
    <row r="11" spans="1:12" ht="14.25">
      <c r="A11" s="465" t="s">
        <v>69</v>
      </c>
      <c r="B11" s="465"/>
      <c r="C11" s="465"/>
      <c r="D11" s="143">
        <v>1914</v>
      </c>
      <c r="E11" s="140">
        <v>1712</v>
      </c>
      <c r="F11" s="160">
        <f t="shared" si="0"/>
        <v>-202</v>
      </c>
      <c r="G11" s="161">
        <f t="shared" si="1"/>
        <v>0.8944618599791013</v>
      </c>
      <c r="H11" s="141">
        <v>1700</v>
      </c>
      <c r="I11" s="142"/>
      <c r="J11" s="174">
        <f t="shared" si="2"/>
        <v>1700</v>
      </c>
      <c r="K11" s="164">
        <f t="shared" si="3"/>
        <v>-12</v>
      </c>
      <c r="L11" s="165">
        <f t="shared" si="4"/>
        <v>0.9929906542056075</v>
      </c>
    </row>
    <row r="12" spans="1:12" ht="14.25">
      <c r="A12" s="465" t="s">
        <v>70</v>
      </c>
      <c r="B12" s="465"/>
      <c r="C12" s="465"/>
      <c r="D12" s="143">
        <v>365</v>
      </c>
      <c r="E12" s="140">
        <v>504</v>
      </c>
      <c r="F12" s="160">
        <f t="shared" si="0"/>
        <v>139</v>
      </c>
      <c r="G12" s="161">
        <f t="shared" si="1"/>
        <v>1.3808219178082193</v>
      </c>
      <c r="H12" s="141">
        <v>300</v>
      </c>
      <c r="I12" s="142">
        <v>200</v>
      </c>
      <c r="J12" s="174">
        <f t="shared" si="2"/>
        <v>500</v>
      </c>
      <c r="K12" s="164">
        <f t="shared" si="3"/>
        <v>-4</v>
      </c>
      <c r="L12" s="165">
        <f t="shared" si="4"/>
        <v>0.9920634920634921</v>
      </c>
    </row>
    <row r="13" spans="1:12" ht="14.25">
      <c r="A13" s="465" t="s">
        <v>71</v>
      </c>
      <c r="B13" s="465"/>
      <c r="C13" s="465"/>
      <c r="D13" s="143">
        <v>15</v>
      </c>
      <c r="E13" s="140">
        <v>8</v>
      </c>
      <c r="F13" s="160">
        <f t="shared" si="0"/>
        <v>-7</v>
      </c>
      <c r="G13" s="161">
        <f t="shared" si="1"/>
        <v>0.5333333333333333</v>
      </c>
      <c r="H13" s="141">
        <v>10</v>
      </c>
      <c r="I13" s="142"/>
      <c r="J13" s="174">
        <f t="shared" si="2"/>
        <v>10</v>
      </c>
      <c r="K13" s="164">
        <f t="shared" si="3"/>
        <v>2</v>
      </c>
      <c r="L13" s="165">
        <f t="shared" si="4"/>
        <v>1.25</v>
      </c>
    </row>
    <row r="14" spans="1:20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239</v>
      </c>
      <c r="E16" s="140">
        <v>11</v>
      </c>
      <c r="F16" s="160">
        <f t="shared" si="0"/>
        <v>-228</v>
      </c>
      <c r="G16" s="161">
        <f t="shared" si="1"/>
        <v>0.04602510460251046</v>
      </c>
      <c r="H16" s="141">
        <v>1996</v>
      </c>
      <c r="I16" s="142"/>
      <c r="J16" s="174">
        <v>1996</v>
      </c>
      <c r="K16" s="164">
        <f t="shared" si="3"/>
        <v>1985</v>
      </c>
      <c r="L16" s="165">
        <f t="shared" si="4"/>
        <v>181.45454545454547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61</v>
      </c>
      <c r="E17" s="140">
        <v>10</v>
      </c>
      <c r="F17" s="160">
        <f t="shared" si="0"/>
        <v>-51</v>
      </c>
      <c r="G17" s="161">
        <f t="shared" si="1"/>
        <v>0.16393442622950818</v>
      </c>
      <c r="H17" s="141">
        <v>1996</v>
      </c>
      <c r="I17" s="142"/>
      <c r="J17" s="174">
        <v>1996</v>
      </c>
      <c r="K17" s="164">
        <f t="shared" si="3"/>
        <v>1986</v>
      </c>
      <c r="L17" s="165">
        <f t="shared" si="4"/>
        <v>199.6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/>
      <c r="E20" s="140"/>
      <c r="F20" s="160">
        <f t="shared" si="0"/>
        <v>0</v>
      </c>
      <c r="G20" s="161"/>
      <c r="H20" s="141"/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11844</v>
      </c>
      <c r="E22" s="177">
        <v>12572</v>
      </c>
      <c r="F22" s="160">
        <f t="shared" si="0"/>
        <v>728</v>
      </c>
      <c r="G22" s="161">
        <f t="shared" si="1"/>
        <v>1.0614657210401892</v>
      </c>
      <c r="H22" s="172">
        <v>10461</v>
      </c>
      <c r="I22" s="173"/>
      <c r="J22" s="174">
        <f t="shared" si="2"/>
        <v>10461</v>
      </c>
      <c r="K22" s="164">
        <f t="shared" si="3"/>
        <v>-2111</v>
      </c>
      <c r="L22" s="165">
        <f t="shared" si="4"/>
        <v>0.832087177855552</v>
      </c>
    </row>
    <row r="23" spans="1:12" ht="14.25">
      <c r="A23" s="456" t="s">
        <v>81</v>
      </c>
      <c r="B23" s="456"/>
      <c r="C23" s="456"/>
      <c r="D23" s="143">
        <v>2298</v>
      </c>
      <c r="E23" s="140">
        <v>1932</v>
      </c>
      <c r="F23" s="160">
        <f t="shared" si="0"/>
        <v>-366</v>
      </c>
      <c r="G23" s="161">
        <f t="shared" si="1"/>
        <v>0.8407310704960835</v>
      </c>
      <c r="H23" s="141">
        <v>1925</v>
      </c>
      <c r="I23" s="142"/>
      <c r="J23" s="174">
        <f t="shared" si="2"/>
        <v>1925</v>
      </c>
      <c r="K23" s="164">
        <f t="shared" si="3"/>
        <v>-7</v>
      </c>
      <c r="L23" s="165">
        <f t="shared" si="4"/>
        <v>0.9963768115942029</v>
      </c>
    </row>
    <row r="24" spans="1:12" ht="14.25">
      <c r="A24" s="456" t="s">
        <v>82</v>
      </c>
      <c r="B24" s="456"/>
      <c r="C24" s="456"/>
      <c r="D24" s="143">
        <v>9495</v>
      </c>
      <c r="E24" s="140">
        <v>10546</v>
      </c>
      <c r="F24" s="160">
        <f t="shared" si="0"/>
        <v>1051</v>
      </c>
      <c r="G24" s="161">
        <f t="shared" si="1"/>
        <v>1.1106898367561875</v>
      </c>
      <c r="H24" s="141">
        <v>8536</v>
      </c>
      <c r="I24" s="142"/>
      <c r="J24" s="174">
        <f t="shared" si="2"/>
        <v>8536</v>
      </c>
      <c r="K24" s="164">
        <f t="shared" si="3"/>
        <v>-2010</v>
      </c>
      <c r="L24" s="165">
        <f t="shared" si="4"/>
        <v>0.8094064100132752</v>
      </c>
    </row>
    <row r="25" spans="1:12" ht="14.25">
      <c r="A25" s="456" t="s">
        <v>83</v>
      </c>
      <c r="B25" s="456"/>
      <c r="C25" s="456"/>
      <c r="D25" s="143">
        <v>51</v>
      </c>
      <c r="E25" s="140">
        <v>94</v>
      </c>
      <c r="F25" s="160">
        <f t="shared" si="0"/>
        <v>43</v>
      </c>
      <c r="G25" s="161">
        <f t="shared" si="1"/>
        <v>1.8431372549019607</v>
      </c>
      <c r="H25" s="141">
        <v>0</v>
      </c>
      <c r="I25" s="142"/>
      <c r="J25" s="174">
        <f t="shared" si="2"/>
        <v>0</v>
      </c>
      <c r="K25" s="164">
        <f t="shared" si="3"/>
        <v>-94</v>
      </c>
      <c r="L25" s="165">
        <f t="shared" si="4"/>
        <v>0</v>
      </c>
    </row>
    <row r="26" spans="1:12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37915</v>
      </c>
      <c r="E27" s="180">
        <v>39439</v>
      </c>
      <c r="F27" s="181">
        <f t="shared" si="0"/>
        <v>1524</v>
      </c>
      <c r="G27" s="182">
        <f t="shared" si="1"/>
        <v>1.040195173414216</v>
      </c>
      <c r="H27" s="183">
        <v>38849</v>
      </c>
      <c r="I27" s="184">
        <v>200</v>
      </c>
      <c r="J27" s="185">
        <v>39049</v>
      </c>
      <c r="K27" s="183">
        <f t="shared" si="3"/>
        <v>-390</v>
      </c>
      <c r="L27" s="186">
        <f t="shared" si="4"/>
        <v>0.9901113111387205</v>
      </c>
    </row>
    <row r="28" spans="1:12" ht="14.25">
      <c r="A28" s="495" t="s">
        <v>85</v>
      </c>
      <c r="B28" s="495"/>
      <c r="C28" s="495"/>
      <c r="D28" s="187">
        <v>5499</v>
      </c>
      <c r="E28" s="188">
        <v>5810</v>
      </c>
      <c r="F28" s="189">
        <f t="shared" si="0"/>
        <v>311</v>
      </c>
      <c r="G28" s="190">
        <f t="shared" si="1"/>
        <v>1.0565557374068013</v>
      </c>
      <c r="H28" s="191">
        <v>5120</v>
      </c>
      <c r="I28" s="192"/>
      <c r="J28" s="193">
        <f t="shared" si="2"/>
        <v>5120</v>
      </c>
      <c r="K28" s="194">
        <f t="shared" si="3"/>
        <v>-690</v>
      </c>
      <c r="L28" s="195">
        <f t="shared" si="4"/>
        <v>0.8812392426850258</v>
      </c>
    </row>
    <row r="29" spans="1:12" ht="14.25">
      <c r="A29" s="441" t="s">
        <v>86</v>
      </c>
      <c r="B29" s="441"/>
      <c r="C29" s="441"/>
      <c r="D29" s="143">
        <v>3376</v>
      </c>
      <c r="E29" s="140">
        <v>3372</v>
      </c>
      <c r="F29" s="160">
        <f t="shared" si="0"/>
        <v>-4</v>
      </c>
      <c r="G29" s="161">
        <f t="shared" si="1"/>
        <v>0.9988151658767772</v>
      </c>
      <c r="H29" s="141">
        <v>3400</v>
      </c>
      <c r="I29" s="142"/>
      <c r="J29" s="174">
        <f t="shared" si="2"/>
        <v>3400</v>
      </c>
      <c r="K29" s="164">
        <f t="shared" si="3"/>
        <v>28</v>
      </c>
      <c r="L29" s="165">
        <f t="shared" si="4"/>
        <v>1.0083036773428233</v>
      </c>
    </row>
    <row r="30" spans="1:12" ht="14.25">
      <c r="A30" s="441" t="s">
        <v>87</v>
      </c>
      <c r="B30" s="441"/>
      <c r="C30" s="441"/>
      <c r="D30" s="143">
        <v>124</v>
      </c>
      <c r="E30" s="140">
        <v>101</v>
      </c>
      <c r="F30" s="160">
        <f t="shared" si="0"/>
        <v>-23</v>
      </c>
      <c r="G30" s="161">
        <f t="shared" si="1"/>
        <v>0.8145161290322581</v>
      </c>
      <c r="H30" s="141">
        <v>120</v>
      </c>
      <c r="I30" s="142"/>
      <c r="J30" s="174">
        <f t="shared" si="2"/>
        <v>120</v>
      </c>
      <c r="K30" s="164">
        <f t="shared" si="3"/>
        <v>19</v>
      </c>
      <c r="L30" s="165">
        <f t="shared" si="4"/>
        <v>1.188118811881188</v>
      </c>
    </row>
    <row r="31" spans="1:12" ht="14.25">
      <c r="A31" s="441" t="s">
        <v>88</v>
      </c>
      <c r="B31" s="441"/>
      <c r="C31" s="441"/>
      <c r="D31" s="143">
        <v>657</v>
      </c>
      <c r="E31" s="140">
        <v>895</v>
      </c>
      <c r="F31" s="160">
        <f t="shared" si="0"/>
        <v>238</v>
      </c>
      <c r="G31" s="161">
        <f t="shared" si="1"/>
        <v>1.3622526636225267</v>
      </c>
      <c r="H31" s="141">
        <v>200</v>
      </c>
      <c r="I31" s="142"/>
      <c r="J31" s="174">
        <f t="shared" si="2"/>
        <v>200</v>
      </c>
      <c r="K31" s="164">
        <f t="shared" si="3"/>
        <v>-695</v>
      </c>
      <c r="L31" s="165">
        <f t="shared" si="4"/>
        <v>0.22346368715083798</v>
      </c>
    </row>
    <row r="32" spans="1:12" ht="14.25">
      <c r="A32" s="441" t="s">
        <v>89</v>
      </c>
      <c r="B32" s="441"/>
      <c r="C32" s="441"/>
      <c r="D32" s="143">
        <v>992</v>
      </c>
      <c r="E32" s="140">
        <v>918</v>
      </c>
      <c r="F32" s="160">
        <f t="shared" si="0"/>
        <v>-74</v>
      </c>
      <c r="G32" s="161">
        <f t="shared" si="1"/>
        <v>0.9254032258064516</v>
      </c>
      <c r="H32" s="141">
        <v>1000</v>
      </c>
      <c r="I32" s="142"/>
      <c r="J32" s="174">
        <f t="shared" si="2"/>
        <v>1000</v>
      </c>
      <c r="K32" s="164">
        <f t="shared" si="3"/>
        <v>82</v>
      </c>
      <c r="L32" s="165">
        <f t="shared" si="4"/>
        <v>1.0893246187363834</v>
      </c>
    </row>
    <row r="33" spans="1:12" ht="14.25">
      <c r="A33" s="441" t="s">
        <v>90</v>
      </c>
      <c r="B33" s="441"/>
      <c r="C33" s="441"/>
      <c r="D33" s="143">
        <v>351</v>
      </c>
      <c r="E33" s="140">
        <v>524</v>
      </c>
      <c r="F33" s="160">
        <f t="shared" si="0"/>
        <v>173</v>
      </c>
      <c r="G33" s="161">
        <f t="shared" si="1"/>
        <v>1.4928774928774928</v>
      </c>
      <c r="H33" s="141">
        <v>400</v>
      </c>
      <c r="I33" s="142"/>
      <c r="J33" s="174">
        <f t="shared" si="2"/>
        <v>400</v>
      </c>
      <c r="K33" s="164">
        <f t="shared" si="3"/>
        <v>-124</v>
      </c>
      <c r="L33" s="165">
        <f t="shared" si="4"/>
        <v>0.7633587786259542</v>
      </c>
    </row>
    <row r="34" spans="1:12" ht="14.25">
      <c r="A34" s="441" t="s">
        <v>91</v>
      </c>
      <c r="B34" s="441"/>
      <c r="C34" s="441"/>
      <c r="D34" s="196">
        <v>3162</v>
      </c>
      <c r="E34" s="177">
        <v>2916</v>
      </c>
      <c r="F34" s="197">
        <f t="shared" si="0"/>
        <v>-246</v>
      </c>
      <c r="G34" s="198">
        <f t="shared" si="1"/>
        <v>0.9222011385199241</v>
      </c>
      <c r="H34" s="172">
        <v>3000</v>
      </c>
      <c r="I34" s="173"/>
      <c r="J34" s="174">
        <f t="shared" si="2"/>
        <v>3000</v>
      </c>
      <c r="K34" s="199">
        <f t="shared" si="3"/>
        <v>84</v>
      </c>
      <c r="L34" s="200">
        <f t="shared" si="4"/>
        <v>1.02880658436214</v>
      </c>
    </row>
    <row r="35" spans="1:12" ht="14.25">
      <c r="A35" s="441" t="s">
        <v>92</v>
      </c>
      <c r="B35" s="441"/>
      <c r="C35" s="441"/>
      <c r="D35" s="143">
        <v>3118</v>
      </c>
      <c r="E35" s="140">
        <v>2878</v>
      </c>
      <c r="F35" s="160">
        <f t="shared" si="0"/>
        <v>-240</v>
      </c>
      <c r="G35" s="161">
        <f t="shared" si="1"/>
        <v>0.9230275817831943</v>
      </c>
      <c r="H35" s="141">
        <v>2965</v>
      </c>
      <c r="I35" s="142"/>
      <c r="J35" s="174">
        <f t="shared" si="2"/>
        <v>2965</v>
      </c>
      <c r="K35" s="164">
        <f t="shared" si="3"/>
        <v>87</v>
      </c>
      <c r="L35" s="165">
        <f t="shared" si="4"/>
        <v>1.0302293259207784</v>
      </c>
    </row>
    <row r="36" spans="1:12" ht="14.25">
      <c r="A36" s="441" t="s">
        <v>93</v>
      </c>
      <c r="B36" s="441"/>
      <c r="C36" s="441"/>
      <c r="D36" s="143">
        <v>6</v>
      </c>
      <c r="E36" s="140">
        <v>5</v>
      </c>
      <c r="F36" s="160">
        <f t="shared" si="0"/>
        <v>-1</v>
      </c>
      <c r="G36" s="161">
        <f t="shared" si="1"/>
        <v>0.8333333333333334</v>
      </c>
      <c r="H36" s="141">
        <v>5</v>
      </c>
      <c r="I36" s="142"/>
      <c r="J36" s="174">
        <f t="shared" si="2"/>
        <v>5</v>
      </c>
      <c r="K36" s="164">
        <f t="shared" si="3"/>
        <v>0</v>
      </c>
      <c r="L36" s="165">
        <f t="shared" si="4"/>
        <v>1</v>
      </c>
    </row>
    <row r="37" spans="1:12" ht="14.25">
      <c r="A37" s="441" t="s">
        <v>94</v>
      </c>
      <c r="B37" s="441"/>
      <c r="C37" s="441"/>
      <c r="D37" s="143"/>
      <c r="E37" s="140"/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39</v>
      </c>
      <c r="E39" s="140">
        <v>33</v>
      </c>
      <c r="F39" s="160">
        <f t="shared" si="0"/>
        <v>-6</v>
      </c>
      <c r="G39" s="161">
        <f t="shared" si="1"/>
        <v>0.8461538461538461</v>
      </c>
      <c r="H39" s="141">
        <v>30</v>
      </c>
      <c r="I39" s="142"/>
      <c r="J39" s="174">
        <f t="shared" si="2"/>
        <v>30</v>
      </c>
      <c r="K39" s="164">
        <f t="shared" si="3"/>
        <v>-3</v>
      </c>
      <c r="L39" s="165">
        <f t="shared" si="4"/>
        <v>0.9090909090909091</v>
      </c>
    </row>
    <row r="40" spans="1:12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1856</v>
      </c>
      <c r="E41" s="140">
        <v>2718</v>
      </c>
      <c r="F41" s="160">
        <f t="shared" si="0"/>
        <v>862</v>
      </c>
      <c r="G41" s="161">
        <f t="shared" si="1"/>
        <v>1.4644396551724137</v>
      </c>
      <c r="H41" s="141">
        <v>2870</v>
      </c>
      <c r="I41" s="142"/>
      <c r="J41" s="174">
        <v>2870</v>
      </c>
      <c r="K41" s="164">
        <f t="shared" si="3"/>
        <v>152</v>
      </c>
      <c r="L41" s="165">
        <f t="shared" si="4"/>
        <v>1.0559234731420162</v>
      </c>
    </row>
    <row r="42" spans="1:12" ht="14.25">
      <c r="A42" s="441" t="s">
        <v>99</v>
      </c>
      <c r="B42" s="441"/>
      <c r="C42" s="441"/>
      <c r="D42" s="143">
        <v>74</v>
      </c>
      <c r="E42" s="140">
        <v>98</v>
      </c>
      <c r="F42" s="160">
        <f t="shared" si="0"/>
        <v>24</v>
      </c>
      <c r="G42" s="161">
        <f t="shared" si="1"/>
        <v>1.3243243243243243</v>
      </c>
      <c r="H42" s="141">
        <v>100</v>
      </c>
      <c r="I42" s="142"/>
      <c r="J42" s="174">
        <f t="shared" si="2"/>
        <v>100</v>
      </c>
      <c r="K42" s="164">
        <f t="shared" si="3"/>
        <v>2</v>
      </c>
      <c r="L42" s="165">
        <f t="shared" si="4"/>
        <v>1.0204081632653061</v>
      </c>
    </row>
    <row r="43" spans="1:12" ht="14.25">
      <c r="A43" s="441" t="s">
        <v>100</v>
      </c>
      <c r="B43" s="441"/>
      <c r="C43" s="441"/>
      <c r="D43" s="143">
        <v>5</v>
      </c>
      <c r="E43" s="140">
        <v>6</v>
      </c>
      <c r="F43" s="160">
        <f t="shared" si="0"/>
        <v>1</v>
      </c>
      <c r="G43" s="161">
        <f t="shared" si="1"/>
        <v>1.2</v>
      </c>
      <c r="H43" s="141">
        <v>5</v>
      </c>
      <c r="I43" s="142"/>
      <c r="J43" s="174">
        <f t="shared" si="2"/>
        <v>5</v>
      </c>
      <c r="K43" s="164">
        <f t="shared" si="3"/>
        <v>-1</v>
      </c>
      <c r="L43" s="165">
        <f t="shared" si="4"/>
        <v>0.8333333333333334</v>
      </c>
    </row>
    <row r="44" spans="1:12" ht="14.25">
      <c r="A44" s="441" t="s">
        <v>101</v>
      </c>
      <c r="B44" s="441"/>
      <c r="C44" s="441"/>
      <c r="D44" s="143">
        <v>939</v>
      </c>
      <c r="E44" s="140">
        <v>1160</v>
      </c>
      <c r="F44" s="160">
        <f t="shared" si="0"/>
        <v>221</v>
      </c>
      <c r="G44" s="161">
        <f t="shared" si="1"/>
        <v>1.235356762513312</v>
      </c>
      <c r="H44" s="141">
        <v>1200</v>
      </c>
      <c r="I44" s="142"/>
      <c r="J44" s="174">
        <f t="shared" si="2"/>
        <v>1200</v>
      </c>
      <c r="K44" s="164">
        <f t="shared" si="3"/>
        <v>40</v>
      </c>
      <c r="L44" s="165">
        <f t="shared" si="4"/>
        <v>1.0344827586206897</v>
      </c>
    </row>
    <row r="45" spans="1:15" ht="14.25">
      <c r="A45" s="441" t="s">
        <v>102</v>
      </c>
      <c r="B45" s="441"/>
      <c r="C45" s="441"/>
      <c r="D45" s="143">
        <v>103</v>
      </c>
      <c r="E45" s="140">
        <v>105</v>
      </c>
      <c r="F45" s="160">
        <f t="shared" si="0"/>
        <v>2</v>
      </c>
      <c r="G45" s="161">
        <f t="shared" si="1"/>
        <v>1.0194174757281553</v>
      </c>
      <c r="H45" s="141">
        <v>100</v>
      </c>
      <c r="I45" s="142"/>
      <c r="J45" s="174">
        <f t="shared" si="2"/>
        <v>100</v>
      </c>
      <c r="K45" s="164">
        <f t="shared" si="3"/>
        <v>-5</v>
      </c>
      <c r="L45" s="165">
        <f t="shared" si="4"/>
        <v>0.9523809523809523</v>
      </c>
      <c r="O45" s="147"/>
    </row>
    <row r="46" spans="1:12" ht="14.25">
      <c r="A46" s="441" t="s">
        <v>103</v>
      </c>
      <c r="B46" s="441"/>
      <c r="C46" s="441"/>
      <c r="D46" s="143"/>
      <c r="E46" s="140"/>
      <c r="F46" s="160">
        <f t="shared" si="0"/>
        <v>0</v>
      </c>
      <c r="G46" s="161"/>
      <c r="H46" s="141"/>
      <c r="I46" s="142"/>
      <c r="J46" s="174">
        <f t="shared" si="2"/>
        <v>0</v>
      </c>
      <c r="K46" s="164">
        <f t="shared" si="3"/>
        <v>0</v>
      </c>
      <c r="L46" s="165"/>
    </row>
    <row r="47" spans="1:12" ht="14.25">
      <c r="A47" s="441" t="s">
        <v>104</v>
      </c>
      <c r="B47" s="441"/>
      <c r="C47" s="441"/>
      <c r="D47" s="143">
        <v>837</v>
      </c>
      <c r="E47" s="140">
        <v>1055</v>
      </c>
      <c r="F47" s="160">
        <f t="shared" si="0"/>
        <v>218</v>
      </c>
      <c r="G47" s="161">
        <f t="shared" si="1"/>
        <v>1.2604540023894863</v>
      </c>
      <c r="H47" s="141">
        <v>1100</v>
      </c>
      <c r="I47" s="142"/>
      <c r="J47" s="174">
        <f t="shared" si="2"/>
        <v>1100</v>
      </c>
      <c r="K47" s="164">
        <f t="shared" si="3"/>
        <v>45</v>
      </c>
      <c r="L47" s="165">
        <f t="shared" si="4"/>
        <v>1.042654028436019</v>
      </c>
    </row>
    <row r="48" spans="1:12" ht="14.25">
      <c r="A48" s="441" t="s">
        <v>105</v>
      </c>
      <c r="B48" s="441"/>
      <c r="C48" s="441"/>
      <c r="D48" s="196">
        <v>25018</v>
      </c>
      <c r="E48" s="177">
        <v>25285</v>
      </c>
      <c r="F48" s="197">
        <f t="shared" si="0"/>
        <v>267</v>
      </c>
      <c r="G48" s="198">
        <f t="shared" si="1"/>
        <v>1.0106723159325286</v>
      </c>
      <c r="H48" s="172">
        <v>25358</v>
      </c>
      <c r="I48" s="173"/>
      <c r="J48" s="174">
        <f t="shared" si="2"/>
        <v>25358</v>
      </c>
      <c r="K48" s="199">
        <f t="shared" si="3"/>
        <v>73</v>
      </c>
      <c r="L48" s="200">
        <f t="shared" si="4"/>
        <v>1.0028870872058533</v>
      </c>
    </row>
    <row r="49" spans="1:12" ht="14.25">
      <c r="A49" s="441" t="s">
        <v>106</v>
      </c>
      <c r="B49" s="441"/>
      <c r="C49" s="441"/>
      <c r="D49" s="143">
        <v>18522</v>
      </c>
      <c r="E49" s="140">
        <v>18497</v>
      </c>
      <c r="F49" s="160">
        <f t="shared" si="0"/>
        <v>-25</v>
      </c>
      <c r="G49" s="161">
        <f t="shared" si="1"/>
        <v>0.9986502537522945</v>
      </c>
      <c r="H49" s="141">
        <v>18558</v>
      </c>
      <c r="I49" s="142"/>
      <c r="J49" s="174">
        <f t="shared" si="2"/>
        <v>18558</v>
      </c>
      <c r="K49" s="164">
        <f t="shared" si="3"/>
        <v>61</v>
      </c>
      <c r="L49" s="165">
        <f t="shared" si="4"/>
        <v>1.003297832080878</v>
      </c>
    </row>
    <row r="50" spans="1:12" ht="14.25">
      <c r="A50" s="441" t="s">
        <v>107</v>
      </c>
      <c r="B50" s="441"/>
      <c r="C50" s="441"/>
      <c r="D50" s="143">
        <v>18393</v>
      </c>
      <c r="E50" s="140">
        <v>18456</v>
      </c>
      <c r="F50" s="160">
        <f t="shared" si="0"/>
        <v>63</v>
      </c>
      <c r="G50" s="161">
        <f t="shared" si="1"/>
        <v>1.0034252161148263</v>
      </c>
      <c r="H50" s="141">
        <v>18458</v>
      </c>
      <c r="I50" s="142"/>
      <c r="J50" s="174">
        <f t="shared" si="2"/>
        <v>18458</v>
      </c>
      <c r="K50" s="164">
        <f t="shared" si="3"/>
        <v>2</v>
      </c>
      <c r="L50" s="165">
        <f t="shared" si="4"/>
        <v>1.0001083658430863</v>
      </c>
    </row>
    <row r="51" spans="1:12" ht="14.25">
      <c r="A51" s="441" t="s">
        <v>108</v>
      </c>
      <c r="B51" s="441"/>
      <c r="C51" s="441"/>
      <c r="D51" s="143">
        <v>52</v>
      </c>
      <c r="E51" s="140">
        <v>41</v>
      </c>
      <c r="F51" s="160">
        <f t="shared" si="0"/>
        <v>-11</v>
      </c>
      <c r="G51" s="161">
        <f t="shared" si="1"/>
        <v>0.7884615384615384</v>
      </c>
      <c r="H51" s="141">
        <v>100</v>
      </c>
      <c r="I51" s="142"/>
      <c r="J51" s="174">
        <f t="shared" si="2"/>
        <v>100</v>
      </c>
      <c r="K51" s="164">
        <f t="shared" si="3"/>
        <v>59</v>
      </c>
      <c r="L51" s="165">
        <f t="shared" si="4"/>
        <v>2.4390243902439024</v>
      </c>
    </row>
    <row r="52" spans="1:12" ht="14.25">
      <c r="A52" s="441" t="s">
        <v>109</v>
      </c>
      <c r="B52" s="441"/>
      <c r="C52" s="441"/>
      <c r="D52" s="143">
        <v>6497</v>
      </c>
      <c r="E52" s="140">
        <v>6788</v>
      </c>
      <c r="F52" s="160">
        <f t="shared" si="0"/>
        <v>291</v>
      </c>
      <c r="G52" s="161">
        <f t="shared" si="1"/>
        <v>1.0447899030321688</v>
      </c>
      <c r="H52" s="141">
        <v>6800</v>
      </c>
      <c r="I52" s="142"/>
      <c r="J52" s="174">
        <f t="shared" si="2"/>
        <v>6800</v>
      </c>
      <c r="K52" s="164">
        <f t="shared" si="3"/>
        <v>12</v>
      </c>
      <c r="L52" s="165">
        <f t="shared" si="4"/>
        <v>1.0017678255745432</v>
      </c>
    </row>
    <row r="53" spans="1:12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/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>
        <v>2</v>
      </c>
      <c r="E54" s="140">
        <v>1</v>
      </c>
      <c r="F54" s="160">
        <f t="shared" si="0"/>
        <v>-1</v>
      </c>
      <c r="G54" s="161">
        <f t="shared" si="1"/>
        <v>0.5</v>
      </c>
      <c r="H54" s="141">
        <v>2</v>
      </c>
      <c r="I54" s="142"/>
      <c r="J54" s="174">
        <f t="shared" si="2"/>
        <v>2</v>
      </c>
      <c r="K54" s="164">
        <f t="shared" si="3"/>
        <v>1</v>
      </c>
      <c r="L54" s="165">
        <f t="shared" si="4"/>
        <v>2</v>
      </c>
    </row>
    <row r="55" spans="1:12" ht="14.25">
      <c r="A55" s="441" t="s">
        <v>112</v>
      </c>
      <c r="B55" s="441"/>
      <c r="C55" s="441"/>
      <c r="D55" s="143">
        <v>287</v>
      </c>
      <c r="E55" s="140">
        <v>209</v>
      </c>
      <c r="F55" s="160">
        <f t="shared" si="0"/>
        <v>-78</v>
      </c>
      <c r="G55" s="161">
        <f t="shared" si="1"/>
        <v>0.7282229965156795</v>
      </c>
      <c r="H55" s="141">
        <v>250</v>
      </c>
      <c r="I55" s="142"/>
      <c r="J55" s="174">
        <f t="shared" si="2"/>
        <v>250</v>
      </c>
      <c r="K55" s="164">
        <f t="shared" si="3"/>
        <v>41</v>
      </c>
      <c r="L55" s="165">
        <f t="shared" si="4"/>
        <v>1.1961722488038278</v>
      </c>
    </row>
    <row r="56" spans="1:12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>
        <v>0</v>
      </c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1034</v>
      </c>
      <c r="E57" s="140">
        <v>1051</v>
      </c>
      <c r="F57" s="160">
        <f t="shared" si="0"/>
        <v>17</v>
      </c>
      <c r="G57" s="161">
        <f t="shared" si="1"/>
        <v>1.016441005802708</v>
      </c>
      <c r="H57" s="141">
        <v>1144</v>
      </c>
      <c r="I57" s="142"/>
      <c r="J57" s="174">
        <f t="shared" si="2"/>
        <v>1144</v>
      </c>
      <c r="K57" s="164">
        <f t="shared" si="3"/>
        <v>93</v>
      </c>
      <c r="L57" s="165">
        <f t="shared" si="4"/>
        <v>1.08848715509039</v>
      </c>
    </row>
    <row r="58" spans="1:12" ht="14.25">
      <c r="A58" s="441" t="s">
        <v>115</v>
      </c>
      <c r="B58" s="441"/>
      <c r="C58" s="441"/>
      <c r="D58" s="143"/>
      <c r="E58" s="140"/>
      <c r="F58" s="160">
        <f t="shared" si="0"/>
        <v>0</v>
      </c>
      <c r="G58" s="161"/>
      <c r="H58" s="141">
        <v>0</v>
      </c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/>
      <c r="E59" s="148"/>
      <c r="F59" s="162">
        <f t="shared" si="0"/>
        <v>0</v>
      </c>
      <c r="G59" s="163"/>
      <c r="H59" s="145">
        <v>0</v>
      </c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37875</v>
      </c>
      <c r="E60" s="180">
        <v>39278</v>
      </c>
      <c r="F60" s="181">
        <f t="shared" si="0"/>
        <v>1403</v>
      </c>
      <c r="G60" s="182">
        <f t="shared" si="1"/>
        <v>1.037042904290429</v>
      </c>
      <c r="H60" s="183">
        <v>39049</v>
      </c>
      <c r="I60" s="184"/>
      <c r="J60" s="185">
        <f t="shared" si="2"/>
        <v>39049</v>
      </c>
      <c r="K60" s="183"/>
      <c r="L60" s="186">
        <f t="shared" si="4"/>
        <v>0.9941697642446153</v>
      </c>
    </row>
    <row r="61" spans="1:14" s="6" customFormat="1" ht="15">
      <c r="A61" s="447" t="s">
        <v>17</v>
      </c>
      <c r="B61" s="447"/>
      <c r="C61" s="447"/>
      <c r="D61" s="96">
        <v>40</v>
      </c>
      <c r="E61" s="96">
        <v>161</v>
      </c>
      <c r="F61" s="96"/>
      <c r="G61" s="96"/>
      <c r="H61" s="96"/>
      <c r="I61" s="96"/>
      <c r="J61" s="96">
        <v>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90"/>
      <c r="F66" s="490"/>
      <c r="G66" s="490"/>
      <c r="H66" s="490"/>
      <c r="I66" s="466"/>
      <c r="J66" s="11"/>
      <c r="K66" s="11"/>
      <c r="L66" s="11"/>
      <c r="M66" s="11"/>
      <c r="N66" s="11"/>
    </row>
    <row r="67" spans="1:14" s="6" customFormat="1" ht="15.75" thickBot="1">
      <c r="A67" s="382" t="s">
        <v>254</v>
      </c>
      <c r="B67" s="382"/>
      <c r="C67" s="13">
        <v>90</v>
      </c>
      <c r="D67" s="14"/>
      <c r="E67" s="491" t="s">
        <v>321</v>
      </c>
      <c r="F67" s="492"/>
      <c r="G67" s="492"/>
      <c r="H67" s="492"/>
      <c r="I67" s="255">
        <v>400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262</v>
      </c>
      <c r="B68" s="382"/>
      <c r="C68" s="13">
        <v>280</v>
      </c>
      <c r="D68" s="14"/>
      <c r="E68" s="436" t="s">
        <v>256</v>
      </c>
      <c r="F68" s="437"/>
      <c r="G68" s="437"/>
      <c r="H68" s="437"/>
      <c r="I68" s="13">
        <v>100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255</v>
      </c>
      <c r="B69" s="382"/>
      <c r="C69" s="13">
        <v>160</v>
      </c>
      <c r="D69" s="14"/>
      <c r="E69" s="436" t="s">
        <v>257</v>
      </c>
      <c r="F69" s="437"/>
      <c r="G69" s="437"/>
      <c r="H69" s="437"/>
      <c r="I69" s="13">
        <v>340</v>
      </c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321</v>
      </c>
      <c r="B70" s="382"/>
      <c r="C70" s="13">
        <v>400</v>
      </c>
      <c r="D70" s="14"/>
      <c r="E70" s="436" t="s">
        <v>258</v>
      </c>
      <c r="F70" s="437"/>
      <c r="G70" s="437"/>
      <c r="H70" s="437"/>
      <c r="I70" s="13">
        <v>300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 t="s">
        <v>256</v>
      </c>
      <c r="B71" s="384"/>
      <c r="C71" s="15">
        <v>100</v>
      </c>
      <c r="D71" s="14"/>
      <c r="E71" s="436" t="s">
        <v>259</v>
      </c>
      <c r="F71" s="437"/>
      <c r="G71" s="437"/>
      <c r="H71" s="437"/>
      <c r="I71" s="13">
        <v>110</v>
      </c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 t="s">
        <v>259</v>
      </c>
      <c r="B72" s="384"/>
      <c r="C72" s="13">
        <v>110</v>
      </c>
      <c r="D72" s="14"/>
      <c r="E72" s="436" t="s">
        <v>260</v>
      </c>
      <c r="F72" s="437"/>
      <c r="G72" s="437"/>
      <c r="H72" s="437"/>
      <c r="I72" s="13">
        <v>200</v>
      </c>
      <c r="J72" s="11"/>
      <c r="K72" s="11"/>
      <c r="L72" s="11"/>
      <c r="M72" s="11"/>
      <c r="N72" s="11"/>
    </row>
    <row r="73" spans="1:14" s="6" customFormat="1" ht="15">
      <c r="A73" s="383" t="s">
        <v>257</v>
      </c>
      <c r="B73" s="384"/>
      <c r="C73" s="13">
        <v>340</v>
      </c>
      <c r="D73" s="14"/>
      <c r="E73" s="436" t="s">
        <v>261</v>
      </c>
      <c r="F73" s="437"/>
      <c r="G73" s="437"/>
      <c r="H73" s="437"/>
      <c r="I73" s="13">
        <v>240</v>
      </c>
      <c r="J73" s="11"/>
      <c r="K73" s="11"/>
      <c r="L73" s="11"/>
      <c r="M73" s="11"/>
      <c r="N73" s="11"/>
    </row>
    <row r="74" spans="1:14" s="6" customFormat="1" ht="15">
      <c r="A74" s="383" t="s">
        <v>177</v>
      </c>
      <c r="B74" s="384"/>
      <c r="C74" s="33">
        <v>408</v>
      </c>
      <c r="D74" s="14"/>
      <c r="E74" s="436" t="s">
        <v>262</v>
      </c>
      <c r="F74" s="437"/>
      <c r="G74" s="437"/>
      <c r="H74" s="437"/>
      <c r="I74" s="13">
        <v>280</v>
      </c>
      <c r="J74" s="11"/>
      <c r="K74" s="11"/>
      <c r="L74" s="11"/>
      <c r="M74" s="11"/>
      <c r="N74" s="11"/>
    </row>
    <row r="75" spans="1:14" s="6" customFormat="1" ht="15">
      <c r="A75" s="383"/>
      <c r="B75" s="384"/>
      <c r="C75" s="253"/>
      <c r="D75" s="14"/>
      <c r="E75" s="436" t="s">
        <v>263</v>
      </c>
      <c r="F75" s="437"/>
      <c r="G75" s="437"/>
      <c r="H75" s="437"/>
      <c r="I75" s="13">
        <v>450</v>
      </c>
      <c r="J75" s="11"/>
      <c r="K75" s="11"/>
      <c r="L75" s="11"/>
      <c r="M75" s="11"/>
      <c r="N75" s="11"/>
    </row>
    <row r="76" spans="1:14" s="6" customFormat="1" ht="15.75" thickBot="1">
      <c r="A76" s="383"/>
      <c r="B76" s="384"/>
      <c r="C76" s="253"/>
      <c r="D76" s="14"/>
      <c r="E76" s="507" t="s">
        <v>264</v>
      </c>
      <c r="F76" s="508"/>
      <c r="G76" s="508"/>
      <c r="H76" s="508"/>
      <c r="I76" s="256">
        <v>450</v>
      </c>
      <c r="J76" s="11"/>
      <c r="K76" s="11"/>
      <c r="L76" s="11"/>
      <c r="M76" s="11"/>
      <c r="N76" s="11"/>
    </row>
    <row r="77" spans="1:14" s="6" customFormat="1" ht="15.75" thickBot="1">
      <c r="A77" s="405" t="s">
        <v>12</v>
      </c>
      <c r="B77" s="406"/>
      <c r="C77" s="35">
        <f>SUM(C67:C76)</f>
        <v>1888</v>
      </c>
      <c r="D77" s="36"/>
      <c r="E77" s="438" t="s">
        <v>12</v>
      </c>
      <c r="F77" s="438"/>
      <c r="G77" s="438"/>
      <c r="H77" s="438"/>
      <c r="I77" s="254">
        <f>SUM(I67:I76)</f>
        <v>2870</v>
      </c>
      <c r="J77" s="11"/>
      <c r="K77" s="11"/>
      <c r="L77" s="11"/>
      <c r="M77" s="11"/>
      <c r="N77" s="38"/>
    </row>
    <row r="78" spans="1:5" s="10" customFormat="1" ht="13.5" customHeight="1">
      <c r="A78" s="36"/>
      <c r="B78" s="39"/>
      <c r="C78" s="39"/>
      <c r="D78" s="39"/>
      <c r="E78" s="39"/>
    </row>
    <row r="79" spans="1:12" s="10" customFormat="1" ht="15.75" thickBot="1">
      <c r="A79" s="5" t="s">
        <v>152</v>
      </c>
      <c r="B79" s="40"/>
      <c r="C79" s="40"/>
      <c r="D79" s="40"/>
      <c r="E79" s="41"/>
      <c r="F79" s="42"/>
      <c r="G79" s="42"/>
      <c r="H79" s="14"/>
      <c r="I79" s="40"/>
      <c r="J79" s="40" t="s">
        <v>46</v>
      </c>
      <c r="K79" s="40"/>
      <c r="L79" s="41"/>
    </row>
    <row r="80" spans="1:11" s="10" customFormat="1" ht="15.75" thickBot="1">
      <c r="A80" s="427" t="s">
        <v>31</v>
      </c>
      <c r="B80" s="428" t="s">
        <v>153</v>
      </c>
      <c r="C80" s="412" t="s">
        <v>154</v>
      </c>
      <c r="D80" s="412"/>
      <c r="E80" s="412"/>
      <c r="F80" s="412"/>
      <c r="G80" s="412"/>
      <c r="H80" s="412"/>
      <c r="I80" s="412"/>
      <c r="J80" s="413" t="s">
        <v>155</v>
      </c>
      <c r="K80" s="6"/>
    </row>
    <row r="81" spans="1:11" s="10" customFormat="1" ht="12.75" customHeight="1" thickBot="1">
      <c r="A81" s="427"/>
      <c r="B81" s="428"/>
      <c r="C81" s="414" t="s">
        <v>32</v>
      </c>
      <c r="D81" s="415" t="s">
        <v>33</v>
      </c>
      <c r="E81" s="415"/>
      <c r="F81" s="415"/>
      <c r="G81" s="415"/>
      <c r="H81" s="415"/>
      <c r="I81" s="415"/>
      <c r="J81" s="413"/>
      <c r="K81" s="6"/>
    </row>
    <row r="82" spans="1:11" s="10" customFormat="1" ht="15.75" thickBot="1">
      <c r="A82" s="427"/>
      <c r="B82" s="428"/>
      <c r="C82" s="414"/>
      <c r="D82" s="43">
        <v>1</v>
      </c>
      <c r="E82" s="43">
        <v>2</v>
      </c>
      <c r="F82" s="43">
        <v>3</v>
      </c>
      <c r="G82" s="43">
        <v>4</v>
      </c>
      <c r="H82" s="43">
        <v>5</v>
      </c>
      <c r="I82" s="44">
        <v>6</v>
      </c>
      <c r="J82" s="413"/>
      <c r="K82" s="6"/>
    </row>
    <row r="83" spans="1:11" s="10" customFormat="1" ht="15.75" thickBot="1">
      <c r="A83" s="45">
        <v>53400</v>
      </c>
      <c r="B83" s="46">
        <v>14942</v>
      </c>
      <c r="C83" s="47">
        <v>1144</v>
      </c>
      <c r="D83" s="48">
        <v>164</v>
      </c>
      <c r="E83" s="48">
        <v>521</v>
      </c>
      <c r="F83" s="48">
        <v>0</v>
      </c>
      <c r="G83" s="48">
        <v>4</v>
      </c>
      <c r="H83" s="49">
        <v>455</v>
      </c>
      <c r="I83" s="50"/>
      <c r="J83" s="51">
        <v>37315</v>
      </c>
      <c r="K83" s="6"/>
    </row>
    <row r="84" spans="1:5" s="10" customFormat="1" ht="13.5" customHeight="1">
      <c r="A84" s="36"/>
      <c r="B84" s="39"/>
      <c r="C84" s="39"/>
      <c r="D84" s="39"/>
      <c r="E84" s="39"/>
    </row>
    <row r="85" spans="1:12" s="10" customFormat="1" ht="15.75" thickBot="1">
      <c r="A85" s="5" t="s">
        <v>63</v>
      </c>
      <c r="B85" s="40"/>
      <c r="C85" s="40"/>
      <c r="D85" s="40"/>
      <c r="E85" s="41"/>
      <c r="F85" s="52"/>
      <c r="G85" s="42"/>
      <c r="H85" s="14"/>
      <c r="I85" s="40"/>
      <c r="J85" s="40"/>
      <c r="K85" s="40"/>
      <c r="L85" s="40" t="s">
        <v>46</v>
      </c>
    </row>
    <row r="86" spans="1:12" s="10" customFormat="1" ht="15.75" thickBot="1">
      <c r="A86" s="416" t="s">
        <v>43</v>
      </c>
      <c r="B86" s="430" t="s">
        <v>156</v>
      </c>
      <c r="C86" s="431" t="s">
        <v>305</v>
      </c>
      <c r="D86" s="431"/>
      <c r="E86" s="431"/>
      <c r="F86" s="431"/>
      <c r="G86" s="432" t="s">
        <v>157</v>
      </c>
      <c r="H86" s="433" t="s">
        <v>34</v>
      </c>
      <c r="I86" s="429" t="s">
        <v>159</v>
      </c>
      <c r="J86" s="429"/>
      <c r="K86" s="429"/>
      <c r="L86" s="429"/>
    </row>
    <row r="87" spans="1:12" s="10" customFormat="1" ht="30.75" thickBot="1">
      <c r="A87" s="416"/>
      <c r="B87" s="430"/>
      <c r="C87" s="53" t="s">
        <v>120</v>
      </c>
      <c r="D87" s="54" t="s">
        <v>35</v>
      </c>
      <c r="E87" s="54" t="s">
        <v>36</v>
      </c>
      <c r="F87" s="55" t="s">
        <v>121</v>
      </c>
      <c r="G87" s="432"/>
      <c r="H87" s="433"/>
      <c r="I87" s="56" t="s">
        <v>158</v>
      </c>
      <c r="J87" s="57" t="s">
        <v>35</v>
      </c>
      <c r="K87" s="57" t="s">
        <v>36</v>
      </c>
      <c r="L87" s="58" t="s">
        <v>160</v>
      </c>
    </row>
    <row r="88" spans="1:12" s="10" customFormat="1" ht="15">
      <c r="A88" s="59" t="s">
        <v>37</v>
      </c>
      <c r="B88" s="60">
        <v>3929.57</v>
      </c>
      <c r="C88" s="61" t="s">
        <v>38</v>
      </c>
      <c r="D88" s="62" t="s">
        <v>38</v>
      </c>
      <c r="E88" s="62" t="s">
        <v>38</v>
      </c>
      <c r="F88" s="63"/>
      <c r="G88" s="64">
        <v>4615.97</v>
      </c>
      <c r="H88" s="65" t="s">
        <v>38</v>
      </c>
      <c r="I88" s="66" t="s">
        <v>38</v>
      </c>
      <c r="J88" s="67" t="s">
        <v>38</v>
      </c>
      <c r="K88" s="67" t="s">
        <v>38</v>
      </c>
      <c r="L88" s="68" t="s">
        <v>38</v>
      </c>
    </row>
    <row r="89" spans="1:13" s="10" customFormat="1" ht="15">
      <c r="A89" s="69" t="s">
        <v>39</v>
      </c>
      <c r="B89" s="70">
        <v>136</v>
      </c>
      <c r="C89" s="71">
        <v>136</v>
      </c>
      <c r="D89" s="72">
        <v>0</v>
      </c>
      <c r="E89" s="72">
        <v>0</v>
      </c>
      <c r="F89" s="73">
        <f>C89+D89-E89</f>
        <v>136</v>
      </c>
      <c r="G89" s="74">
        <v>136</v>
      </c>
      <c r="H89" s="75">
        <f>+G89-F89</f>
        <v>0</v>
      </c>
      <c r="I89" s="71">
        <v>136</v>
      </c>
      <c r="J89" s="72">
        <v>0</v>
      </c>
      <c r="K89" s="72">
        <v>0</v>
      </c>
      <c r="L89" s="73">
        <f>I89+J89-K89</f>
        <v>136</v>
      </c>
      <c r="M89" s="76"/>
    </row>
    <row r="90" spans="1:13" s="10" customFormat="1" ht="15">
      <c r="A90" s="69" t="s">
        <v>40</v>
      </c>
      <c r="B90" s="70">
        <f>822.77+198.7</f>
        <v>1021.47</v>
      </c>
      <c r="C90" s="71">
        <f>467+555</f>
        <v>1022</v>
      </c>
      <c r="D90" s="72">
        <f>40+56</f>
        <v>96</v>
      </c>
      <c r="E90" s="72">
        <f>16</f>
        <v>16</v>
      </c>
      <c r="F90" s="73">
        <f>C90+D90-E90</f>
        <v>1102</v>
      </c>
      <c r="G90" s="74">
        <f>873.86+227.78</f>
        <v>1101.64</v>
      </c>
      <c r="H90" s="75">
        <f>+G90-F90</f>
        <v>-0.35999999999989996</v>
      </c>
      <c r="I90" s="71">
        <v>1102</v>
      </c>
      <c r="J90" s="72">
        <v>221</v>
      </c>
      <c r="K90" s="72">
        <f>635+20+111</f>
        <v>766</v>
      </c>
      <c r="L90" s="73">
        <f>I90+J90-K90</f>
        <v>557</v>
      </c>
      <c r="M90" s="76"/>
    </row>
    <row r="91" spans="1:13" s="10" customFormat="1" ht="15">
      <c r="A91" s="69" t="s">
        <v>44</v>
      </c>
      <c r="B91" s="70">
        <v>590.34</v>
      </c>
      <c r="C91" s="71">
        <v>590</v>
      </c>
      <c r="D91" s="72">
        <v>1053</v>
      </c>
      <c r="E91" s="72">
        <f>502+396</f>
        <v>898</v>
      </c>
      <c r="F91" s="73">
        <f>C91+D91-E91</f>
        <v>745</v>
      </c>
      <c r="G91" s="74">
        <v>745.33</v>
      </c>
      <c r="H91" s="75">
        <f>+G91-F91</f>
        <v>0.3300000000000409</v>
      </c>
      <c r="I91" s="77">
        <v>745</v>
      </c>
      <c r="J91" s="78">
        <v>1144</v>
      </c>
      <c r="K91" s="78">
        <v>1888</v>
      </c>
      <c r="L91" s="73">
        <f>I91+J91-K91</f>
        <v>1</v>
      </c>
      <c r="M91" s="76"/>
    </row>
    <row r="92" spans="1:13" s="10" customFormat="1" ht="15">
      <c r="A92" s="69" t="s">
        <v>41</v>
      </c>
      <c r="B92" s="70">
        <v>2181.77</v>
      </c>
      <c r="C92" s="79" t="s">
        <v>38</v>
      </c>
      <c r="D92" s="62" t="s">
        <v>38</v>
      </c>
      <c r="E92" s="80" t="s">
        <v>38</v>
      </c>
      <c r="F92" s="73"/>
      <c r="G92" s="74">
        <v>2633</v>
      </c>
      <c r="H92" s="81" t="s">
        <v>38</v>
      </c>
      <c r="I92" s="79" t="s">
        <v>38</v>
      </c>
      <c r="J92" s="62" t="s">
        <v>38</v>
      </c>
      <c r="K92" s="80" t="s">
        <v>38</v>
      </c>
      <c r="L92" s="73"/>
      <c r="M92" s="76"/>
    </row>
    <row r="93" spans="1:13" s="10" customFormat="1" ht="15.75" thickBot="1">
      <c r="A93" s="82" t="s">
        <v>42</v>
      </c>
      <c r="B93" s="83">
        <v>207.72</v>
      </c>
      <c r="C93" s="84">
        <v>205</v>
      </c>
      <c r="D93" s="85">
        <v>369</v>
      </c>
      <c r="E93" s="112">
        <v>419</v>
      </c>
      <c r="F93" s="106">
        <f>C93+D93-E93</f>
        <v>155</v>
      </c>
      <c r="G93" s="109">
        <v>165.12</v>
      </c>
      <c r="H93" s="110">
        <f>+G93-F93</f>
        <v>10.120000000000005</v>
      </c>
      <c r="I93" s="111">
        <v>155</v>
      </c>
      <c r="J93" s="112">
        <v>166</v>
      </c>
      <c r="K93" s="112">
        <v>321</v>
      </c>
      <c r="L93" s="106">
        <f>I93+J93-K93</f>
        <v>0</v>
      </c>
      <c r="M93" s="76"/>
    </row>
    <row r="96" spans="1:11" s="6" customFormat="1" ht="15.75" thickBot="1">
      <c r="A96" s="5" t="s">
        <v>146</v>
      </c>
      <c r="D96" s="114"/>
      <c r="E96" s="150"/>
      <c r="K96" s="40" t="s">
        <v>46</v>
      </c>
    </row>
    <row r="97" spans="1:11" s="6" customFormat="1" ht="15">
      <c r="A97" s="410" t="s">
        <v>26</v>
      </c>
      <c r="B97" s="410"/>
      <c r="C97" s="410"/>
      <c r="D97" s="151"/>
      <c r="E97" s="410" t="s">
        <v>27</v>
      </c>
      <c r="F97" s="410"/>
      <c r="G97" s="410"/>
      <c r="I97" s="410" t="s">
        <v>23</v>
      </c>
      <c r="J97" s="410"/>
      <c r="K97" s="410"/>
    </row>
    <row r="98" spans="1:11" s="6" customFormat="1" ht="15.75" thickBot="1">
      <c r="A98" s="86" t="s">
        <v>28</v>
      </c>
      <c r="B98" s="87" t="s">
        <v>29</v>
      </c>
      <c r="C98" s="88" t="s">
        <v>25</v>
      </c>
      <c r="D98" s="151"/>
      <c r="E98" s="152"/>
      <c r="F98" s="417" t="s">
        <v>30</v>
      </c>
      <c r="G98" s="417"/>
      <c r="I98" s="86"/>
      <c r="J98" s="87" t="s">
        <v>24</v>
      </c>
      <c r="K98" s="88" t="s">
        <v>25</v>
      </c>
    </row>
    <row r="99" spans="1:11" s="6" customFormat="1" ht="15">
      <c r="A99" s="89">
        <v>2010</v>
      </c>
      <c r="B99" s="90">
        <v>84</v>
      </c>
      <c r="C99" s="91">
        <v>84.4</v>
      </c>
      <c r="D99" s="149"/>
      <c r="E99" s="89">
        <v>2010</v>
      </c>
      <c r="F99" s="418">
        <v>130</v>
      </c>
      <c r="G99" s="418"/>
      <c r="I99" s="89">
        <v>2010</v>
      </c>
      <c r="J99" s="90">
        <v>18458</v>
      </c>
      <c r="K99" s="91">
        <v>18456</v>
      </c>
    </row>
    <row r="100" spans="1:11" s="6" customFormat="1" ht="15.75" thickBot="1">
      <c r="A100" s="92">
        <v>2011</v>
      </c>
      <c r="B100" s="93">
        <v>84</v>
      </c>
      <c r="C100" s="108" t="s">
        <v>62</v>
      </c>
      <c r="D100" s="149"/>
      <c r="E100" s="92">
        <v>2011</v>
      </c>
      <c r="F100" s="419">
        <v>130</v>
      </c>
      <c r="G100" s="419"/>
      <c r="I100" s="92">
        <v>2011</v>
      </c>
      <c r="J100" s="93">
        <v>18458</v>
      </c>
      <c r="K100" s="108" t="s">
        <v>62</v>
      </c>
    </row>
  </sheetData>
  <mergeCells count="108">
    <mergeCell ref="F98:G98"/>
    <mergeCell ref="F99:G99"/>
    <mergeCell ref="F100:G100"/>
    <mergeCell ref="A65:B66"/>
    <mergeCell ref="C65:C66"/>
    <mergeCell ref="E65:H66"/>
    <mergeCell ref="A67:B67"/>
    <mergeCell ref="E67:H67"/>
    <mergeCell ref="A68:B68"/>
    <mergeCell ref="E68:H68"/>
    <mergeCell ref="A97:C97"/>
    <mergeCell ref="E97:G97"/>
    <mergeCell ref="I97:K97"/>
    <mergeCell ref="I65:I66"/>
    <mergeCell ref="A69:B69"/>
    <mergeCell ref="E69:H69"/>
    <mergeCell ref="A70:B70"/>
    <mergeCell ref="E70:H70"/>
    <mergeCell ref="A71:B71"/>
    <mergeCell ref="A73:B73"/>
    <mergeCell ref="A44:C44"/>
    <mergeCell ref="A45:C45"/>
    <mergeCell ref="A46:C46"/>
    <mergeCell ref="A47:C47"/>
    <mergeCell ref="A40:C40"/>
    <mergeCell ref="A41:C41"/>
    <mergeCell ref="A42:C42"/>
    <mergeCell ref="A43:C43"/>
    <mergeCell ref="A37:C37"/>
    <mergeCell ref="A38:C38"/>
    <mergeCell ref="A39:C39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E4:E6"/>
    <mergeCell ref="F4:G4"/>
    <mergeCell ref="H4:J4"/>
    <mergeCell ref="K4:L4"/>
    <mergeCell ref="A10:C10"/>
    <mergeCell ref="A11:C11"/>
    <mergeCell ref="A12:C12"/>
    <mergeCell ref="A13:C13"/>
    <mergeCell ref="A8:C8"/>
    <mergeCell ref="A9:C9"/>
    <mergeCell ref="A4:C6"/>
    <mergeCell ref="D4:D6"/>
    <mergeCell ref="A7:C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E71:H71"/>
    <mergeCell ref="A72:B72"/>
    <mergeCell ref="E72:H72"/>
    <mergeCell ref="A62:C62"/>
    <mergeCell ref="E73:H73"/>
    <mergeCell ref="A74:B74"/>
    <mergeCell ref="E74:H74"/>
    <mergeCell ref="E77:H77"/>
    <mergeCell ref="A75:B75"/>
    <mergeCell ref="A76:B76"/>
    <mergeCell ref="E75:H75"/>
    <mergeCell ref="E76:H76"/>
    <mergeCell ref="A80:A82"/>
    <mergeCell ref="B80:B82"/>
    <mergeCell ref="C80:I80"/>
    <mergeCell ref="C81:C82"/>
    <mergeCell ref="D81:I81"/>
    <mergeCell ref="A3:G3"/>
    <mergeCell ref="A2:N2"/>
    <mergeCell ref="J80:J82"/>
    <mergeCell ref="A86:A87"/>
    <mergeCell ref="B86:B87"/>
    <mergeCell ref="C86:F86"/>
    <mergeCell ref="G86:G87"/>
    <mergeCell ref="H86:H87"/>
    <mergeCell ref="I86:L86"/>
    <mergeCell ref="A77:B7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4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J63" sqref="J63"/>
    </sheetView>
  </sheetViews>
  <sheetFormatPr defaultColWidth="9.00390625" defaultRowHeight="12.75"/>
  <cols>
    <col min="1" max="1" width="27.875" style="0" customWidth="1"/>
    <col min="2" max="2" width="16.75390625" style="0" customWidth="1"/>
    <col min="3" max="3" width="11.375" style="0" customWidth="1"/>
    <col min="4" max="4" width="11.875" style="117" customWidth="1"/>
    <col min="5" max="5" width="11.875" style="118" customWidth="1"/>
    <col min="6" max="6" width="13.25390625" style="0" customWidth="1"/>
    <col min="7" max="12" width="11.875" style="0" customWidth="1"/>
    <col min="13" max="13" width="9.75390625" style="0" customWidth="1"/>
    <col min="14" max="14" width="10.25390625" style="0" customWidth="1"/>
    <col min="15" max="15" width="10.75390625" style="0" customWidth="1"/>
  </cols>
  <sheetData>
    <row r="2" spans="1:14" s="6" customFormat="1" ht="15">
      <c r="A2" s="407" t="s">
        <v>131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s="138" customFormat="1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s="138" customFormat="1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s="138" customFormat="1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s="138" customFormat="1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s="138" customFormat="1" ht="14.25">
      <c r="A7" s="483" t="s">
        <v>65</v>
      </c>
      <c r="B7" s="483"/>
      <c r="C7" s="483"/>
      <c r="D7" s="168">
        <v>24824</v>
      </c>
      <c r="E7" s="169">
        <v>23023</v>
      </c>
      <c r="F7" s="170">
        <f aca="true" t="shared" si="0" ref="F7:F60">E7-D7</f>
        <v>-1801</v>
      </c>
      <c r="G7" s="171">
        <f>E7/D7</f>
        <v>0.9274492426683855</v>
      </c>
      <c r="H7" s="172">
        <v>19960</v>
      </c>
      <c r="I7" s="173">
        <v>1100</v>
      </c>
      <c r="J7" s="174">
        <f>H7+I7</f>
        <v>21060</v>
      </c>
      <c r="K7" s="175">
        <f>J7-E7</f>
        <v>-1963</v>
      </c>
      <c r="L7" s="176">
        <f>J7/E7</f>
        <v>0.9147374364765669</v>
      </c>
    </row>
    <row r="8" spans="1:12" s="138" customFormat="1" ht="14.25">
      <c r="A8" s="465" t="s">
        <v>66</v>
      </c>
      <c r="B8" s="465"/>
      <c r="C8" s="465"/>
      <c r="D8" s="143">
        <v>12352</v>
      </c>
      <c r="E8" s="140">
        <v>10371</v>
      </c>
      <c r="F8" s="160">
        <f t="shared" si="0"/>
        <v>-1981</v>
      </c>
      <c r="G8" s="161">
        <f aca="true" t="shared" si="1" ref="G8:G60">E8/D8</f>
        <v>0.8396211139896373</v>
      </c>
      <c r="H8" s="141">
        <v>8900</v>
      </c>
      <c r="I8" s="142"/>
      <c r="J8" s="174">
        <f aca="true" t="shared" si="2" ref="J8:J60">H8+I8</f>
        <v>8900</v>
      </c>
      <c r="K8" s="164">
        <f aca="true" t="shared" si="3" ref="K8:K60">J8-E8</f>
        <v>-1471</v>
      </c>
      <c r="L8" s="165">
        <f aca="true" t="shared" si="4" ref="L8:L60">J8/E8</f>
        <v>0.8581621830103172</v>
      </c>
    </row>
    <row r="9" spans="1:12" s="138" customFormat="1" ht="14.25">
      <c r="A9" s="465" t="s">
        <v>67</v>
      </c>
      <c r="B9" s="465"/>
      <c r="C9" s="465"/>
      <c r="D9" s="143">
        <v>11191</v>
      </c>
      <c r="E9" s="140">
        <v>10787</v>
      </c>
      <c r="F9" s="160">
        <f t="shared" si="0"/>
        <v>-404</v>
      </c>
      <c r="G9" s="161">
        <f t="shared" si="1"/>
        <v>0.9638995621481548</v>
      </c>
      <c r="H9" s="141">
        <v>9200</v>
      </c>
      <c r="I9" s="142"/>
      <c r="J9" s="174">
        <f t="shared" si="2"/>
        <v>9200</v>
      </c>
      <c r="K9" s="164">
        <f t="shared" si="3"/>
        <v>-1587</v>
      </c>
      <c r="L9" s="165">
        <f t="shared" si="4"/>
        <v>0.8528784648187633</v>
      </c>
    </row>
    <row r="10" spans="1:12" s="138" customFormat="1" ht="14.25">
      <c r="A10" s="465" t="s">
        <v>68</v>
      </c>
      <c r="B10" s="465"/>
      <c r="C10" s="465"/>
      <c r="D10" s="143">
        <v>0</v>
      </c>
      <c r="E10" s="140"/>
      <c r="F10" s="160">
        <f t="shared" si="0"/>
        <v>0</v>
      </c>
      <c r="G10" s="161"/>
      <c r="H10" s="141"/>
      <c r="I10" s="142"/>
      <c r="J10" s="174">
        <f t="shared" si="2"/>
        <v>0</v>
      </c>
      <c r="K10" s="164">
        <f t="shared" si="3"/>
        <v>0</v>
      </c>
      <c r="L10" s="165"/>
    </row>
    <row r="11" spans="1:12" s="138" customFormat="1" ht="14.25">
      <c r="A11" s="465" t="s">
        <v>69</v>
      </c>
      <c r="B11" s="465"/>
      <c r="C11" s="465"/>
      <c r="D11" s="143">
        <v>766</v>
      </c>
      <c r="E11" s="140">
        <v>1360</v>
      </c>
      <c r="F11" s="160">
        <f t="shared" si="0"/>
        <v>594</v>
      </c>
      <c r="G11" s="161">
        <f t="shared" si="1"/>
        <v>1.7754569190600522</v>
      </c>
      <c r="H11" s="141">
        <v>1560</v>
      </c>
      <c r="I11" s="142"/>
      <c r="J11" s="174">
        <f t="shared" si="2"/>
        <v>1560</v>
      </c>
      <c r="K11" s="164">
        <f t="shared" si="3"/>
        <v>200</v>
      </c>
      <c r="L11" s="165">
        <f t="shared" si="4"/>
        <v>1.1470588235294117</v>
      </c>
    </row>
    <row r="12" spans="1:12" s="138" customFormat="1" ht="14.25">
      <c r="A12" s="465" t="s">
        <v>70</v>
      </c>
      <c r="B12" s="465"/>
      <c r="C12" s="465"/>
      <c r="D12" s="143">
        <v>515</v>
      </c>
      <c r="E12" s="140">
        <v>505</v>
      </c>
      <c r="F12" s="160">
        <f t="shared" si="0"/>
        <v>-10</v>
      </c>
      <c r="G12" s="161">
        <f t="shared" si="1"/>
        <v>0.9805825242718447</v>
      </c>
      <c r="H12" s="141">
        <v>300</v>
      </c>
      <c r="I12" s="142">
        <v>1100</v>
      </c>
      <c r="J12" s="174">
        <f t="shared" si="2"/>
        <v>1400</v>
      </c>
      <c r="K12" s="164">
        <f t="shared" si="3"/>
        <v>895</v>
      </c>
      <c r="L12" s="165">
        <f t="shared" si="4"/>
        <v>2.772277227722772</v>
      </c>
    </row>
    <row r="13" spans="1:12" s="138" customFormat="1" ht="14.25">
      <c r="A13" s="465" t="s">
        <v>71</v>
      </c>
      <c r="B13" s="465"/>
      <c r="C13" s="465"/>
      <c r="D13" s="143">
        <v>0</v>
      </c>
      <c r="E13" s="140">
        <v>0</v>
      </c>
      <c r="F13" s="160">
        <f t="shared" si="0"/>
        <v>0</v>
      </c>
      <c r="G13" s="161"/>
      <c r="H13" s="141"/>
      <c r="I13" s="142"/>
      <c r="J13" s="174">
        <f t="shared" si="2"/>
        <v>0</v>
      </c>
      <c r="K13" s="164">
        <f t="shared" si="3"/>
        <v>0</v>
      </c>
      <c r="L13" s="165"/>
    </row>
    <row r="14" spans="1:20" s="138" customFormat="1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s="138" customFormat="1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s="138" customFormat="1" ht="14.25">
      <c r="A16" s="456" t="s">
        <v>74</v>
      </c>
      <c r="B16" s="456"/>
      <c r="C16" s="456"/>
      <c r="D16" s="143">
        <v>164</v>
      </c>
      <c r="E16" s="140">
        <v>246</v>
      </c>
      <c r="F16" s="160">
        <f t="shared" si="0"/>
        <v>82</v>
      </c>
      <c r="G16" s="161">
        <f t="shared" si="1"/>
        <v>1.5</v>
      </c>
      <c r="H16" s="141">
        <v>1050</v>
      </c>
      <c r="I16" s="142"/>
      <c r="J16" s="174">
        <f t="shared" si="2"/>
        <v>1050</v>
      </c>
      <c r="K16" s="164">
        <f t="shared" si="3"/>
        <v>804</v>
      </c>
      <c r="L16" s="165">
        <f t="shared" si="4"/>
        <v>4.2682926829268295</v>
      </c>
      <c r="N16" s="139"/>
      <c r="O16" s="139"/>
      <c r="P16" s="139"/>
      <c r="Q16" s="139"/>
      <c r="R16" s="139"/>
      <c r="S16" s="139"/>
      <c r="T16" s="139"/>
    </row>
    <row r="17" spans="1:20" s="138" customFormat="1" ht="14.25">
      <c r="A17" s="456" t="s">
        <v>75</v>
      </c>
      <c r="B17" s="456"/>
      <c r="C17" s="456"/>
      <c r="D17" s="143">
        <v>144</v>
      </c>
      <c r="E17" s="140">
        <v>212</v>
      </c>
      <c r="F17" s="160">
        <f t="shared" si="0"/>
        <v>68</v>
      </c>
      <c r="G17" s="161">
        <f t="shared" si="1"/>
        <v>1.4722222222222223</v>
      </c>
      <c r="H17" s="141">
        <v>1040</v>
      </c>
      <c r="I17" s="142"/>
      <c r="J17" s="174">
        <f t="shared" si="2"/>
        <v>1040</v>
      </c>
      <c r="K17" s="164">
        <f t="shared" si="3"/>
        <v>828</v>
      </c>
      <c r="L17" s="165">
        <f t="shared" si="4"/>
        <v>4.90566037735849</v>
      </c>
      <c r="N17" s="144"/>
      <c r="O17" s="144"/>
      <c r="P17" s="144"/>
      <c r="Q17" s="144"/>
      <c r="R17" s="144"/>
      <c r="S17" s="144"/>
      <c r="T17" s="144"/>
    </row>
    <row r="18" spans="1:12" s="138" customFormat="1" ht="14.25">
      <c r="A18" s="456" t="s">
        <v>76</v>
      </c>
      <c r="B18" s="456"/>
      <c r="C18" s="456"/>
      <c r="D18" s="143">
        <v>0</v>
      </c>
      <c r="E18" s="140">
        <v>0</v>
      </c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s="138" customFormat="1" ht="14.25">
      <c r="A19" s="456" t="s">
        <v>77</v>
      </c>
      <c r="B19" s="456"/>
      <c r="C19" s="456"/>
      <c r="D19" s="143">
        <v>0</v>
      </c>
      <c r="E19" s="140">
        <v>0</v>
      </c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s="138" customFormat="1" ht="14.25">
      <c r="A20" s="456" t="s">
        <v>78</v>
      </c>
      <c r="B20" s="456"/>
      <c r="C20" s="456"/>
      <c r="D20" s="143">
        <v>39</v>
      </c>
      <c r="E20" s="140">
        <v>36</v>
      </c>
      <c r="F20" s="160">
        <f t="shared" si="0"/>
        <v>-3</v>
      </c>
      <c r="G20" s="161">
        <f t="shared" si="1"/>
        <v>0.9230769230769231</v>
      </c>
      <c r="H20" s="141">
        <v>30</v>
      </c>
      <c r="I20" s="142"/>
      <c r="J20" s="174">
        <f t="shared" si="2"/>
        <v>30</v>
      </c>
      <c r="K20" s="164">
        <f t="shared" si="3"/>
        <v>-6</v>
      </c>
      <c r="L20" s="165">
        <f t="shared" si="4"/>
        <v>0.8333333333333334</v>
      </c>
    </row>
    <row r="21" spans="1:12" s="138" customFormat="1" ht="14.25">
      <c r="A21" s="456" t="s">
        <v>79</v>
      </c>
      <c r="B21" s="456"/>
      <c r="C21" s="456"/>
      <c r="D21" s="143">
        <v>0</v>
      </c>
      <c r="E21" s="140">
        <v>0</v>
      </c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s="138" customFormat="1" ht="14.25">
      <c r="A22" s="456" t="s">
        <v>80</v>
      </c>
      <c r="B22" s="456"/>
      <c r="C22" s="456"/>
      <c r="D22" s="143">
        <v>14635</v>
      </c>
      <c r="E22" s="177">
        <v>15038</v>
      </c>
      <c r="F22" s="160">
        <f t="shared" si="0"/>
        <v>403</v>
      </c>
      <c r="G22" s="161">
        <f t="shared" si="1"/>
        <v>1.027536727024257</v>
      </c>
      <c r="H22" s="172">
        <v>10544</v>
      </c>
      <c r="I22" s="173"/>
      <c r="J22" s="174">
        <f t="shared" si="2"/>
        <v>10544</v>
      </c>
      <c r="K22" s="164">
        <f t="shared" si="3"/>
        <v>-4494</v>
      </c>
      <c r="L22" s="165">
        <f t="shared" si="4"/>
        <v>0.7011570687591435</v>
      </c>
    </row>
    <row r="23" spans="1:12" s="138" customFormat="1" ht="14.25">
      <c r="A23" s="456" t="s">
        <v>81</v>
      </c>
      <c r="B23" s="456"/>
      <c r="C23" s="456"/>
      <c r="D23" s="143">
        <v>2912</v>
      </c>
      <c r="E23" s="140">
        <v>2152</v>
      </c>
      <c r="F23" s="160">
        <f t="shared" si="0"/>
        <v>-760</v>
      </c>
      <c r="G23" s="161">
        <f t="shared" si="1"/>
        <v>0.739010989010989</v>
      </c>
      <c r="H23" s="141">
        <v>1464</v>
      </c>
      <c r="I23" s="142"/>
      <c r="J23" s="174">
        <f t="shared" si="2"/>
        <v>1464</v>
      </c>
      <c r="K23" s="164">
        <f t="shared" si="3"/>
        <v>-688</v>
      </c>
      <c r="L23" s="165">
        <f t="shared" si="4"/>
        <v>0.6802973977695167</v>
      </c>
    </row>
    <row r="24" spans="1:12" s="138" customFormat="1" ht="14.25">
      <c r="A24" s="456" t="s">
        <v>82</v>
      </c>
      <c r="B24" s="456"/>
      <c r="C24" s="456"/>
      <c r="D24" s="143">
        <v>11479</v>
      </c>
      <c r="E24" s="140">
        <v>12864</v>
      </c>
      <c r="F24" s="160">
        <f t="shared" si="0"/>
        <v>1385</v>
      </c>
      <c r="G24" s="161">
        <f t="shared" si="1"/>
        <v>1.120655109330081</v>
      </c>
      <c r="H24" s="141">
        <v>9080</v>
      </c>
      <c r="I24" s="142"/>
      <c r="J24" s="174">
        <f t="shared" si="2"/>
        <v>9080</v>
      </c>
      <c r="K24" s="164">
        <f t="shared" si="3"/>
        <v>-3784</v>
      </c>
      <c r="L24" s="165">
        <f t="shared" si="4"/>
        <v>0.7058457711442786</v>
      </c>
    </row>
    <row r="25" spans="1:12" s="138" customFormat="1" ht="14.25">
      <c r="A25" s="456" t="s">
        <v>83</v>
      </c>
      <c r="B25" s="456"/>
      <c r="C25" s="456"/>
      <c r="D25" s="143">
        <v>244</v>
      </c>
      <c r="E25" s="140">
        <v>22</v>
      </c>
      <c r="F25" s="160">
        <f t="shared" si="0"/>
        <v>-222</v>
      </c>
      <c r="G25" s="161">
        <f t="shared" si="1"/>
        <v>0.09016393442622951</v>
      </c>
      <c r="H25" s="141"/>
      <c r="I25" s="142"/>
      <c r="J25" s="174">
        <f t="shared" si="2"/>
        <v>0</v>
      </c>
      <c r="K25" s="164">
        <f t="shared" si="3"/>
        <v>-22</v>
      </c>
      <c r="L25" s="165">
        <f t="shared" si="4"/>
        <v>0</v>
      </c>
    </row>
    <row r="26" spans="1:12" s="138" customFormat="1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s="138" customFormat="1" ht="15.75" thickBot="1">
      <c r="A27" s="462" t="s">
        <v>84</v>
      </c>
      <c r="B27" s="462"/>
      <c r="C27" s="462"/>
      <c r="D27" s="179">
        <f>D7+D16+D20+D22</f>
        <v>39662</v>
      </c>
      <c r="E27" s="180">
        <f>E7+E16+E20+E22</f>
        <v>38343</v>
      </c>
      <c r="F27" s="181">
        <f t="shared" si="0"/>
        <v>-1319</v>
      </c>
      <c r="G27" s="182">
        <f t="shared" si="1"/>
        <v>0.9667439866875095</v>
      </c>
      <c r="H27" s="183">
        <f>H7+H16+H20+H22</f>
        <v>31584</v>
      </c>
      <c r="I27" s="184">
        <f>I7+I16+I20+I22</f>
        <v>1100</v>
      </c>
      <c r="J27" s="185">
        <f t="shared" si="2"/>
        <v>32684</v>
      </c>
      <c r="K27" s="183">
        <f t="shared" si="3"/>
        <v>-5659</v>
      </c>
      <c r="L27" s="186">
        <f t="shared" si="4"/>
        <v>0.8524111311060689</v>
      </c>
    </row>
    <row r="28" spans="1:12" s="138" customFormat="1" ht="14.25">
      <c r="A28" s="495" t="s">
        <v>85</v>
      </c>
      <c r="B28" s="495"/>
      <c r="C28" s="495"/>
      <c r="D28" s="187">
        <v>6062.8</v>
      </c>
      <c r="E28" s="188">
        <v>5630</v>
      </c>
      <c r="F28" s="189">
        <f t="shared" si="0"/>
        <v>-432.8000000000002</v>
      </c>
      <c r="G28" s="190">
        <f t="shared" si="1"/>
        <v>0.9286138417892723</v>
      </c>
      <c r="H28" s="191">
        <v>4240</v>
      </c>
      <c r="I28" s="192">
        <v>600</v>
      </c>
      <c r="J28" s="193">
        <f t="shared" si="2"/>
        <v>4840</v>
      </c>
      <c r="K28" s="194">
        <f t="shared" si="3"/>
        <v>-790</v>
      </c>
      <c r="L28" s="195">
        <f t="shared" si="4"/>
        <v>0.8596802841918295</v>
      </c>
    </row>
    <row r="29" spans="1:12" s="138" customFormat="1" ht="14.25">
      <c r="A29" s="441" t="s">
        <v>86</v>
      </c>
      <c r="B29" s="441"/>
      <c r="C29" s="441"/>
      <c r="D29" s="143">
        <v>3739</v>
      </c>
      <c r="E29" s="140">
        <v>3307</v>
      </c>
      <c r="F29" s="160">
        <f t="shared" si="0"/>
        <v>-432</v>
      </c>
      <c r="G29" s="161">
        <f t="shared" si="1"/>
        <v>0.884461085851832</v>
      </c>
      <c r="H29" s="141">
        <v>3000</v>
      </c>
      <c r="I29" s="142">
        <v>600</v>
      </c>
      <c r="J29" s="174">
        <f t="shared" si="2"/>
        <v>3600</v>
      </c>
      <c r="K29" s="164">
        <f t="shared" si="3"/>
        <v>293</v>
      </c>
      <c r="L29" s="165">
        <f t="shared" si="4"/>
        <v>1.0885999395222257</v>
      </c>
    </row>
    <row r="30" spans="1:12" s="138" customFormat="1" ht="14.25">
      <c r="A30" s="441" t="s">
        <v>87</v>
      </c>
      <c r="B30" s="441"/>
      <c r="C30" s="441"/>
      <c r="D30" s="143">
        <v>33.25</v>
      </c>
      <c r="E30" s="140">
        <v>49</v>
      </c>
      <c r="F30" s="160">
        <f t="shared" si="0"/>
        <v>15.75</v>
      </c>
      <c r="G30" s="161">
        <f t="shared" si="1"/>
        <v>1.4736842105263157</v>
      </c>
      <c r="H30" s="141">
        <v>60</v>
      </c>
      <c r="I30" s="142"/>
      <c r="J30" s="174">
        <f t="shared" si="2"/>
        <v>60</v>
      </c>
      <c r="K30" s="164">
        <f t="shared" si="3"/>
        <v>11</v>
      </c>
      <c r="L30" s="165">
        <f t="shared" si="4"/>
        <v>1.2244897959183674</v>
      </c>
    </row>
    <row r="31" spans="1:12" s="138" customFormat="1" ht="14.25">
      <c r="A31" s="441" t="s">
        <v>88</v>
      </c>
      <c r="B31" s="441"/>
      <c r="C31" s="441"/>
      <c r="D31" s="143">
        <v>530</v>
      </c>
      <c r="E31" s="140">
        <v>680</v>
      </c>
      <c r="F31" s="160">
        <f t="shared" si="0"/>
        <v>150</v>
      </c>
      <c r="G31" s="161">
        <f t="shared" si="1"/>
        <v>1.2830188679245282</v>
      </c>
      <c r="H31" s="141">
        <v>180</v>
      </c>
      <c r="I31" s="142"/>
      <c r="J31" s="174">
        <f t="shared" si="2"/>
        <v>180</v>
      </c>
      <c r="K31" s="164">
        <f t="shared" si="3"/>
        <v>-500</v>
      </c>
      <c r="L31" s="165">
        <f t="shared" si="4"/>
        <v>0.2647058823529412</v>
      </c>
    </row>
    <row r="32" spans="1:12" s="138" customFormat="1" ht="14.25">
      <c r="A32" s="441" t="s">
        <v>89</v>
      </c>
      <c r="B32" s="441"/>
      <c r="C32" s="441"/>
      <c r="D32" s="143">
        <v>1761</v>
      </c>
      <c r="E32" s="140">
        <v>1594</v>
      </c>
      <c r="F32" s="160">
        <f t="shared" si="0"/>
        <v>-167</v>
      </c>
      <c r="G32" s="161">
        <f t="shared" si="1"/>
        <v>0.9051675184554231</v>
      </c>
      <c r="H32" s="141">
        <v>1000</v>
      </c>
      <c r="I32" s="142"/>
      <c r="J32" s="174">
        <f t="shared" si="2"/>
        <v>1000</v>
      </c>
      <c r="K32" s="164">
        <f t="shared" si="3"/>
        <v>-594</v>
      </c>
      <c r="L32" s="165">
        <f t="shared" si="4"/>
        <v>0.6273525721455459</v>
      </c>
    </row>
    <row r="33" spans="1:12" s="138" customFormat="1" ht="14.25">
      <c r="A33" s="441" t="s">
        <v>90</v>
      </c>
      <c r="B33" s="441"/>
      <c r="C33" s="441"/>
      <c r="D33" s="143">
        <v>0</v>
      </c>
      <c r="E33" s="140">
        <v>0</v>
      </c>
      <c r="F33" s="160">
        <f t="shared" si="0"/>
        <v>0</v>
      </c>
      <c r="G33" s="161"/>
      <c r="H33" s="141"/>
      <c r="I33" s="142"/>
      <c r="J33" s="174">
        <f t="shared" si="2"/>
        <v>0</v>
      </c>
      <c r="K33" s="164">
        <f t="shared" si="3"/>
        <v>0</v>
      </c>
      <c r="L33" s="165"/>
    </row>
    <row r="34" spans="1:12" s="138" customFormat="1" ht="14.25">
      <c r="A34" s="441" t="s">
        <v>91</v>
      </c>
      <c r="B34" s="441"/>
      <c r="C34" s="441"/>
      <c r="D34" s="196">
        <v>2936</v>
      </c>
      <c r="E34" s="177">
        <v>3008</v>
      </c>
      <c r="F34" s="197">
        <f t="shared" si="0"/>
        <v>72</v>
      </c>
      <c r="G34" s="198">
        <f t="shared" si="1"/>
        <v>1.0245231607629428</v>
      </c>
      <c r="H34" s="172">
        <v>3850</v>
      </c>
      <c r="I34" s="173"/>
      <c r="J34" s="174">
        <f t="shared" si="2"/>
        <v>3850</v>
      </c>
      <c r="K34" s="199">
        <f t="shared" si="3"/>
        <v>842</v>
      </c>
      <c r="L34" s="200">
        <f t="shared" si="4"/>
        <v>1.2799202127659575</v>
      </c>
    </row>
    <row r="35" spans="1:12" s="138" customFormat="1" ht="14.25">
      <c r="A35" s="441" t="s">
        <v>92</v>
      </c>
      <c r="B35" s="441"/>
      <c r="C35" s="441"/>
      <c r="D35" s="143">
        <v>746</v>
      </c>
      <c r="E35" s="140">
        <v>469</v>
      </c>
      <c r="F35" s="160">
        <f t="shared" si="0"/>
        <v>-277</v>
      </c>
      <c r="G35" s="161">
        <f t="shared" si="1"/>
        <v>0.628686327077748</v>
      </c>
      <c r="H35" s="141">
        <v>1200</v>
      </c>
      <c r="I35" s="142"/>
      <c r="J35" s="174">
        <f t="shared" si="2"/>
        <v>1200</v>
      </c>
      <c r="K35" s="164">
        <f t="shared" si="3"/>
        <v>731</v>
      </c>
      <c r="L35" s="165">
        <f t="shared" si="4"/>
        <v>2.55863539445629</v>
      </c>
    </row>
    <row r="36" spans="1:12" s="138" customFormat="1" ht="14.25">
      <c r="A36" s="441" t="s">
        <v>93</v>
      </c>
      <c r="B36" s="441"/>
      <c r="C36" s="441"/>
      <c r="D36" s="143">
        <v>1600</v>
      </c>
      <c r="E36" s="140">
        <v>1956</v>
      </c>
      <c r="F36" s="160">
        <f t="shared" si="0"/>
        <v>356</v>
      </c>
      <c r="G36" s="161">
        <f t="shared" si="1"/>
        <v>1.2225</v>
      </c>
      <c r="H36" s="141">
        <v>1700</v>
      </c>
      <c r="I36" s="142"/>
      <c r="J36" s="174">
        <f t="shared" si="2"/>
        <v>1700</v>
      </c>
      <c r="K36" s="164">
        <f t="shared" si="3"/>
        <v>-256</v>
      </c>
      <c r="L36" s="165">
        <f t="shared" si="4"/>
        <v>0.869120654396728</v>
      </c>
    </row>
    <row r="37" spans="1:12" s="138" customFormat="1" ht="14.25">
      <c r="A37" s="441" t="s">
        <v>94</v>
      </c>
      <c r="B37" s="441"/>
      <c r="C37" s="441"/>
      <c r="D37" s="143">
        <v>0</v>
      </c>
      <c r="E37" s="140">
        <v>0</v>
      </c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s="138" customFormat="1" ht="14.25">
      <c r="A38" s="441" t="s">
        <v>95</v>
      </c>
      <c r="B38" s="441"/>
      <c r="C38" s="441"/>
      <c r="D38" s="143">
        <v>0</v>
      </c>
      <c r="E38" s="140">
        <v>0</v>
      </c>
      <c r="F38" s="160">
        <f t="shared" si="0"/>
        <v>0</v>
      </c>
      <c r="G38" s="161"/>
      <c r="H38" s="141">
        <v>350</v>
      </c>
      <c r="I38" s="142"/>
      <c r="J38" s="174">
        <f t="shared" si="2"/>
        <v>350</v>
      </c>
      <c r="K38" s="164">
        <f t="shared" si="3"/>
        <v>350</v>
      </c>
      <c r="L38" s="165"/>
    </row>
    <row r="39" spans="1:12" s="138" customFormat="1" ht="14.25">
      <c r="A39" s="441" t="s">
        <v>96</v>
      </c>
      <c r="B39" s="441"/>
      <c r="C39" s="441"/>
      <c r="D39" s="143">
        <v>590</v>
      </c>
      <c r="E39" s="140">
        <v>583</v>
      </c>
      <c r="F39" s="160">
        <f t="shared" si="0"/>
        <v>-7</v>
      </c>
      <c r="G39" s="161">
        <f t="shared" si="1"/>
        <v>0.988135593220339</v>
      </c>
      <c r="H39" s="141">
        <v>600</v>
      </c>
      <c r="I39" s="142"/>
      <c r="J39" s="174">
        <f t="shared" si="2"/>
        <v>600</v>
      </c>
      <c r="K39" s="164">
        <f t="shared" si="3"/>
        <v>17</v>
      </c>
      <c r="L39" s="165">
        <f t="shared" si="4"/>
        <v>1.0291595197255574</v>
      </c>
    </row>
    <row r="40" spans="1:12" s="138" customFormat="1" ht="14.25">
      <c r="A40" s="441" t="s">
        <v>97</v>
      </c>
      <c r="B40" s="441"/>
      <c r="C40" s="441"/>
      <c r="D40" s="143">
        <v>0</v>
      </c>
      <c r="E40" s="140">
        <v>0</v>
      </c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s="138" customFormat="1" ht="14.25">
      <c r="A41" s="441" t="s">
        <v>98</v>
      </c>
      <c r="B41" s="441"/>
      <c r="C41" s="441"/>
      <c r="D41" s="143">
        <v>383</v>
      </c>
      <c r="E41" s="140">
        <v>189</v>
      </c>
      <c r="F41" s="160">
        <f t="shared" si="0"/>
        <v>-194</v>
      </c>
      <c r="G41" s="161">
        <f t="shared" si="1"/>
        <v>0.4934725848563969</v>
      </c>
      <c r="H41" s="141">
        <v>150</v>
      </c>
      <c r="I41" s="142"/>
      <c r="J41" s="174">
        <f t="shared" si="2"/>
        <v>150</v>
      </c>
      <c r="K41" s="164">
        <f t="shared" si="3"/>
        <v>-39</v>
      </c>
      <c r="L41" s="165">
        <f t="shared" si="4"/>
        <v>0.7936507936507936</v>
      </c>
    </row>
    <row r="42" spans="1:12" s="138" customFormat="1" ht="14.25">
      <c r="A42" s="441" t="s">
        <v>99</v>
      </c>
      <c r="B42" s="441"/>
      <c r="C42" s="441"/>
      <c r="D42" s="143">
        <v>78</v>
      </c>
      <c r="E42" s="140">
        <v>82</v>
      </c>
      <c r="F42" s="160">
        <f t="shared" si="0"/>
        <v>4</v>
      </c>
      <c r="G42" s="161">
        <f t="shared" si="1"/>
        <v>1.0512820512820513</v>
      </c>
      <c r="H42" s="141">
        <v>100</v>
      </c>
      <c r="I42" s="142"/>
      <c r="J42" s="174">
        <f t="shared" si="2"/>
        <v>100</v>
      </c>
      <c r="K42" s="164">
        <f t="shared" si="3"/>
        <v>18</v>
      </c>
      <c r="L42" s="165">
        <f t="shared" si="4"/>
        <v>1.2195121951219512</v>
      </c>
    </row>
    <row r="43" spans="1:12" s="138" customFormat="1" ht="14.25">
      <c r="A43" s="441" t="s">
        <v>100</v>
      </c>
      <c r="B43" s="441"/>
      <c r="C43" s="441"/>
      <c r="D43" s="143">
        <v>2</v>
      </c>
      <c r="E43" s="140">
        <v>7</v>
      </c>
      <c r="F43" s="160">
        <f t="shared" si="0"/>
        <v>5</v>
      </c>
      <c r="G43" s="161">
        <f t="shared" si="1"/>
        <v>3.5</v>
      </c>
      <c r="H43" s="141">
        <v>10</v>
      </c>
      <c r="I43" s="142"/>
      <c r="J43" s="174">
        <f t="shared" si="2"/>
        <v>10</v>
      </c>
      <c r="K43" s="164">
        <f t="shared" si="3"/>
        <v>3</v>
      </c>
      <c r="L43" s="165">
        <f t="shared" si="4"/>
        <v>1.4285714285714286</v>
      </c>
    </row>
    <row r="44" spans="1:12" s="138" customFormat="1" ht="14.25">
      <c r="A44" s="441" t="s">
        <v>101</v>
      </c>
      <c r="B44" s="441"/>
      <c r="C44" s="441"/>
      <c r="D44" s="143">
        <v>1157</v>
      </c>
      <c r="E44" s="140">
        <v>1192</v>
      </c>
      <c r="F44" s="160">
        <f t="shared" si="0"/>
        <v>35</v>
      </c>
      <c r="G44" s="161">
        <f t="shared" si="1"/>
        <v>1.0302506482281764</v>
      </c>
      <c r="H44" s="141">
        <v>1200</v>
      </c>
      <c r="I44" s="142"/>
      <c r="J44" s="174">
        <f t="shared" si="2"/>
        <v>1200</v>
      </c>
      <c r="K44" s="164">
        <f t="shared" si="3"/>
        <v>8</v>
      </c>
      <c r="L44" s="165">
        <f t="shared" si="4"/>
        <v>1.0067114093959733</v>
      </c>
    </row>
    <row r="45" spans="1:15" s="138" customFormat="1" ht="14.25">
      <c r="A45" s="441" t="s">
        <v>102</v>
      </c>
      <c r="B45" s="441"/>
      <c r="C45" s="441"/>
      <c r="D45" s="143">
        <v>115</v>
      </c>
      <c r="E45" s="140">
        <v>90</v>
      </c>
      <c r="F45" s="160">
        <f t="shared" si="0"/>
        <v>-25</v>
      </c>
      <c r="G45" s="161">
        <f t="shared" si="1"/>
        <v>0.782608695652174</v>
      </c>
      <c r="H45" s="141">
        <v>100</v>
      </c>
      <c r="I45" s="142"/>
      <c r="J45" s="174">
        <f t="shared" si="2"/>
        <v>100</v>
      </c>
      <c r="K45" s="164">
        <f t="shared" si="3"/>
        <v>10</v>
      </c>
      <c r="L45" s="165">
        <f t="shared" si="4"/>
        <v>1.1111111111111112</v>
      </c>
      <c r="O45" s="147"/>
    </row>
    <row r="46" spans="1:12" s="138" customFormat="1" ht="14.25">
      <c r="A46" s="441" t="s">
        <v>103</v>
      </c>
      <c r="B46" s="441"/>
      <c r="C46" s="441"/>
      <c r="D46" s="143">
        <v>0</v>
      </c>
      <c r="E46" s="140">
        <v>0</v>
      </c>
      <c r="F46" s="160">
        <f t="shared" si="0"/>
        <v>0</v>
      </c>
      <c r="G46" s="161"/>
      <c r="H46" s="141"/>
      <c r="I46" s="142"/>
      <c r="J46" s="174">
        <f t="shared" si="2"/>
        <v>0</v>
      </c>
      <c r="K46" s="164">
        <f t="shared" si="3"/>
        <v>0</v>
      </c>
      <c r="L46" s="165"/>
    </row>
    <row r="47" spans="1:12" s="138" customFormat="1" ht="14.25">
      <c r="A47" s="441" t="s">
        <v>104</v>
      </c>
      <c r="B47" s="441"/>
      <c r="C47" s="441"/>
      <c r="D47" s="143">
        <v>1042</v>
      </c>
      <c r="E47" s="140">
        <v>1102</v>
      </c>
      <c r="F47" s="160">
        <f t="shared" si="0"/>
        <v>60</v>
      </c>
      <c r="G47" s="161">
        <f t="shared" si="1"/>
        <v>1.0575815738963532</v>
      </c>
      <c r="H47" s="141">
        <v>1100</v>
      </c>
      <c r="I47" s="142"/>
      <c r="J47" s="174">
        <f t="shared" si="2"/>
        <v>1100</v>
      </c>
      <c r="K47" s="164">
        <f t="shared" si="3"/>
        <v>-2</v>
      </c>
      <c r="L47" s="165">
        <f t="shared" si="4"/>
        <v>0.9981851179673321</v>
      </c>
    </row>
    <row r="48" spans="1:12" s="138" customFormat="1" ht="14.25">
      <c r="A48" s="441" t="s">
        <v>105</v>
      </c>
      <c r="B48" s="441"/>
      <c r="C48" s="441"/>
      <c r="D48" s="196">
        <v>28127</v>
      </c>
      <c r="E48" s="177">
        <v>27158</v>
      </c>
      <c r="F48" s="197">
        <f t="shared" si="0"/>
        <v>-969</v>
      </c>
      <c r="G48" s="198">
        <f t="shared" si="1"/>
        <v>0.9655491165072706</v>
      </c>
      <c r="H48" s="172">
        <v>21851</v>
      </c>
      <c r="I48" s="173"/>
      <c r="J48" s="174">
        <f t="shared" si="2"/>
        <v>21851</v>
      </c>
      <c r="K48" s="199">
        <f t="shared" si="3"/>
        <v>-5307</v>
      </c>
      <c r="L48" s="200">
        <f t="shared" si="4"/>
        <v>0.8045879667133073</v>
      </c>
    </row>
    <row r="49" spans="1:12" s="138" customFormat="1" ht="14.25">
      <c r="A49" s="441" t="s">
        <v>106</v>
      </c>
      <c r="B49" s="441"/>
      <c r="C49" s="441"/>
      <c r="D49" s="143">
        <v>20867</v>
      </c>
      <c r="E49" s="140">
        <v>20079</v>
      </c>
      <c r="F49" s="160">
        <f t="shared" si="0"/>
        <v>-788</v>
      </c>
      <c r="G49" s="161">
        <f t="shared" si="1"/>
        <v>0.9622370249676523</v>
      </c>
      <c r="H49" s="141">
        <v>16149</v>
      </c>
      <c r="I49" s="142"/>
      <c r="J49" s="174">
        <f t="shared" si="2"/>
        <v>16149</v>
      </c>
      <c r="K49" s="164">
        <f t="shared" si="3"/>
        <v>-3930</v>
      </c>
      <c r="L49" s="165">
        <f t="shared" si="4"/>
        <v>0.8042731211713731</v>
      </c>
    </row>
    <row r="50" spans="1:12" s="138" customFormat="1" ht="14.25">
      <c r="A50" s="441" t="s">
        <v>107</v>
      </c>
      <c r="B50" s="441"/>
      <c r="C50" s="441"/>
      <c r="D50" s="143">
        <v>20609</v>
      </c>
      <c r="E50" s="140">
        <v>19516</v>
      </c>
      <c r="F50" s="160">
        <f t="shared" si="0"/>
        <v>-1093</v>
      </c>
      <c r="G50" s="161">
        <f t="shared" si="1"/>
        <v>0.946964918239604</v>
      </c>
      <c r="H50" s="141">
        <v>16118</v>
      </c>
      <c r="I50" s="142"/>
      <c r="J50" s="174">
        <f t="shared" si="2"/>
        <v>16118</v>
      </c>
      <c r="K50" s="164">
        <f t="shared" si="3"/>
        <v>-3398</v>
      </c>
      <c r="L50" s="165">
        <f t="shared" si="4"/>
        <v>0.8258864521418323</v>
      </c>
    </row>
    <row r="51" spans="1:12" s="138" customFormat="1" ht="14.25">
      <c r="A51" s="441" t="s">
        <v>108</v>
      </c>
      <c r="B51" s="441"/>
      <c r="C51" s="441"/>
      <c r="D51" s="143">
        <v>258</v>
      </c>
      <c r="E51" s="140">
        <v>563</v>
      </c>
      <c r="F51" s="160">
        <f t="shared" si="0"/>
        <v>305</v>
      </c>
      <c r="G51" s="161">
        <f t="shared" si="1"/>
        <v>2.182170542635659</v>
      </c>
      <c r="H51" s="141">
        <v>31</v>
      </c>
      <c r="I51" s="142"/>
      <c r="J51" s="174">
        <f t="shared" si="2"/>
        <v>31</v>
      </c>
      <c r="K51" s="164">
        <f t="shared" si="3"/>
        <v>-532</v>
      </c>
      <c r="L51" s="165">
        <f t="shared" si="4"/>
        <v>0.055062166962699825</v>
      </c>
    </row>
    <row r="52" spans="1:12" s="138" customFormat="1" ht="14.25">
      <c r="A52" s="441" t="s">
        <v>109</v>
      </c>
      <c r="B52" s="441"/>
      <c r="C52" s="441"/>
      <c r="D52" s="143">
        <v>7260</v>
      </c>
      <c r="E52" s="140">
        <v>7079</v>
      </c>
      <c r="F52" s="160">
        <f t="shared" si="0"/>
        <v>-181</v>
      </c>
      <c r="G52" s="161">
        <f t="shared" si="1"/>
        <v>0.975068870523416</v>
      </c>
      <c r="H52" s="141">
        <v>5702</v>
      </c>
      <c r="I52" s="142"/>
      <c r="J52" s="174">
        <f t="shared" si="2"/>
        <v>5702</v>
      </c>
      <c r="K52" s="164">
        <f t="shared" si="3"/>
        <v>-1377</v>
      </c>
      <c r="L52" s="165">
        <f t="shared" si="4"/>
        <v>0.8054810001412629</v>
      </c>
    </row>
    <row r="53" spans="1:12" s="138" customFormat="1" ht="14.25">
      <c r="A53" s="441" t="s">
        <v>110</v>
      </c>
      <c r="B53" s="441"/>
      <c r="C53" s="441"/>
      <c r="D53" s="143">
        <v>0</v>
      </c>
      <c r="E53" s="140">
        <v>0</v>
      </c>
      <c r="F53" s="160">
        <f t="shared" si="0"/>
        <v>0</v>
      </c>
      <c r="G53" s="161"/>
      <c r="H53" s="141"/>
      <c r="I53" s="142"/>
      <c r="J53" s="174">
        <f t="shared" si="2"/>
        <v>0</v>
      </c>
      <c r="K53" s="164">
        <f t="shared" si="3"/>
        <v>0</v>
      </c>
      <c r="L53" s="165"/>
    </row>
    <row r="54" spans="1:12" s="138" customFormat="1" ht="14.25">
      <c r="A54" s="441" t="s">
        <v>111</v>
      </c>
      <c r="B54" s="441"/>
      <c r="C54" s="441"/>
      <c r="D54" s="143">
        <v>0</v>
      </c>
      <c r="E54" s="140">
        <v>0</v>
      </c>
      <c r="F54" s="160">
        <f t="shared" si="0"/>
        <v>0</v>
      </c>
      <c r="G54" s="161"/>
      <c r="H54" s="141"/>
      <c r="I54" s="142"/>
      <c r="J54" s="174">
        <f t="shared" si="2"/>
        <v>0</v>
      </c>
      <c r="K54" s="164">
        <f t="shared" si="3"/>
        <v>0</v>
      </c>
      <c r="L54" s="165"/>
    </row>
    <row r="55" spans="1:12" s="138" customFormat="1" ht="14.25">
      <c r="A55" s="441" t="s">
        <v>112</v>
      </c>
      <c r="B55" s="441"/>
      <c r="C55" s="441"/>
      <c r="D55" s="143">
        <v>272</v>
      </c>
      <c r="E55" s="140">
        <v>379</v>
      </c>
      <c r="F55" s="160">
        <f t="shared" si="0"/>
        <v>107</v>
      </c>
      <c r="G55" s="161">
        <f t="shared" si="1"/>
        <v>1.3933823529411764</v>
      </c>
      <c r="H55" s="141">
        <v>700</v>
      </c>
      <c r="I55" s="142"/>
      <c r="J55" s="174">
        <f t="shared" si="2"/>
        <v>700</v>
      </c>
      <c r="K55" s="164">
        <f t="shared" si="3"/>
        <v>321</v>
      </c>
      <c r="L55" s="165">
        <f t="shared" si="4"/>
        <v>1.8469656992084433</v>
      </c>
    </row>
    <row r="56" spans="1:12" s="138" customFormat="1" ht="14.25">
      <c r="A56" s="441" t="s">
        <v>113</v>
      </c>
      <c r="B56" s="441"/>
      <c r="C56" s="441"/>
      <c r="D56" s="143">
        <v>0</v>
      </c>
      <c r="E56" s="140">
        <v>0</v>
      </c>
      <c r="F56" s="160">
        <f t="shared" si="0"/>
        <v>0</v>
      </c>
      <c r="G56" s="161"/>
      <c r="H56" s="141"/>
      <c r="I56" s="142"/>
      <c r="J56" s="174">
        <f t="shared" si="2"/>
        <v>0</v>
      </c>
      <c r="K56" s="164">
        <f t="shared" si="3"/>
        <v>0</v>
      </c>
      <c r="L56" s="165"/>
    </row>
    <row r="57" spans="1:12" s="138" customFormat="1" ht="14.25">
      <c r="A57" s="441" t="s">
        <v>114</v>
      </c>
      <c r="B57" s="441"/>
      <c r="C57" s="441"/>
      <c r="D57" s="143">
        <v>622</v>
      </c>
      <c r="E57" s="140">
        <v>579</v>
      </c>
      <c r="F57" s="160">
        <f t="shared" si="0"/>
        <v>-43</v>
      </c>
      <c r="G57" s="161">
        <f t="shared" si="1"/>
        <v>0.9308681672025724</v>
      </c>
      <c r="H57" s="141">
        <v>2043</v>
      </c>
      <c r="I57" s="142"/>
      <c r="J57" s="174">
        <f t="shared" si="2"/>
        <v>2043</v>
      </c>
      <c r="K57" s="164">
        <f t="shared" si="3"/>
        <v>1464</v>
      </c>
      <c r="L57" s="165">
        <f t="shared" si="4"/>
        <v>3.528497409326425</v>
      </c>
    </row>
    <row r="58" spans="1:12" s="138" customFormat="1" ht="14.25">
      <c r="A58" s="441" t="s">
        <v>115</v>
      </c>
      <c r="B58" s="441"/>
      <c r="C58" s="441"/>
      <c r="D58" s="143">
        <v>0</v>
      </c>
      <c r="E58" s="140">
        <v>0</v>
      </c>
      <c r="F58" s="160">
        <f t="shared" si="0"/>
        <v>0</v>
      </c>
      <c r="G58" s="161"/>
      <c r="H58" s="141"/>
      <c r="I58" s="142"/>
      <c r="J58" s="174">
        <f t="shared" si="2"/>
        <v>0</v>
      </c>
      <c r="K58" s="164">
        <f t="shared" si="3"/>
        <v>0</v>
      </c>
      <c r="L58" s="165"/>
    </row>
    <row r="59" spans="1:12" s="138" customFormat="1" ht="15" thickBot="1">
      <c r="A59" s="493" t="s">
        <v>116</v>
      </c>
      <c r="B59" s="493"/>
      <c r="C59" s="493"/>
      <c r="D59" s="159">
        <v>0</v>
      </c>
      <c r="E59" s="148">
        <v>0</v>
      </c>
      <c r="F59" s="162">
        <f t="shared" si="0"/>
        <v>0</v>
      </c>
      <c r="G59" s="163"/>
      <c r="H59" s="145"/>
      <c r="I59" s="146"/>
      <c r="J59" s="178">
        <f t="shared" si="2"/>
        <v>0</v>
      </c>
      <c r="K59" s="166">
        <f t="shared" si="3"/>
        <v>0</v>
      </c>
      <c r="L59" s="167"/>
    </row>
    <row r="60" spans="1:12" s="138" customFormat="1" ht="15.75" thickBot="1">
      <c r="A60" s="462" t="s">
        <v>117</v>
      </c>
      <c r="B60" s="462"/>
      <c r="C60" s="462"/>
      <c r="D60" s="179">
        <f>D28+D34+D41+D42+D43+D44+D48+D55+D57</f>
        <v>39639.8</v>
      </c>
      <c r="E60" s="180">
        <f>E28+E34+E41+E42+E43+E44+E48+E55+E57</f>
        <v>38224</v>
      </c>
      <c r="F60" s="181">
        <f t="shared" si="0"/>
        <v>-1415.800000000003</v>
      </c>
      <c r="G60" s="182">
        <f t="shared" si="1"/>
        <v>0.9642833717627233</v>
      </c>
      <c r="H60" s="183">
        <f>H28+H34+H41+H42+H43+H44+H48+H55+H57</f>
        <v>34144</v>
      </c>
      <c r="I60" s="184">
        <f>I28+I34+I41+I42+I43+I44+I48+I55+I57</f>
        <v>600</v>
      </c>
      <c r="J60" s="185">
        <f t="shared" si="2"/>
        <v>34744</v>
      </c>
      <c r="K60" s="183">
        <f t="shared" si="3"/>
        <v>-3480</v>
      </c>
      <c r="L60" s="186">
        <f t="shared" si="4"/>
        <v>0.9089577228966095</v>
      </c>
    </row>
    <row r="61" spans="1:14" s="6" customFormat="1" ht="15">
      <c r="A61" s="447" t="s">
        <v>17</v>
      </c>
      <c r="B61" s="447"/>
      <c r="C61" s="447"/>
      <c r="D61" s="96">
        <f>D27-D60</f>
        <v>22.19999999999709</v>
      </c>
      <c r="E61" s="96">
        <f>E27-E60</f>
        <v>119</v>
      </c>
      <c r="F61" s="96"/>
      <c r="G61" s="96"/>
      <c r="H61" s="96">
        <f>H27-H60</f>
        <v>-2560</v>
      </c>
      <c r="I61" s="96">
        <f>I27-I60</f>
        <v>500</v>
      </c>
      <c r="J61" s="96">
        <f>J27-J60</f>
        <v>-2060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3" customFormat="1" ht="11.25">
      <c r="A63" s="119"/>
      <c r="B63" s="4"/>
      <c r="C63" s="4"/>
      <c r="D63" s="120"/>
      <c r="E63" s="121"/>
      <c r="F63" s="4"/>
      <c r="G63" s="4"/>
      <c r="H63" s="2"/>
      <c r="I63" s="122"/>
      <c r="J63" s="123"/>
      <c r="K63" s="119"/>
      <c r="L63" s="4"/>
      <c r="M63" s="4"/>
      <c r="N63" s="4"/>
      <c r="O63" s="2"/>
    </row>
    <row r="64" ht="13.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177</v>
      </c>
      <c r="B67" s="382"/>
      <c r="C67" s="13">
        <v>167</v>
      </c>
      <c r="D67" s="14"/>
      <c r="E67" s="382" t="s">
        <v>265</v>
      </c>
      <c r="F67" s="382"/>
      <c r="G67" s="382"/>
      <c r="H67" s="382"/>
      <c r="I67" s="15">
        <v>150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332</v>
      </c>
      <c r="B68" s="382"/>
      <c r="C68" s="13">
        <v>60</v>
      </c>
      <c r="D68" s="14"/>
      <c r="E68" s="380"/>
      <c r="F68" s="380"/>
      <c r="G68" s="380"/>
      <c r="H68" s="380"/>
      <c r="I68" s="16"/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/>
      <c r="B69" s="382"/>
      <c r="C69" s="13"/>
      <c r="D69" s="14"/>
      <c r="E69" s="380"/>
      <c r="F69" s="380"/>
      <c r="G69" s="380"/>
      <c r="H69" s="380"/>
      <c r="I69" s="16"/>
      <c r="J69" s="11"/>
      <c r="K69" s="21" t="s">
        <v>45</v>
      </c>
      <c r="L69" s="22"/>
      <c r="M69" s="23"/>
      <c r="N69" s="24"/>
    </row>
    <row r="70" spans="1:14" s="6" customFormat="1" ht="15">
      <c r="A70" s="382"/>
      <c r="B70" s="382"/>
      <c r="C70" s="13"/>
      <c r="D70" s="14"/>
      <c r="E70" s="380"/>
      <c r="F70" s="380"/>
      <c r="G70" s="380"/>
      <c r="H70" s="380"/>
      <c r="I70" s="16"/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227</v>
      </c>
      <c r="D75" s="36"/>
      <c r="E75" s="404" t="s">
        <v>12</v>
      </c>
      <c r="F75" s="404"/>
      <c r="G75" s="404"/>
      <c r="H75" s="404"/>
      <c r="I75" s="37">
        <f>SUM(I67:I74)</f>
        <v>150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143040</v>
      </c>
      <c r="B81" s="46">
        <v>12437</v>
      </c>
      <c r="C81" s="47">
        <v>2043</v>
      </c>
      <c r="D81" s="48">
        <v>162</v>
      </c>
      <c r="E81" s="48">
        <v>758</v>
      </c>
      <c r="F81" s="48">
        <v>2</v>
      </c>
      <c r="G81" s="48">
        <v>0</v>
      </c>
      <c r="H81" s="49">
        <v>1121</v>
      </c>
      <c r="I81" s="50"/>
      <c r="J81" s="51">
        <v>128560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41.25" customHeight="1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5341.15</v>
      </c>
      <c r="C86" s="61" t="s">
        <v>38</v>
      </c>
      <c r="D86" s="62" t="s">
        <v>38</v>
      </c>
      <c r="E86" s="62" t="s">
        <v>38</v>
      </c>
      <c r="F86" s="63"/>
      <c r="G86" s="64">
        <v>4719.14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240.14</v>
      </c>
      <c r="C87" s="71">
        <v>240</v>
      </c>
      <c r="D87" s="72">
        <v>0</v>
      </c>
      <c r="E87" s="72">
        <v>0</v>
      </c>
      <c r="F87" s="73">
        <f>C87+D87-E87</f>
        <v>240</v>
      </c>
      <c r="G87" s="74">
        <v>240.14</v>
      </c>
      <c r="H87" s="75">
        <f>+G87-F87</f>
        <v>0.13999999999998636</v>
      </c>
      <c r="I87" s="71">
        <v>240</v>
      </c>
      <c r="J87" s="72">
        <v>0</v>
      </c>
      <c r="K87" s="72">
        <v>0</v>
      </c>
      <c r="L87" s="73">
        <f>I87+J87-K87</f>
        <v>240</v>
      </c>
      <c r="M87" s="76"/>
    </row>
    <row r="88" spans="1:13" s="10" customFormat="1" ht="15">
      <c r="A88" s="69" t="s">
        <v>40</v>
      </c>
      <c r="B88" s="70">
        <f>352.91+354.86</f>
        <v>707.77</v>
      </c>
      <c r="C88" s="71">
        <f>353+355</f>
        <v>708</v>
      </c>
      <c r="D88" s="72">
        <f>22+202</f>
        <v>224</v>
      </c>
      <c r="E88" s="72">
        <v>213</v>
      </c>
      <c r="F88" s="73">
        <f>C88+D88-E88</f>
        <v>719</v>
      </c>
      <c r="G88" s="74">
        <f>374.76+344.84</f>
        <v>719.5999999999999</v>
      </c>
      <c r="H88" s="75">
        <f>+G88-F88</f>
        <v>0.599999999999909</v>
      </c>
      <c r="I88" s="71">
        <v>719</v>
      </c>
      <c r="J88" s="72">
        <v>319</v>
      </c>
      <c r="K88" s="72">
        <v>1038</v>
      </c>
      <c r="L88" s="73">
        <f>I88+J88-K88</f>
        <v>0</v>
      </c>
      <c r="M88" s="76"/>
    </row>
    <row r="89" spans="1:13" s="10" customFormat="1" ht="15">
      <c r="A89" s="69" t="s">
        <v>44</v>
      </c>
      <c r="B89" s="70">
        <v>504.53</v>
      </c>
      <c r="C89" s="71">
        <v>505</v>
      </c>
      <c r="D89" s="72">
        <v>578</v>
      </c>
      <c r="E89" s="72">
        <v>295</v>
      </c>
      <c r="F89" s="73">
        <f>C89+D89-E89</f>
        <v>788</v>
      </c>
      <c r="G89" s="74">
        <v>787.52</v>
      </c>
      <c r="H89" s="75">
        <f>+G89-F89</f>
        <v>-0.4800000000000182</v>
      </c>
      <c r="I89" s="77">
        <v>788</v>
      </c>
      <c r="J89" s="78">
        <v>2043</v>
      </c>
      <c r="K89" s="78">
        <v>227</v>
      </c>
      <c r="L89" s="73">
        <f>I89+J89-K89</f>
        <v>2604</v>
      </c>
      <c r="M89" s="76"/>
    </row>
    <row r="90" spans="1:13" s="10" customFormat="1" ht="15">
      <c r="A90" s="69" t="s">
        <v>41</v>
      </c>
      <c r="B90" s="70">
        <v>3888.71</v>
      </c>
      <c r="C90" s="79" t="s">
        <v>38</v>
      </c>
      <c r="D90" s="62" t="s">
        <v>38</v>
      </c>
      <c r="E90" s="80" t="s">
        <v>38</v>
      </c>
      <c r="F90" s="73"/>
      <c r="G90" s="74">
        <v>2971.88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110.38</v>
      </c>
      <c r="C91" s="111">
        <v>153</v>
      </c>
      <c r="D91" s="112">
        <v>390</v>
      </c>
      <c r="E91" s="112">
        <v>352</v>
      </c>
      <c r="F91" s="106">
        <f>C91+D91-E91</f>
        <v>191</v>
      </c>
      <c r="G91" s="109">
        <v>190.67</v>
      </c>
      <c r="H91" s="110">
        <f>+G91-F91</f>
        <v>-0.3300000000000125</v>
      </c>
      <c r="I91" s="111">
        <v>191</v>
      </c>
      <c r="J91" s="112">
        <v>161</v>
      </c>
      <c r="K91" s="112">
        <v>352</v>
      </c>
      <c r="L91" s="106">
        <f>I91+J91-K91</f>
        <v>0</v>
      </c>
      <c r="M91" s="76"/>
    </row>
    <row r="94" spans="1:11" s="1" customFormat="1" ht="15.75" thickBot="1">
      <c r="A94" s="5" t="s">
        <v>146</v>
      </c>
      <c r="D94" s="124"/>
      <c r="E94" s="125"/>
      <c r="K94" s="4" t="s">
        <v>46</v>
      </c>
    </row>
    <row r="95" spans="1:11" s="1" customFormat="1" ht="11.25">
      <c r="A95" s="500" t="s">
        <v>26</v>
      </c>
      <c r="B95" s="500"/>
      <c r="C95" s="500"/>
      <c r="D95" s="126"/>
      <c r="E95" s="500" t="s">
        <v>27</v>
      </c>
      <c r="F95" s="500"/>
      <c r="G95" s="500"/>
      <c r="I95" s="500" t="s">
        <v>23</v>
      </c>
      <c r="J95" s="500"/>
      <c r="K95" s="500"/>
    </row>
    <row r="96" spans="1:11" s="1" customFormat="1" ht="12" thickBot="1">
      <c r="A96" s="127" t="s">
        <v>28</v>
      </c>
      <c r="B96" s="128" t="s">
        <v>29</v>
      </c>
      <c r="C96" s="129" t="s">
        <v>25</v>
      </c>
      <c r="D96" s="126"/>
      <c r="E96" s="130"/>
      <c r="F96" s="501" t="s">
        <v>30</v>
      </c>
      <c r="G96" s="501"/>
      <c r="I96" s="127"/>
      <c r="J96" s="128" t="s">
        <v>24</v>
      </c>
      <c r="K96" s="129" t="s">
        <v>25</v>
      </c>
    </row>
    <row r="97" spans="1:11" s="1" customFormat="1" ht="11.25">
      <c r="A97" s="131">
        <v>2010</v>
      </c>
      <c r="B97" s="132">
        <v>84</v>
      </c>
      <c r="C97" s="133">
        <v>82.5</v>
      </c>
      <c r="D97" s="120"/>
      <c r="E97" s="131">
        <v>2010</v>
      </c>
      <c r="F97" s="502">
        <v>145</v>
      </c>
      <c r="G97" s="502"/>
      <c r="I97" s="131">
        <v>2010</v>
      </c>
      <c r="J97" s="132">
        <v>19500</v>
      </c>
      <c r="K97" s="133">
        <v>19500</v>
      </c>
    </row>
    <row r="98" spans="1:11" s="1" customFormat="1" ht="12" thickBot="1">
      <c r="A98" s="134">
        <v>2011</v>
      </c>
      <c r="B98" s="135">
        <v>66</v>
      </c>
      <c r="C98" s="136" t="s">
        <v>62</v>
      </c>
      <c r="D98" s="120"/>
      <c r="E98" s="134">
        <v>2011</v>
      </c>
      <c r="F98" s="503">
        <v>94</v>
      </c>
      <c r="G98" s="503"/>
      <c r="I98" s="134">
        <v>2011</v>
      </c>
      <c r="J98" s="135">
        <v>16118</v>
      </c>
      <c r="K98" s="136" t="s">
        <v>62</v>
      </c>
    </row>
  </sheetData>
  <mergeCells count="104">
    <mergeCell ref="I95:K95"/>
    <mergeCell ref="F96:G96"/>
    <mergeCell ref="F97:G97"/>
    <mergeCell ref="F98:G98"/>
    <mergeCell ref="A62:C62"/>
    <mergeCell ref="A95:C95"/>
    <mergeCell ref="E95:G95"/>
    <mergeCell ref="A65:B66"/>
    <mergeCell ref="C65:C66"/>
    <mergeCell ref="E65:H66"/>
    <mergeCell ref="A67:B67"/>
    <mergeCell ref="E67:H67"/>
    <mergeCell ref="A68:B68"/>
    <mergeCell ref="A70:B70"/>
    <mergeCell ref="E4:E6"/>
    <mergeCell ref="F4:G4"/>
    <mergeCell ref="H4:J4"/>
    <mergeCell ref="K4:L4"/>
    <mergeCell ref="I65:I66"/>
    <mergeCell ref="E68:H68"/>
    <mergeCell ref="A69:B69"/>
    <mergeCell ref="E69:H69"/>
    <mergeCell ref="E70:H70"/>
    <mergeCell ref="A71:B71"/>
    <mergeCell ref="E71:H71"/>
    <mergeCell ref="A72:B72"/>
    <mergeCell ref="E72:H72"/>
    <mergeCell ref="A73:B73"/>
    <mergeCell ref="E73:H73"/>
    <mergeCell ref="A74:B74"/>
    <mergeCell ref="E74:H74"/>
    <mergeCell ref="A75:B75"/>
    <mergeCell ref="E75:H75"/>
    <mergeCell ref="A78:A80"/>
    <mergeCell ref="B78:B80"/>
    <mergeCell ref="C78:I78"/>
    <mergeCell ref="J78:J80"/>
    <mergeCell ref="C79:C80"/>
    <mergeCell ref="D79:I79"/>
    <mergeCell ref="A84:A85"/>
    <mergeCell ref="B84:B85"/>
    <mergeCell ref="C84:F84"/>
    <mergeCell ref="G84:G85"/>
    <mergeCell ref="H84:H85"/>
    <mergeCell ref="I84:L84"/>
    <mergeCell ref="A3:G3"/>
    <mergeCell ref="A2:N2"/>
    <mergeCell ref="A56:C56"/>
    <mergeCell ref="A57:C57"/>
    <mergeCell ref="A52:C52"/>
    <mergeCell ref="A53:C53"/>
    <mergeCell ref="A54:C54"/>
    <mergeCell ref="A55:C55"/>
    <mergeCell ref="A40:C40"/>
    <mergeCell ref="A41:C41"/>
    <mergeCell ref="A58:C58"/>
    <mergeCell ref="A59:C59"/>
    <mergeCell ref="A60:C60"/>
    <mergeCell ref="A61:C61"/>
    <mergeCell ref="A50:C50"/>
    <mergeCell ref="A51:C51"/>
    <mergeCell ref="A46:C46"/>
    <mergeCell ref="A47:C47"/>
    <mergeCell ref="A48:C48"/>
    <mergeCell ref="A45:C45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8:C8"/>
    <mergeCell ref="A9:C9"/>
    <mergeCell ref="A4:C6"/>
    <mergeCell ref="D4:D6"/>
    <mergeCell ref="A7:C7"/>
    <mergeCell ref="A10:C10"/>
    <mergeCell ref="A11:C11"/>
    <mergeCell ref="A12:C12"/>
    <mergeCell ref="A13:C13"/>
    <mergeCell ref="A14:C14"/>
    <mergeCell ref="A15:C15"/>
    <mergeCell ref="A49:C49"/>
    <mergeCell ref="A42:C42"/>
    <mergeCell ref="A43:C43"/>
    <mergeCell ref="A44:C44"/>
    <mergeCell ref="A16:C16"/>
    <mergeCell ref="A17:C17"/>
    <mergeCell ref="A18:C18"/>
    <mergeCell ref="A19:C19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4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Normal="95" zoomScaleSheetLayoutView="70" workbookViewId="0" topLeftCell="A1">
      <selection activeCell="J69" sqref="J69"/>
    </sheetView>
  </sheetViews>
  <sheetFormatPr defaultColWidth="9.00390625" defaultRowHeight="12.75"/>
  <cols>
    <col min="1" max="1" width="27.875" style="138" customWidth="1"/>
    <col min="2" max="2" width="20.25390625" style="138" customWidth="1"/>
    <col min="3" max="3" width="12.875" style="138" customWidth="1"/>
    <col min="4" max="4" width="11.75390625" style="154" customWidth="1"/>
    <col min="5" max="5" width="11.75390625" style="147" customWidth="1"/>
    <col min="6" max="6" width="15.625" style="138" customWidth="1"/>
    <col min="7" max="12" width="11.753906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132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12918</v>
      </c>
      <c r="E7" s="169">
        <v>14956</v>
      </c>
      <c r="F7" s="170">
        <f>E7-D7</f>
        <v>2038</v>
      </c>
      <c r="G7" s="171">
        <f>E7/D7</f>
        <v>1.1577643598080198</v>
      </c>
      <c r="H7" s="172">
        <v>14956</v>
      </c>
      <c r="I7" s="173"/>
      <c r="J7" s="174">
        <f>H7+I7</f>
        <v>14956</v>
      </c>
      <c r="K7" s="175">
        <f>J7-E7</f>
        <v>0</v>
      </c>
      <c r="L7" s="176">
        <f>J7/E7</f>
        <v>1</v>
      </c>
    </row>
    <row r="8" spans="1:12" ht="14.25">
      <c r="A8" s="465" t="s">
        <v>66</v>
      </c>
      <c r="B8" s="465"/>
      <c r="C8" s="465"/>
      <c r="D8" s="143">
        <v>6267</v>
      </c>
      <c r="E8" s="140">
        <v>6569</v>
      </c>
      <c r="F8" s="160">
        <f aca="true" t="shared" si="0" ref="F8:F60">E8-D8</f>
        <v>302</v>
      </c>
      <c r="G8" s="161">
        <f aca="true" t="shared" si="1" ref="G8:G60">E8/D8</f>
        <v>1.048188926120951</v>
      </c>
      <c r="H8" s="141">
        <v>6569</v>
      </c>
      <c r="I8" s="142"/>
      <c r="J8" s="174">
        <f aca="true" t="shared" si="2" ref="J8:J60">H8+I8</f>
        <v>6569</v>
      </c>
      <c r="K8" s="164">
        <f aca="true" t="shared" si="3" ref="K8:K61">J8-E8</f>
        <v>0</v>
      </c>
      <c r="L8" s="165">
        <f aca="true" t="shared" si="4" ref="L8:L61">J8/E8</f>
        <v>1</v>
      </c>
    </row>
    <row r="9" spans="1:12" ht="14.25">
      <c r="A9" s="465" t="s">
        <v>67</v>
      </c>
      <c r="B9" s="465"/>
      <c r="C9" s="465"/>
      <c r="D9" s="143">
        <v>5735</v>
      </c>
      <c r="E9" s="140">
        <v>6305</v>
      </c>
      <c r="F9" s="160">
        <f t="shared" si="0"/>
        <v>570</v>
      </c>
      <c r="G9" s="161">
        <f t="shared" si="1"/>
        <v>1.0993897122929381</v>
      </c>
      <c r="H9" s="141">
        <v>6305</v>
      </c>
      <c r="I9" s="142"/>
      <c r="J9" s="174">
        <f t="shared" si="2"/>
        <v>6305</v>
      </c>
      <c r="K9" s="164">
        <f t="shared" si="3"/>
        <v>0</v>
      </c>
      <c r="L9" s="165">
        <f t="shared" si="4"/>
        <v>1</v>
      </c>
    </row>
    <row r="10" spans="1:12" ht="14.25">
      <c r="A10" s="465" t="s">
        <v>68</v>
      </c>
      <c r="B10" s="465"/>
      <c r="C10" s="465"/>
      <c r="D10" s="143"/>
      <c r="E10" s="140"/>
      <c r="F10" s="160">
        <f t="shared" si="0"/>
        <v>0</v>
      </c>
      <c r="G10" s="161"/>
      <c r="H10" s="141"/>
      <c r="I10" s="142"/>
      <c r="J10" s="174">
        <f t="shared" si="2"/>
        <v>0</v>
      </c>
      <c r="K10" s="164">
        <f t="shared" si="3"/>
        <v>0</v>
      </c>
      <c r="L10" s="165"/>
    </row>
    <row r="11" spans="1:12" ht="14.25">
      <c r="A11" s="465" t="s">
        <v>69</v>
      </c>
      <c r="B11" s="465"/>
      <c r="C11" s="465"/>
      <c r="D11" s="143">
        <v>659</v>
      </c>
      <c r="E11" s="140">
        <v>1799</v>
      </c>
      <c r="F11" s="160">
        <f t="shared" si="0"/>
        <v>1140</v>
      </c>
      <c r="G11" s="161">
        <f t="shared" si="1"/>
        <v>2.7298937784522</v>
      </c>
      <c r="H11" s="141">
        <v>1799</v>
      </c>
      <c r="I11" s="142"/>
      <c r="J11" s="174">
        <f t="shared" si="2"/>
        <v>1799</v>
      </c>
      <c r="K11" s="164">
        <f t="shared" si="3"/>
        <v>0</v>
      </c>
      <c r="L11" s="165">
        <f t="shared" si="4"/>
        <v>1</v>
      </c>
    </row>
    <row r="12" spans="1:12" ht="14.25">
      <c r="A12" s="465" t="s">
        <v>70</v>
      </c>
      <c r="B12" s="465"/>
      <c r="C12" s="465"/>
      <c r="D12" s="143">
        <v>257</v>
      </c>
      <c r="E12" s="140">
        <v>283</v>
      </c>
      <c r="F12" s="160">
        <f t="shared" si="0"/>
        <v>26</v>
      </c>
      <c r="G12" s="161">
        <f t="shared" si="1"/>
        <v>1.1011673151750974</v>
      </c>
      <c r="H12" s="141">
        <v>283</v>
      </c>
      <c r="I12" s="142"/>
      <c r="J12" s="174">
        <f t="shared" si="2"/>
        <v>283</v>
      </c>
      <c r="K12" s="164">
        <f t="shared" si="3"/>
        <v>0</v>
      </c>
      <c r="L12" s="165">
        <f t="shared" si="4"/>
        <v>1</v>
      </c>
    </row>
    <row r="13" spans="1:12" ht="14.25">
      <c r="A13" s="465" t="s">
        <v>71</v>
      </c>
      <c r="B13" s="465"/>
      <c r="C13" s="465"/>
      <c r="D13" s="143"/>
      <c r="E13" s="140"/>
      <c r="F13" s="160">
        <f t="shared" si="0"/>
        <v>0</v>
      </c>
      <c r="G13" s="161"/>
      <c r="H13" s="141"/>
      <c r="I13" s="142"/>
      <c r="J13" s="174">
        <f t="shared" si="2"/>
        <v>0</v>
      </c>
      <c r="K13" s="164">
        <f t="shared" si="3"/>
        <v>0</v>
      </c>
      <c r="L13" s="165"/>
    </row>
    <row r="14" spans="1:20" ht="15">
      <c r="A14" s="456" t="s">
        <v>72</v>
      </c>
      <c r="B14" s="456"/>
      <c r="C14" s="456"/>
      <c r="D14" s="143"/>
      <c r="E14" s="177"/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/>
      <c r="E15" s="140"/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/>
      <c r="E16" s="140">
        <v>11</v>
      </c>
      <c r="F16" s="160">
        <f t="shared" si="0"/>
        <v>11</v>
      </c>
      <c r="G16" s="161"/>
      <c r="H16" s="141">
        <v>11</v>
      </c>
      <c r="I16" s="142"/>
      <c r="J16" s="174">
        <f t="shared" si="2"/>
        <v>11</v>
      </c>
      <c r="K16" s="164">
        <f t="shared" si="3"/>
        <v>0</v>
      </c>
      <c r="L16" s="165">
        <f t="shared" si="4"/>
        <v>1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/>
      <c r="E17" s="140"/>
      <c r="F17" s="160">
        <f t="shared" si="0"/>
        <v>0</v>
      </c>
      <c r="G17" s="161"/>
      <c r="H17" s="141"/>
      <c r="I17" s="142"/>
      <c r="J17" s="174">
        <f t="shared" si="2"/>
        <v>0</v>
      </c>
      <c r="K17" s="164">
        <f t="shared" si="3"/>
        <v>0</v>
      </c>
      <c r="L17" s="165"/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/>
      <c r="E20" s="140"/>
      <c r="F20" s="160">
        <f t="shared" si="0"/>
        <v>0</v>
      </c>
      <c r="G20" s="161"/>
      <c r="H20" s="141"/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/>
      <c r="E22" s="177"/>
      <c r="F22" s="160">
        <f t="shared" si="0"/>
        <v>0</v>
      </c>
      <c r="G22" s="161"/>
      <c r="H22" s="172">
        <f>SUM(H23:H24)</f>
        <v>5527</v>
      </c>
      <c r="I22" s="173"/>
      <c r="J22" s="174">
        <f t="shared" si="2"/>
        <v>5527</v>
      </c>
      <c r="K22" s="164">
        <f t="shared" si="3"/>
        <v>5527</v>
      </c>
      <c r="L22" s="165"/>
    </row>
    <row r="23" spans="1:12" ht="14.25">
      <c r="A23" s="456" t="s">
        <v>81</v>
      </c>
      <c r="B23" s="456"/>
      <c r="C23" s="456"/>
      <c r="D23" s="143">
        <v>1340</v>
      </c>
      <c r="E23" s="140">
        <v>1007</v>
      </c>
      <c r="F23" s="160">
        <f t="shared" si="0"/>
        <v>-333</v>
      </c>
      <c r="G23" s="161">
        <f t="shared" si="1"/>
        <v>0.7514925373134328</v>
      </c>
      <c r="H23" s="141">
        <v>1007</v>
      </c>
      <c r="I23" s="142"/>
      <c r="J23" s="174">
        <f t="shared" si="2"/>
        <v>1007</v>
      </c>
      <c r="K23" s="164">
        <f t="shared" si="3"/>
        <v>0</v>
      </c>
      <c r="L23" s="165">
        <f t="shared" si="4"/>
        <v>1</v>
      </c>
    </row>
    <row r="24" spans="1:12" ht="14.25">
      <c r="A24" s="456" t="s">
        <v>82</v>
      </c>
      <c r="B24" s="456"/>
      <c r="C24" s="456"/>
      <c r="D24" s="143">
        <v>4945</v>
      </c>
      <c r="E24" s="140">
        <v>5155</v>
      </c>
      <c r="F24" s="160">
        <f t="shared" si="0"/>
        <v>210</v>
      </c>
      <c r="G24" s="161">
        <f t="shared" si="1"/>
        <v>1.0424671385237614</v>
      </c>
      <c r="H24" s="141">
        <v>4520</v>
      </c>
      <c r="I24" s="142"/>
      <c r="J24" s="174">
        <f t="shared" si="2"/>
        <v>4520</v>
      </c>
      <c r="K24" s="164">
        <f t="shared" si="3"/>
        <v>-635</v>
      </c>
      <c r="L24" s="165">
        <f t="shared" si="4"/>
        <v>0.8768186226964112</v>
      </c>
    </row>
    <row r="25" spans="1:12" ht="14.25">
      <c r="A25" s="456" t="s">
        <v>83</v>
      </c>
      <c r="B25" s="456"/>
      <c r="C25" s="456"/>
      <c r="D25" s="143"/>
      <c r="E25" s="140"/>
      <c r="F25" s="160">
        <f t="shared" si="0"/>
        <v>0</v>
      </c>
      <c r="G25" s="161"/>
      <c r="H25" s="141"/>
      <c r="I25" s="142"/>
      <c r="J25" s="174">
        <f t="shared" si="2"/>
        <v>0</v>
      </c>
      <c r="K25" s="164">
        <f t="shared" si="3"/>
        <v>0</v>
      </c>
      <c r="L25" s="165"/>
    </row>
    <row r="26" spans="1:12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19203</v>
      </c>
      <c r="E27" s="180">
        <v>21129</v>
      </c>
      <c r="F27" s="181">
        <f t="shared" si="0"/>
        <v>1926</v>
      </c>
      <c r="G27" s="182">
        <f t="shared" si="1"/>
        <v>1.1002968286205281</v>
      </c>
      <c r="H27" s="183">
        <v>20494</v>
      </c>
      <c r="I27" s="184"/>
      <c r="J27" s="185">
        <f t="shared" si="2"/>
        <v>20494</v>
      </c>
      <c r="K27" s="183">
        <f t="shared" si="3"/>
        <v>-635</v>
      </c>
      <c r="L27" s="186">
        <f t="shared" si="4"/>
        <v>0.9699465190023191</v>
      </c>
    </row>
    <row r="28" spans="1:12" ht="14.25">
      <c r="A28" s="495" t="s">
        <v>85</v>
      </c>
      <c r="B28" s="495"/>
      <c r="C28" s="495"/>
      <c r="D28" s="187">
        <v>2886</v>
      </c>
      <c r="E28" s="188">
        <v>3238</v>
      </c>
      <c r="F28" s="189">
        <f t="shared" si="0"/>
        <v>352</v>
      </c>
      <c r="G28" s="190">
        <f t="shared" si="1"/>
        <v>1.121968121968122</v>
      </c>
      <c r="H28" s="191">
        <f>3238+30</f>
        <v>3268</v>
      </c>
      <c r="I28" s="192"/>
      <c r="J28" s="193">
        <f t="shared" si="2"/>
        <v>3268</v>
      </c>
      <c r="K28" s="194">
        <f t="shared" si="3"/>
        <v>30</v>
      </c>
      <c r="L28" s="195">
        <f t="shared" si="4"/>
        <v>1.0092649783817171</v>
      </c>
    </row>
    <row r="29" spans="1:12" ht="14.25">
      <c r="A29" s="441" t="s">
        <v>86</v>
      </c>
      <c r="B29" s="441"/>
      <c r="C29" s="441"/>
      <c r="D29" s="143">
        <v>1776</v>
      </c>
      <c r="E29" s="140">
        <v>1860</v>
      </c>
      <c r="F29" s="160">
        <f t="shared" si="0"/>
        <v>84</v>
      </c>
      <c r="G29" s="161">
        <f t="shared" si="1"/>
        <v>1.0472972972972974</v>
      </c>
      <c r="H29" s="141">
        <f>1860+30</f>
        <v>1890</v>
      </c>
      <c r="I29" s="142"/>
      <c r="J29" s="174">
        <f t="shared" si="2"/>
        <v>1890</v>
      </c>
      <c r="K29" s="164">
        <f t="shared" si="3"/>
        <v>30</v>
      </c>
      <c r="L29" s="165">
        <f t="shared" si="4"/>
        <v>1.0161290322580645</v>
      </c>
    </row>
    <row r="30" spans="1:12" ht="14.25">
      <c r="A30" s="441" t="s">
        <v>87</v>
      </c>
      <c r="B30" s="441"/>
      <c r="C30" s="441"/>
      <c r="D30" s="143">
        <v>69</v>
      </c>
      <c r="E30" s="140">
        <v>90</v>
      </c>
      <c r="F30" s="160">
        <f t="shared" si="0"/>
        <v>21</v>
      </c>
      <c r="G30" s="161">
        <f t="shared" si="1"/>
        <v>1.3043478260869565</v>
      </c>
      <c r="H30" s="141">
        <v>90</v>
      </c>
      <c r="I30" s="142"/>
      <c r="J30" s="174">
        <f t="shared" si="2"/>
        <v>90</v>
      </c>
      <c r="K30" s="164">
        <f t="shared" si="3"/>
        <v>0</v>
      </c>
      <c r="L30" s="165">
        <f t="shared" si="4"/>
        <v>1</v>
      </c>
    </row>
    <row r="31" spans="1:12" ht="14.25">
      <c r="A31" s="441" t="s">
        <v>88</v>
      </c>
      <c r="B31" s="441"/>
      <c r="C31" s="441"/>
      <c r="D31" s="143">
        <v>370</v>
      </c>
      <c r="E31" s="140">
        <v>403</v>
      </c>
      <c r="F31" s="160">
        <f t="shared" si="0"/>
        <v>33</v>
      </c>
      <c r="G31" s="161">
        <f t="shared" si="1"/>
        <v>1.0891891891891892</v>
      </c>
      <c r="H31" s="141">
        <v>403</v>
      </c>
      <c r="I31" s="142"/>
      <c r="J31" s="174">
        <f t="shared" si="2"/>
        <v>403</v>
      </c>
      <c r="K31" s="164">
        <f t="shared" si="3"/>
        <v>0</v>
      </c>
      <c r="L31" s="165">
        <f t="shared" si="4"/>
        <v>1</v>
      </c>
    </row>
    <row r="32" spans="1:12" ht="14.25">
      <c r="A32" s="441" t="s">
        <v>89</v>
      </c>
      <c r="B32" s="441"/>
      <c r="C32" s="441"/>
      <c r="D32" s="143">
        <v>252</v>
      </c>
      <c r="E32" s="140">
        <v>439</v>
      </c>
      <c r="F32" s="160">
        <f t="shared" si="0"/>
        <v>187</v>
      </c>
      <c r="G32" s="161">
        <f t="shared" si="1"/>
        <v>1.742063492063492</v>
      </c>
      <c r="H32" s="141">
        <v>439</v>
      </c>
      <c r="I32" s="142"/>
      <c r="J32" s="174">
        <f t="shared" si="2"/>
        <v>439</v>
      </c>
      <c r="K32" s="164">
        <f t="shared" si="3"/>
        <v>0</v>
      </c>
      <c r="L32" s="165">
        <f t="shared" si="4"/>
        <v>1</v>
      </c>
    </row>
    <row r="33" spans="1:12" ht="14.25">
      <c r="A33" s="441" t="s">
        <v>90</v>
      </c>
      <c r="B33" s="441"/>
      <c r="C33" s="441"/>
      <c r="D33" s="143">
        <v>419</v>
      </c>
      <c r="E33" s="140">
        <v>446</v>
      </c>
      <c r="F33" s="160">
        <f t="shared" si="0"/>
        <v>27</v>
      </c>
      <c r="G33" s="161">
        <f t="shared" si="1"/>
        <v>1.0644391408114557</v>
      </c>
      <c r="H33" s="141">
        <v>446</v>
      </c>
      <c r="I33" s="142"/>
      <c r="J33" s="174">
        <f t="shared" si="2"/>
        <v>446</v>
      </c>
      <c r="K33" s="164">
        <f t="shared" si="3"/>
        <v>0</v>
      </c>
      <c r="L33" s="165">
        <f t="shared" si="4"/>
        <v>1</v>
      </c>
    </row>
    <row r="34" spans="1:12" ht="14.25">
      <c r="A34" s="441" t="s">
        <v>91</v>
      </c>
      <c r="B34" s="441"/>
      <c r="C34" s="441"/>
      <c r="D34" s="196">
        <v>1498</v>
      </c>
      <c r="E34" s="177">
        <v>1116</v>
      </c>
      <c r="F34" s="197">
        <f t="shared" si="0"/>
        <v>-382</v>
      </c>
      <c r="G34" s="198">
        <f t="shared" si="1"/>
        <v>0.7449933244325768</v>
      </c>
      <c r="H34" s="172">
        <v>1116</v>
      </c>
      <c r="I34" s="173"/>
      <c r="J34" s="174">
        <f t="shared" si="2"/>
        <v>1116</v>
      </c>
      <c r="K34" s="199">
        <f t="shared" si="3"/>
        <v>0</v>
      </c>
      <c r="L34" s="200">
        <f t="shared" si="4"/>
        <v>1</v>
      </c>
    </row>
    <row r="35" spans="1:12" ht="14.25">
      <c r="A35" s="441" t="s">
        <v>92</v>
      </c>
      <c r="B35" s="441"/>
      <c r="C35" s="441"/>
      <c r="D35" s="143">
        <v>799</v>
      </c>
      <c r="E35" s="140">
        <v>547</v>
      </c>
      <c r="F35" s="160">
        <f t="shared" si="0"/>
        <v>-252</v>
      </c>
      <c r="G35" s="161">
        <f t="shared" si="1"/>
        <v>0.6846057571964956</v>
      </c>
      <c r="H35" s="141">
        <v>547</v>
      </c>
      <c r="I35" s="142"/>
      <c r="J35" s="174">
        <f t="shared" si="2"/>
        <v>547</v>
      </c>
      <c r="K35" s="164">
        <f t="shared" si="3"/>
        <v>0</v>
      </c>
      <c r="L35" s="165">
        <f t="shared" si="4"/>
        <v>1</v>
      </c>
    </row>
    <row r="36" spans="1:12" ht="14.25">
      <c r="A36" s="441" t="s">
        <v>93</v>
      </c>
      <c r="B36" s="441"/>
      <c r="C36" s="441"/>
      <c r="D36" s="143">
        <v>508</v>
      </c>
      <c r="E36" s="140">
        <v>379</v>
      </c>
      <c r="F36" s="160">
        <f t="shared" si="0"/>
        <v>-129</v>
      </c>
      <c r="G36" s="161">
        <f t="shared" si="1"/>
        <v>0.7460629921259843</v>
      </c>
      <c r="H36" s="141">
        <v>379</v>
      </c>
      <c r="I36" s="142"/>
      <c r="J36" s="174">
        <f t="shared" si="2"/>
        <v>379</v>
      </c>
      <c r="K36" s="164">
        <f t="shared" si="3"/>
        <v>0</v>
      </c>
      <c r="L36" s="165">
        <f t="shared" si="4"/>
        <v>1</v>
      </c>
    </row>
    <row r="37" spans="1:12" ht="14.25">
      <c r="A37" s="441" t="s">
        <v>94</v>
      </c>
      <c r="B37" s="441"/>
      <c r="C37" s="441"/>
      <c r="D37" s="143"/>
      <c r="E37" s="140"/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191</v>
      </c>
      <c r="E39" s="140">
        <v>190</v>
      </c>
      <c r="F39" s="160">
        <f t="shared" si="0"/>
        <v>-1</v>
      </c>
      <c r="G39" s="161">
        <f t="shared" si="1"/>
        <v>0.9947643979057592</v>
      </c>
      <c r="H39" s="141">
        <v>190</v>
      </c>
      <c r="I39" s="142"/>
      <c r="J39" s="174">
        <f t="shared" si="2"/>
        <v>190</v>
      </c>
      <c r="K39" s="164">
        <f t="shared" si="3"/>
        <v>0</v>
      </c>
      <c r="L39" s="165">
        <f t="shared" si="4"/>
        <v>1</v>
      </c>
    </row>
    <row r="40" spans="1:12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339</v>
      </c>
      <c r="E41" s="140">
        <v>1116</v>
      </c>
      <c r="F41" s="160">
        <f t="shared" si="0"/>
        <v>777</v>
      </c>
      <c r="G41" s="161">
        <f t="shared" si="1"/>
        <v>3.2920353982300883</v>
      </c>
      <c r="H41" s="141">
        <v>536</v>
      </c>
      <c r="I41" s="142"/>
      <c r="J41" s="174">
        <f t="shared" si="2"/>
        <v>536</v>
      </c>
      <c r="K41" s="164">
        <f t="shared" si="3"/>
        <v>-580</v>
      </c>
      <c r="L41" s="165">
        <f t="shared" si="4"/>
        <v>0.48028673835125446</v>
      </c>
    </row>
    <row r="42" spans="1:12" ht="14.25">
      <c r="A42" s="441" t="s">
        <v>99</v>
      </c>
      <c r="B42" s="441"/>
      <c r="C42" s="441"/>
      <c r="D42" s="143">
        <v>87</v>
      </c>
      <c r="E42" s="140">
        <v>104</v>
      </c>
      <c r="F42" s="160">
        <f t="shared" si="0"/>
        <v>17</v>
      </c>
      <c r="G42" s="161">
        <f t="shared" si="1"/>
        <v>1.1954022988505748</v>
      </c>
      <c r="H42" s="141">
        <v>104</v>
      </c>
      <c r="I42" s="142"/>
      <c r="J42" s="174">
        <f t="shared" si="2"/>
        <v>104</v>
      </c>
      <c r="K42" s="164">
        <f t="shared" si="3"/>
        <v>0</v>
      </c>
      <c r="L42" s="165">
        <f t="shared" si="4"/>
        <v>1</v>
      </c>
    </row>
    <row r="43" spans="1:12" ht="14.25">
      <c r="A43" s="441" t="s">
        <v>100</v>
      </c>
      <c r="B43" s="441"/>
      <c r="C43" s="441"/>
      <c r="D43" s="143">
        <v>4</v>
      </c>
      <c r="E43" s="140">
        <v>6</v>
      </c>
      <c r="F43" s="160">
        <f t="shared" si="0"/>
        <v>2</v>
      </c>
      <c r="G43" s="161">
        <f t="shared" si="1"/>
        <v>1.5</v>
      </c>
      <c r="H43" s="141">
        <v>6</v>
      </c>
      <c r="I43" s="142"/>
      <c r="J43" s="174">
        <f t="shared" si="2"/>
        <v>6</v>
      </c>
      <c r="K43" s="164">
        <f t="shared" si="3"/>
        <v>0</v>
      </c>
      <c r="L43" s="165">
        <f t="shared" si="4"/>
        <v>1</v>
      </c>
    </row>
    <row r="44" spans="1:12" ht="14.25">
      <c r="A44" s="441" t="s">
        <v>101</v>
      </c>
      <c r="B44" s="441"/>
      <c r="C44" s="441"/>
      <c r="D44" s="143">
        <v>801</v>
      </c>
      <c r="E44" s="140">
        <v>904</v>
      </c>
      <c r="F44" s="160">
        <f t="shared" si="0"/>
        <v>103</v>
      </c>
      <c r="G44" s="161">
        <f t="shared" si="1"/>
        <v>1.1285892634207242</v>
      </c>
      <c r="H44" s="141">
        <v>904</v>
      </c>
      <c r="I44" s="142"/>
      <c r="J44" s="174">
        <f t="shared" si="2"/>
        <v>904</v>
      </c>
      <c r="K44" s="164">
        <f t="shared" si="3"/>
        <v>0</v>
      </c>
      <c r="L44" s="165">
        <f t="shared" si="4"/>
        <v>1</v>
      </c>
    </row>
    <row r="45" spans="1:15" ht="14.25">
      <c r="A45" s="441" t="s">
        <v>102</v>
      </c>
      <c r="B45" s="441"/>
      <c r="C45" s="441"/>
      <c r="D45" s="143">
        <v>100</v>
      </c>
      <c r="E45" s="140">
        <v>102</v>
      </c>
      <c r="F45" s="160">
        <f t="shared" si="0"/>
        <v>2</v>
      </c>
      <c r="G45" s="161">
        <f t="shared" si="1"/>
        <v>1.02</v>
      </c>
      <c r="H45" s="141">
        <v>102</v>
      </c>
      <c r="I45" s="142"/>
      <c r="J45" s="174">
        <f t="shared" si="2"/>
        <v>102</v>
      </c>
      <c r="K45" s="164">
        <f t="shared" si="3"/>
        <v>0</v>
      </c>
      <c r="L45" s="165">
        <f t="shared" si="4"/>
        <v>1</v>
      </c>
      <c r="O45" s="147"/>
    </row>
    <row r="46" spans="1:12" ht="14.25">
      <c r="A46" s="441" t="s">
        <v>103</v>
      </c>
      <c r="B46" s="441"/>
      <c r="C46" s="441"/>
      <c r="D46" s="143"/>
      <c r="E46" s="140"/>
      <c r="F46" s="160">
        <f t="shared" si="0"/>
        <v>0</v>
      </c>
      <c r="G46" s="161"/>
      <c r="H46" s="141"/>
      <c r="I46" s="142"/>
      <c r="J46" s="174">
        <f t="shared" si="2"/>
        <v>0</v>
      </c>
      <c r="K46" s="164">
        <f t="shared" si="3"/>
        <v>0</v>
      </c>
      <c r="L46" s="165"/>
    </row>
    <row r="47" spans="1:12" ht="14.25">
      <c r="A47" s="441" t="s">
        <v>104</v>
      </c>
      <c r="B47" s="441"/>
      <c r="C47" s="441"/>
      <c r="D47" s="143">
        <v>701</v>
      </c>
      <c r="E47" s="140">
        <v>802</v>
      </c>
      <c r="F47" s="160">
        <f t="shared" si="0"/>
        <v>101</v>
      </c>
      <c r="G47" s="161">
        <f t="shared" si="1"/>
        <v>1.144079885877318</v>
      </c>
      <c r="H47" s="141">
        <v>802</v>
      </c>
      <c r="I47" s="142"/>
      <c r="J47" s="174">
        <f t="shared" si="2"/>
        <v>802</v>
      </c>
      <c r="K47" s="164">
        <f t="shared" si="3"/>
        <v>0</v>
      </c>
      <c r="L47" s="165">
        <f t="shared" si="4"/>
        <v>1</v>
      </c>
    </row>
    <row r="48" spans="1:12" ht="14.25">
      <c r="A48" s="441" t="s">
        <v>105</v>
      </c>
      <c r="B48" s="441"/>
      <c r="C48" s="441"/>
      <c r="D48" s="196">
        <v>12930</v>
      </c>
      <c r="E48" s="177">
        <v>13909</v>
      </c>
      <c r="F48" s="197">
        <f t="shared" si="0"/>
        <v>979</v>
      </c>
      <c r="G48" s="198">
        <f t="shared" si="1"/>
        <v>1.0757153905645784</v>
      </c>
      <c r="H48" s="172">
        <v>13909</v>
      </c>
      <c r="I48" s="173"/>
      <c r="J48" s="174">
        <f t="shared" si="2"/>
        <v>13909</v>
      </c>
      <c r="K48" s="199">
        <f t="shared" si="3"/>
        <v>0</v>
      </c>
      <c r="L48" s="200">
        <f t="shared" si="4"/>
        <v>1</v>
      </c>
    </row>
    <row r="49" spans="1:12" ht="14.25">
      <c r="A49" s="441" t="s">
        <v>106</v>
      </c>
      <c r="B49" s="441"/>
      <c r="C49" s="441"/>
      <c r="D49" s="143">
        <v>9623</v>
      </c>
      <c r="E49" s="140">
        <v>10239</v>
      </c>
      <c r="F49" s="160">
        <f t="shared" si="0"/>
        <v>616</v>
      </c>
      <c r="G49" s="161">
        <f t="shared" si="1"/>
        <v>1.0640133014652395</v>
      </c>
      <c r="H49" s="141">
        <v>10239</v>
      </c>
      <c r="I49" s="142"/>
      <c r="J49" s="174">
        <f t="shared" si="2"/>
        <v>10239</v>
      </c>
      <c r="K49" s="164">
        <f t="shared" si="3"/>
        <v>0</v>
      </c>
      <c r="L49" s="165">
        <f t="shared" si="4"/>
        <v>1</v>
      </c>
    </row>
    <row r="50" spans="1:12" ht="14.25">
      <c r="A50" s="441" t="s">
        <v>107</v>
      </c>
      <c r="B50" s="441"/>
      <c r="C50" s="441"/>
      <c r="D50" s="143">
        <v>9305</v>
      </c>
      <c r="E50" s="140">
        <v>9851</v>
      </c>
      <c r="F50" s="160">
        <f t="shared" si="0"/>
        <v>546</v>
      </c>
      <c r="G50" s="161">
        <f t="shared" si="1"/>
        <v>1.0586781300376142</v>
      </c>
      <c r="H50" s="141">
        <v>9855</v>
      </c>
      <c r="I50" s="142"/>
      <c r="J50" s="174">
        <f t="shared" si="2"/>
        <v>9855</v>
      </c>
      <c r="K50" s="164">
        <f t="shared" si="3"/>
        <v>4</v>
      </c>
      <c r="L50" s="165">
        <f t="shared" si="4"/>
        <v>1.0004060501471932</v>
      </c>
    </row>
    <row r="51" spans="1:12" ht="14.25">
      <c r="A51" s="441" t="s">
        <v>108</v>
      </c>
      <c r="B51" s="441"/>
      <c r="C51" s="441"/>
      <c r="D51" s="143">
        <v>318</v>
      </c>
      <c r="E51" s="140">
        <v>388</v>
      </c>
      <c r="F51" s="160">
        <f t="shared" si="0"/>
        <v>70</v>
      </c>
      <c r="G51" s="161">
        <f t="shared" si="1"/>
        <v>1.220125786163522</v>
      </c>
      <c r="H51" s="141">
        <v>384</v>
      </c>
      <c r="I51" s="142"/>
      <c r="J51" s="174">
        <f t="shared" si="2"/>
        <v>384</v>
      </c>
      <c r="K51" s="164">
        <f t="shared" si="3"/>
        <v>-4</v>
      </c>
      <c r="L51" s="165">
        <f t="shared" si="4"/>
        <v>0.9896907216494846</v>
      </c>
    </row>
    <row r="52" spans="1:12" ht="14.25">
      <c r="A52" s="441" t="s">
        <v>109</v>
      </c>
      <c r="B52" s="441"/>
      <c r="C52" s="441"/>
      <c r="D52" s="143">
        <v>3307</v>
      </c>
      <c r="E52" s="140">
        <v>3670</v>
      </c>
      <c r="F52" s="160">
        <f t="shared" si="0"/>
        <v>363</v>
      </c>
      <c r="G52" s="161">
        <f t="shared" si="1"/>
        <v>1.1097671605684911</v>
      </c>
      <c r="H52" s="141">
        <v>3670</v>
      </c>
      <c r="I52" s="142"/>
      <c r="J52" s="174">
        <f t="shared" si="2"/>
        <v>3670</v>
      </c>
      <c r="K52" s="164">
        <f t="shared" si="3"/>
        <v>0</v>
      </c>
      <c r="L52" s="165">
        <f t="shared" si="4"/>
        <v>1</v>
      </c>
    </row>
    <row r="53" spans="1:12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/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/>
      <c r="E54" s="140">
        <v>1</v>
      </c>
      <c r="F54" s="160">
        <f t="shared" si="0"/>
        <v>1</v>
      </c>
      <c r="G54" s="161"/>
      <c r="H54" s="141">
        <v>1</v>
      </c>
      <c r="I54" s="142"/>
      <c r="J54" s="174">
        <f t="shared" si="2"/>
        <v>1</v>
      </c>
      <c r="K54" s="164">
        <f t="shared" si="3"/>
        <v>0</v>
      </c>
      <c r="L54" s="165">
        <f t="shared" si="4"/>
        <v>1</v>
      </c>
    </row>
    <row r="55" spans="1:12" ht="14.25">
      <c r="A55" s="441" t="s">
        <v>112</v>
      </c>
      <c r="B55" s="441"/>
      <c r="C55" s="441"/>
      <c r="D55" s="143">
        <v>112</v>
      </c>
      <c r="E55" s="140">
        <v>119</v>
      </c>
      <c r="F55" s="160">
        <f t="shared" si="0"/>
        <v>7</v>
      </c>
      <c r="G55" s="161">
        <f t="shared" si="1"/>
        <v>1.0625</v>
      </c>
      <c r="H55" s="141">
        <v>119</v>
      </c>
      <c r="I55" s="142"/>
      <c r="J55" s="174">
        <f t="shared" si="2"/>
        <v>119</v>
      </c>
      <c r="K55" s="164">
        <f t="shared" si="3"/>
        <v>0</v>
      </c>
      <c r="L55" s="165">
        <f t="shared" si="4"/>
        <v>1</v>
      </c>
    </row>
    <row r="56" spans="1:12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/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522</v>
      </c>
      <c r="E57" s="140">
        <v>561</v>
      </c>
      <c r="F57" s="160">
        <f t="shared" si="0"/>
        <v>39</v>
      </c>
      <c r="G57" s="161">
        <f t="shared" si="1"/>
        <v>1.0747126436781609</v>
      </c>
      <c r="H57" s="141">
        <v>531</v>
      </c>
      <c r="I57" s="142"/>
      <c r="J57" s="174">
        <f t="shared" si="2"/>
        <v>531</v>
      </c>
      <c r="K57" s="164">
        <f t="shared" si="3"/>
        <v>-30</v>
      </c>
      <c r="L57" s="165">
        <f t="shared" si="4"/>
        <v>0.946524064171123</v>
      </c>
    </row>
    <row r="58" spans="1:12" ht="14.25">
      <c r="A58" s="441" t="s">
        <v>115</v>
      </c>
      <c r="B58" s="441"/>
      <c r="C58" s="441"/>
      <c r="D58" s="143"/>
      <c r="E58" s="140"/>
      <c r="F58" s="160">
        <f t="shared" si="0"/>
        <v>0</v>
      </c>
      <c r="G58" s="161"/>
      <c r="H58" s="141"/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/>
      <c r="E59" s="148"/>
      <c r="F59" s="162">
        <f t="shared" si="0"/>
        <v>0</v>
      </c>
      <c r="G59" s="163"/>
      <c r="H59" s="145"/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19179</v>
      </c>
      <c r="E60" s="180">
        <v>21074</v>
      </c>
      <c r="F60" s="181">
        <f t="shared" si="0"/>
        <v>1895</v>
      </c>
      <c r="G60" s="182">
        <f t="shared" si="1"/>
        <v>1.0988059857135408</v>
      </c>
      <c r="H60" s="183">
        <v>20494</v>
      </c>
      <c r="I60" s="184"/>
      <c r="J60" s="185">
        <f t="shared" si="2"/>
        <v>20494</v>
      </c>
      <c r="K60" s="183">
        <f t="shared" si="3"/>
        <v>-580</v>
      </c>
      <c r="L60" s="186">
        <f t="shared" si="4"/>
        <v>0.9724779348960805</v>
      </c>
    </row>
    <row r="61" spans="1:14" s="6" customFormat="1" ht="15">
      <c r="A61" s="447" t="s">
        <v>17</v>
      </c>
      <c r="B61" s="447"/>
      <c r="C61" s="447"/>
      <c r="D61" s="96">
        <v>24</v>
      </c>
      <c r="E61" s="96">
        <v>55</v>
      </c>
      <c r="F61" s="96"/>
      <c r="G61" s="96"/>
      <c r="H61" s="96">
        <v>0</v>
      </c>
      <c r="I61" s="96"/>
      <c r="J61" s="96">
        <f>J27-J60</f>
        <v>0</v>
      </c>
      <c r="K61" s="115">
        <f t="shared" si="3"/>
        <v>-55</v>
      </c>
      <c r="L61" s="115">
        <f t="shared" si="4"/>
        <v>0</v>
      </c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76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267</v>
      </c>
      <c r="B67" s="382"/>
      <c r="C67" s="13">
        <v>150</v>
      </c>
      <c r="D67" s="14"/>
      <c r="E67" s="382" t="s">
        <v>322</v>
      </c>
      <c r="F67" s="382"/>
      <c r="G67" s="382"/>
      <c r="H67" s="382"/>
      <c r="I67" s="15">
        <v>100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268</v>
      </c>
      <c r="B68" s="382"/>
      <c r="C68" s="13">
        <v>100</v>
      </c>
      <c r="D68" s="14"/>
      <c r="E68" s="380" t="s">
        <v>338</v>
      </c>
      <c r="F68" s="380"/>
      <c r="G68" s="380"/>
      <c r="H68" s="380"/>
      <c r="I68" s="16">
        <v>286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269</v>
      </c>
      <c r="B69" s="382"/>
      <c r="C69" s="13">
        <v>150</v>
      </c>
      <c r="D69" s="14"/>
      <c r="E69" s="380" t="s">
        <v>339</v>
      </c>
      <c r="F69" s="380"/>
      <c r="G69" s="380"/>
      <c r="H69" s="380"/>
      <c r="I69" s="16">
        <v>150</v>
      </c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270</v>
      </c>
      <c r="B70" s="382"/>
      <c r="C70" s="13">
        <v>150</v>
      </c>
      <c r="D70" s="14"/>
      <c r="E70" s="380"/>
      <c r="F70" s="380"/>
      <c r="G70" s="380"/>
      <c r="H70" s="380"/>
      <c r="I70" s="16"/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 t="s">
        <v>271</v>
      </c>
      <c r="B71" s="384"/>
      <c r="C71" s="15">
        <v>150</v>
      </c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 t="s">
        <v>272</v>
      </c>
      <c r="B72" s="384"/>
      <c r="C72" s="13">
        <v>242</v>
      </c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 t="s">
        <v>273</v>
      </c>
      <c r="B73" s="384"/>
      <c r="C73" s="13">
        <v>126</v>
      </c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 t="s">
        <v>177</v>
      </c>
      <c r="B74" s="384"/>
      <c r="C74" s="33">
        <v>199</v>
      </c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SUM(C67:C74)</f>
        <v>1267</v>
      </c>
      <c r="D75" s="36"/>
      <c r="E75" s="404" t="s">
        <v>12</v>
      </c>
      <c r="F75" s="404"/>
      <c r="G75" s="404"/>
      <c r="H75" s="404"/>
      <c r="I75" s="37">
        <f>SUM(I67:I74)</f>
        <v>536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23664</v>
      </c>
      <c r="B81" s="46">
        <v>4972</v>
      </c>
      <c r="C81" s="47">
        <v>531</v>
      </c>
      <c r="D81" s="48">
        <v>145.6</v>
      </c>
      <c r="E81" s="48">
        <v>183.8</v>
      </c>
      <c r="F81" s="48"/>
      <c r="G81" s="48"/>
      <c r="H81" s="49">
        <v>201</v>
      </c>
      <c r="I81" s="50"/>
      <c r="J81" s="51">
        <v>18160.7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1904</v>
      </c>
      <c r="C86" s="61" t="s">
        <v>38</v>
      </c>
      <c r="D86" s="62" t="s">
        <v>38</v>
      </c>
      <c r="E86" s="62" t="s">
        <v>38</v>
      </c>
      <c r="F86" s="63"/>
      <c r="G86" s="64">
        <v>2093.36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54.67</v>
      </c>
      <c r="C87" s="71">
        <v>55</v>
      </c>
      <c r="D87" s="72">
        <v>0</v>
      </c>
      <c r="E87" s="72">
        <v>0</v>
      </c>
      <c r="F87" s="73">
        <f>C87+D87-E87</f>
        <v>55</v>
      </c>
      <c r="G87" s="74">
        <v>54.67</v>
      </c>
      <c r="H87" s="75">
        <f>+G87-F87</f>
        <v>-0.3299999999999983</v>
      </c>
      <c r="I87" s="71">
        <v>55</v>
      </c>
      <c r="J87" s="72">
        <v>0</v>
      </c>
      <c r="K87" s="72">
        <v>0</v>
      </c>
      <c r="L87" s="73">
        <f>I87+J87-K87</f>
        <v>55</v>
      </c>
      <c r="M87" s="76"/>
    </row>
    <row r="88" spans="1:13" s="10" customFormat="1" ht="15">
      <c r="A88" s="69" t="s">
        <v>40</v>
      </c>
      <c r="B88" s="70">
        <f>306.73+0</f>
        <v>306.73</v>
      </c>
      <c r="C88" s="71">
        <v>307</v>
      </c>
      <c r="D88" s="72">
        <f>24+18</f>
        <v>42</v>
      </c>
      <c r="E88" s="72"/>
      <c r="F88" s="73">
        <f>C88+D88-E88</f>
        <v>349</v>
      </c>
      <c r="G88" s="74">
        <f>331.34+18.3</f>
        <v>349.64</v>
      </c>
      <c r="H88" s="75">
        <f>+G88-F88</f>
        <v>0.6399999999999864</v>
      </c>
      <c r="I88" s="71">
        <v>349</v>
      </c>
      <c r="J88" s="72">
        <f>55+10</f>
        <v>65</v>
      </c>
      <c r="K88" s="72">
        <v>0</v>
      </c>
      <c r="L88" s="73">
        <f>I88+J88-K88</f>
        <v>414</v>
      </c>
      <c r="M88" s="76"/>
    </row>
    <row r="89" spans="1:13" s="10" customFormat="1" ht="15">
      <c r="A89" s="69" t="s">
        <v>44</v>
      </c>
      <c r="B89" s="70">
        <v>490.4</v>
      </c>
      <c r="C89" s="71">
        <v>491</v>
      </c>
      <c r="D89" s="72">
        <v>560</v>
      </c>
      <c r="E89" s="72">
        <v>314</v>
      </c>
      <c r="F89" s="73">
        <f>C89+D89-E89</f>
        <v>737</v>
      </c>
      <c r="G89" s="74">
        <v>737.21</v>
      </c>
      <c r="H89" s="75">
        <f>+G89-F89</f>
        <v>0.21000000000003638</v>
      </c>
      <c r="I89" s="77">
        <v>737</v>
      </c>
      <c r="J89" s="78">
        <v>531</v>
      </c>
      <c r="K89" s="78">
        <v>1267</v>
      </c>
      <c r="L89" s="73">
        <f>I89+J89-K89</f>
        <v>1</v>
      </c>
      <c r="M89" s="76"/>
    </row>
    <row r="90" spans="1:13" s="10" customFormat="1" ht="15">
      <c r="A90" s="69" t="s">
        <v>41</v>
      </c>
      <c r="B90" s="70">
        <v>1052.2</v>
      </c>
      <c r="C90" s="79" t="s">
        <v>38</v>
      </c>
      <c r="D90" s="62" t="s">
        <v>38</v>
      </c>
      <c r="E90" s="80" t="s">
        <v>38</v>
      </c>
      <c r="F90" s="73"/>
      <c r="G90" s="74">
        <v>951.84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262">
        <v>91</v>
      </c>
      <c r="C91" s="111">
        <v>95</v>
      </c>
      <c r="D91" s="112">
        <v>197</v>
      </c>
      <c r="E91" s="112">
        <v>206</v>
      </c>
      <c r="F91" s="106">
        <f>C91+D91-E91</f>
        <v>86</v>
      </c>
      <c r="G91" s="109">
        <v>91.17</v>
      </c>
      <c r="H91" s="110">
        <f>+G91-F91</f>
        <v>5.170000000000002</v>
      </c>
      <c r="I91" s="111">
        <v>86</v>
      </c>
      <c r="J91" s="112">
        <v>99</v>
      </c>
      <c r="K91" s="112">
        <v>135</v>
      </c>
      <c r="L91" s="106">
        <f>I91+J91-K91</f>
        <v>50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41</v>
      </c>
      <c r="C97" s="91">
        <v>40</v>
      </c>
      <c r="D97" s="149"/>
      <c r="E97" s="89">
        <v>2010</v>
      </c>
      <c r="F97" s="418">
        <v>68</v>
      </c>
      <c r="G97" s="418"/>
      <c r="I97" s="89">
        <v>2010</v>
      </c>
      <c r="J97" s="90">
        <v>9855</v>
      </c>
      <c r="K97" s="91">
        <v>9851</v>
      </c>
    </row>
    <row r="98" spans="1:11" s="6" customFormat="1" ht="15.75" thickBot="1">
      <c r="A98" s="92">
        <v>2011</v>
      </c>
      <c r="B98" s="93">
        <v>41</v>
      </c>
      <c r="C98" s="108" t="s">
        <v>62</v>
      </c>
      <c r="D98" s="149"/>
      <c r="E98" s="92">
        <v>2011</v>
      </c>
      <c r="F98" s="419">
        <v>68</v>
      </c>
      <c r="G98" s="419"/>
      <c r="I98" s="92">
        <v>2011</v>
      </c>
      <c r="J98" s="93">
        <v>9855</v>
      </c>
      <c r="K98" s="108" t="s">
        <v>62</v>
      </c>
    </row>
  </sheetData>
  <mergeCells count="104">
    <mergeCell ref="A3:G3"/>
    <mergeCell ref="D79:I79"/>
    <mergeCell ref="A84:A85"/>
    <mergeCell ref="B84:B85"/>
    <mergeCell ref="C84:F84"/>
    <mergeCell ref="G84:G85"/>
    <mergeCell ref="H84:H85"/>
    <mergeCell ref="I84:L84"/>
    <mergeCell ref="A62:C62"/>
    <mergeCell ref="F4:G4"/>
    <mergeCell ref="F96:G96"/>
    <mergeCell ref="F97:G97"/>
    <mergeCell ref="F98:G98"/>
    <mergeCell ref="A65:B66"/>
    <mergeCell ref="C65:C66"/>
    <mergeCell ref="E65:H66"/>
    <mergeCell ref="A67:B67"/>
    <mergeCell ref="E67:H67"/>
    <mergeCell ref="E71:H71"/>
    <mergeCell ref="E72:H72"/>
    <mergeCell ref="A95:C95"/>
    <mergeCell ref="E95:G95"/>
    <mergeCell ref="I95:K95"/>
    <mergeCell ref="I65:I66"/>
    <mergeCell ref="E73:H73"/>
    <mergeCell ref="A75:B75"/>
    <mergeCell ref="A78:A80"/>
    <mergeCell ref="B78:B80"/>
    <mergeCell ref="C78:I78"/>
    <mergeCell ref="A70:B70"/>
    <mergeCell ref="K4:L4"/>
    <mergeCell ref="A7:C7"/>
    <mergeCell ref="J78:J80"/>
    <mergeCell ref="C79:C80"/>
    <mergeCell ref="A74:B74"/>
    <mergeCell ref="E74:H74"/>
    <mergeCell ref="E75:H75"/>
    <mergeCell ref="A68:B68"/>
    <mergeCell ref="A69:B69"/>
    <mergeCell ref="A71:B71"/>
    <mergeCell ref="A72:B72"/>
    <mergeCell ref="A73:B73"/>
    <mergeCell ref="E68:H68"/>
    <mergeCell ref="E69:H69"/>
    <mergeCell ref="E70:H70"/>
    <mergeCell ref="A59:C59"/>
    <mergeCell ref="A60:C60"/>
    <mergeCell ref="A61:C61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2:C32"/>
    <mergeCell ref="A33:C33"/>
    <mergeCell ref="A34:C34"/>
    <mergeCell ref="A13:C13"/>
    <mergeCell ref="A14:C14"/>
    <mergeCell ref="A15:C15"/>
    <mergeCell ref="A16:C16"/>
    <mergeCell ref="A17:C17"/>
    <mergeCell ref="A18:C18"/>
    <mergeCell ref="A19:C19"/>
    <mergeCell ref="A2:N2"/>
    <mergeCell ref="A11:C11"/>
    <mergeCell ref="E4:E6"/>
    <mergeCell ref="A12:C12"/>
    <mergeCell ref="A10:C10"/>
    <mergeCell ref="A4:C6"/>
    <mergeCell ref="D4:D6"/>
    <mergeCell ref="A8:C8"/>
    <mergeCell ref="A9:C9"/>
    <mergeCell ref="H4:J4"/>
    <mergeCell ref="A20:C20"/>
    <mergeCell ref="A21:C21"/>
    <mergeCell ref="A22:C22"/>
    <mergeCell ref="A23:C23"/>
    <mergeCell ref="A24:C24"/>
    <mergeCell ref="A25:C25"/>
    <mergeCell ref="A26:C26"/>
    <mergeCell ref="A31:C31"/>
    <mergeCell ref="A27:C27"/>
    <mergeCell ref="A28:C28"/>
    <mergeCell ref="A29:C29"/>
    <mergeCell ref="A30:C30"/>
  </mergeCells>
  <printOptions horizontalCentered="1"/>
  <pageMargins left="0.15748031496062992" right="0.15748031496062992" top="0.7480314960629921" bottom="0.15748031496062992" header="0.5511811023622047" footer="0.15748031496062992"/>
  <pageSetup horizontalDpi="600" verticalDpi="600" orientation="portrait" paperSize="9" scale="5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T105"/>
  <sheetViews>
    <sheetView view="pageBreakPreview" zoomScale="70" zoomScaleSheetLayoutView="70" workbookViewId="0" topLeftCell="A1">
      <selection activeCell="L67" sqref="L67"/>
    </sheetView>
  </sheetViews>
  <sheetFormatPr defaultColWidth="9.00390625" defaultRowHeight="12.75"/>
  <cols>
    <col min="1" max="1" width="27.875" style="138" customWidth="1"/>
    <col min="2" max="2" width="28.375" style="138" customWidth="1"/>
    <col min="3" max="3" width="12.125" style="138" customWidth="1"/>
    <col min="4" max="4" width="13.125" style="154" customWidth="1"/>
    <col min="5" max="5" width="13.125" style="147" customWidth="1"/>
    <col min="6" max="12" width="13.1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133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32563</v>
      </c>
      <c r="E7" s="169">
        <v>31512</v>
      </c>
      <c r="F7" s="170">
        <f>E7-D7</f>
        <v>-1051</v>
      </c>
      <c r="G7" s="171">
        <f>E7/D7</f>
        <v>0.9677241040444676</v>
      </c>
      <c r="H7" s="172">
        <v>31437</v>
      </c>
      <c r="I7" s="173">
        <v>150</v>
      </c>
      <c r="J7" s="174">
        <f>H7+I7</f>
        <v>31587</v>
      </c>
      <c r="K7" s="175">
        <f>J7-E7</f>
        <v>75</v>
      </c>
      <c r="L7" s="176">
        <f>J7/E7</f>
        <v>1.0023800456968774</v>
      </c>
    </row>
    <row r="8" spans="1:12" ht="14.25">
      <c r="A8" s="465" t="s">
        <v>66</v>
      </c>
      <c r="B8" s="465"/>
      <c r="C8" s="465"/>
      <c r="D8" s="143">
        <v>16037</v>
      </c>
      <c r="E8" s="140">
        <v>15966</v>
      </c>
      <c r="F8" s="160">
        <f aca="true" t="shared" si="0" ref="F8:F60">E8-D8</f>
        <v>-71</v>
      </c>
      <c r="G8" s="161">
        <f aca="true" t="shared" si="1" ref="G8:G60">E8/D8</f>
        <v>0.995572738043275</v>
      </c>
      <c r="H8" s="141">
        <v>16200</v>
      </c>
      <c r="I8" s="142"/>
      <c r="J8" s="174">
        <f aca="true" t="shared" si="2" ref="J8:J60">H8+I8</f>
        <v>16200</v>
      </c>
      <c r="K8" s="164">
        <f aca="true" t="shared" si="3" ref="K8:K60">J8-E8</f>
        <v>234</v>
      </c>
      <c r="L8" s="165">
        <f aca="true" t="shared" si="4" ref="L8:L60">J8/E8</f>
        <v>1.0146561443066517</v>
      </c>
    </row>
    <row r="9" spans="1:12" ht="14.25">
      <c r="A9" s="465" t="s">
        <v>67</v>
      </c>
      <c r="B9" s="465"/>
      <c r="C9" s="465"/>
      <c r="D9" s="143">
        <v>13010</v>
      </c>
      <c r="E9" s="140">
        <v>13389</v>
      </c>
      <c r="F9" s="160">
        <f t="shared" si="0"/>
        <v>379</v>
      </c>
      <c r="G9" s="161">
        <f t="shared" si="1"/>
        <v>1.0291314373558802</v>
      </c>
      <c r="H9" s="141">
        <v>13200</v>
      </c>
      <c r="I9" s="142"/>
      <c r="J9" s="174">
        <f t="shared" si="2"/>
        <v>13200</v>
      </c>
      <c r="K9" s="164">
        <f t="shared" si="3"/>
        <v>-189</v>
      </c>
      <c r="L9" s="165">
        <f t="shared" si="4"/>
        <v>0.985883934573157</v>
      </c>
    </row>
    <row r="10" spans="1:12" ht="14.25">
      <c r="A10" s="465" t="s">
        <v>68</v>
      </c>
      <c r="B10" s="465"/>
      <c r="C10" s="465"/>
      <c r="D10" s="143">
        <v>3</v>
      </c>
      <c r="E10" s="140">
        <v>2</v>
      </c>
      <c r="F10" s="160">
        <f t="shared" si="0"/>
        <v>-1</v>
      </c>
      <c r="G10" s="161">
        <f t="shared" si="1"/>
        <v>0.6666666666666666</v>
      </c>
      <c r="H10" s="141">
        <v>4</v>
      </c>
      <c r="I10" s="142"/>
      <c r="J10" s="174">
        <f t="shared" si="2"/>
        <v>4</v>
      </c>
      <c r="K10" s="164">
        <f t="shared" si="3"/>
        <v>2</v>
      </c>
      <c r="L10" s="165">
        <f t="shared" si="4"/>
        <v>2</v>
      </c>
    </row>
    <row r="11" spans="1:12" ht="14.25">
      <c r="A11" s="465" t="s">
        <v>69</v>
      </c>
      <c r="B11" s="465"/>
      <c r="C11" s="465"/>
      <c r="D11" s="143">
        <v>2022</v>
      </c>
      <c r="E11" s="140">
        <v>1438</v>
      </c>
      <c r="F11" s="160">
        <f t="shared" si="0"/>
        <v>-584</v>
      </c>
      <c r="G11" s="161">
        <f t="shared" si="1"/>
        <v>0.7111770524233432</v>
      </c>
      <c r="H11" s="141">
        <v>1450</v>
      </c>
      <c r="I11" s="142"/>
      <c r="J11" s="174">
        <f t="shared" si="2"/>
        <v>1450</v>
      </c>
      <c r="K11" s="164">
        <f t="shared" si="3"/>
        <v>12</v>
      </c>
      <c r="L11" s="165">
        <f t="shared" si="4"/>
        <v>1.0083449235048678</v>
      </c>
    </row>
    <row r="12" spans="1:12" ht="14.25">
      <c r="A12" s="465" t="s">
        <v>70</v>
      </c>
      <c r="B12" s="465"/>
      <c r="C12" s="465"/>
      <c r="D12" s="143">
        <v>1283</v>
      </c>
      <c r="E12" s="140">
        <v>512</v>
      </c>
      <c r="F12" s="160">
        <f t="shared" si="0"/>
        <v>-771</v>
      </c>
      <c r="G12" s="161">
        <f t="shared" si="1"/>
        <v>0.3990646921278254</v>
      </c>
      <c r="H12" s="141">
        <v>370</v>
      </c>
      <c r="I12" s="142">
        <v>150</v>
      </c>
      <c r="J12" s="174">
        <f t="shared" si="2"/>
        <v>520</v>
      </c>
      <c r="K12" s="164">
        <f t="shared" si="3"/>
        <v>8</v>
      </c>
      <c r="L12" s="165">
        <f t="shared" si="4"/>
        <v>1.015625</v>
      </c>
    </row>
    <row r="13" spans="1:12" ht="14.25">
      <c r="A13" s="465" t="s">
        <v>71</v>
      </c>
      <c r="B13" s="465"/>
      <c r="C13" s="465"/>
      <c r="D13" s="143">
        <v>208</v>
      </c>
      <c r="E13" s="140">
        <v>205</v>
      </c>
      <c r="F13" s="160">
        <f t="shared" si="0"/>
        <v>-3</v>
      </c>
      <c r="G13" s="161">
        <f t="shared" si="1"/>
        <v>0.9855769230769231</v>
      </c>
      <c r="H13" s="141">
        <v>213</v>
      </c>
      <c r="I13" s="142"/>
      <c r="J13" s="174">
        <f t="shared" si="2"/>
        <v>213</v>
      </c>
      <c r="K13" s="164">
        <f t="shared" si="3"/>
        <v>8</v>
      </c>
      <c r="L13" s="165">
        <f t="shared" si="4"/>
        <v>1.0390243902439025</v>
      </c>
    </row>
    <row r="14" spans="1:20" ht="15">
      <c r="A14" s="456" t="s">
        <v>72</v>
      </c>
      <c r="B14" s="456"/>
      <c r="C14" s="456"/>
      <c r="D14" s="143"/>
      <c r="E14" s="177"/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/>
      <c r="E15" s="140"/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209</v>
      </c>
      <c r="E16" s="140">
        <v>174</v>
      </c>
      <c r="F16" s="160">
        <f t="shared" si="0"/>
        <v>-35</v>
      </c>
      <c r="G16" s="161">
        <f t="shared" si="1"/>
        <v>0.8325358851674641</v>
      </c>
      <c r="H16" s="141">
        <v>50</v>
      </c>
      <c r="I16" s="142"/>
      <c r="J16" s="174">
        <f t="shared" si="2"/>
        <v>50</v>
      </c>
      <c r="K16" s="164">
        <f t="shared" si="3"/>
        <v>-124</v>
      </c>
      <c r="L16" s="165">
        <f t="shared" si="4"/>
        <v>0.28735632183908044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163</v>
      </c>
      <c r="E17" s="140">
        <v>32</v>
      </c>
      <c r="F17" s="160">
        <f t="shared" si="0"/>
        <v>-131</v>
      </c>
      <c r="G17" s="161">
        <f t="shared" si="1"/>
        <v>0.19631901840490798</v>
      </c>
      <c r="H17" s="141">
        <v>30</v>
      </c>
      <c r="I17" s="142"/>
      <c r="J17" s="174">
        <f t="shared" si="2"/>
        <v>30</v>
      </c>
      <c r="K17" s="164">
        <f t="shared" si="3"/>
        <v>-2</v>
      </c>
      <c r="L17" s="165">
        <f t="shared" si="4"/>
        <v>0.9375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/>
      <c r="E20" s="140"/>
      <c r="F20" s="160">
        <f t="shared" si="0"/>
        <v>0</v>
      </c>
      <c r="G20" s="161"/>
      <c r="H20" s="141"/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13962</v>
      </c>
      <c r="E22" s="177">
        <v>14424</v>
      </c>
      <c r="F22" s="160">
        <f t="shared" si="0"/>
        <v>462</v>
      </c>
      <c r="G22" s="161">
        <f t="shared" si="1"/>
        <v>1.0330898152127201</v>
      </c>
      <c r="H22" s="172">
        <v>11256</v>
      </c>
      <c r="I22" s="173"/>
      <c r="J22" s="174">
        <f t="shared" si="2"/>
        <v>11256</v>
      </c>
      <c r="K22" s="164">
        <f t="shared" si="3"/>
        <v>-3168</v>
      </c>
      <c r="L22" s="165">
        <f t="shared" si="4"/>
        <v>0.7803660565723793</v>
      </c>
    </row>
    <row r="23" spans="1:12" ht="14.25">
      <c r="A23" s="456" t="s">
        <v>81</v>
      </c>
      <c r="B23" s="456"/>
      <c r="C23" s="456"/>
      <c r="D23" s="143">
        <v>2997</v>
      </c>
      <c r="E23" s="140">
        <v>3459</v>
      </c>
      <c r="F23" s="160">
        <f t="shared" si="0"/>
        <v>462</v>
      </c>
      <c r="G23" s="161">
        <f t="shared" si="1"/>
        <v>1.1541541541541542</v>
      </c>
      <c r="H23" s="141">
        <v>3006</v>
      </c>
      <c r="I23" s="142"/>
      <c r="J23" s="174">
        <f t="shared" si="2"/>
        <v>3006</v>
      </c>
      <c r="K23" s="164">
        <f t="shared" si="3"/>
        <v>-453</v>
      </c>
      <c r="L23" s="165">
        <f t="shared" si="4"/>
        <v>0.8690372940156115</v>
      </c>
    </row>
    <row r="24" spans="1:12" ht="14.25">
      <c r="A24" s="456" t="s">
        <v>82</v>
      </c>
      <c r="B24" s="456"/>
      <c r="C24" s="456"/>
      <c r="D24" s="143">
        <v>10965</v>
      </c>
      <c r="E24" s="140">
        <v>10965</v>
      </c>
      <c r="F24" s="160">
        <f t="shared" si="0"/>
        <v>0</v>
      </c>
      <c r="G24" s="161">
        <f t="shared" si="1"/>
        <v>1</v>
      </c>
      <c r="H24" s="141">
        <v>8250</v>
      </c>
      <c r="I24" s="142"/>
      <c r="J24" s="174">
        <f t="shared" si="2"/>
        <v>8250</v>
      </c>
      <c r="K24" s="164">
        <f t="shared" si="3"/>
        <v>-2715</v>
      </c>
      <c r="L24" s="165">
        <f t="shared" si="4"/>
        <v>0.7523939808481532</v>
      </c>
    </row>
    <row r="25" spans="1:12" ht="14.25">
      <c r="A25" s="456" t="s">
        <v>83</v>
      </c>
      <c r="B25" s="456"/>
      <c r="C25" s="456"/>
      <c r="D25" s="143"/>
      <c r="E25" s="140"/>
      <c r="F25" s="160">
        <f t="shared" si="0"/>
        <v>0</v>
      </c>
      <c r="G25" s="161"/>
      <c r="H25" s="141"/>
      <c r="I25" s="142"/>
      <c r="J25" s="174">
        <f t="shared" si="2"/>
        <v>0</v>
      </c>
      <c r="K25" s="164">
        <f t="shared" si="3"/>
        <v>0</v>
      </c>
      <c r="L25" s="165"/>
    </row>
    <row r="26" spans="1:12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46734</v>
      </c>
      <c r="E27" s="180">
        <v>46110</v>
      </c>
      <c r="F27" s="181">
        <f t="shared" si="0"/>
        <v>-624</v>
      </c>
      <c r="G27" s="182">
        <f t="shared" si="1"/>
        <v>0.9866478366927719</v>
      </c>
      <c r="H27" s="183">
        <v>42743</v>
      </c>
      <c r="I27" s="184">
        <v>150</v>
      </c>
      <c r="J27" s="185">
        <f t="shared" si="2"/>
        <v>42893</v>
      </c>
      <c r="K27" s="183">
        <f t="shared" si="3"/>
        <v>-3217</v>
      </c>
      <c r="L27" s="186">
        <f t="shared" si="4"/>
        <v>0.9302320537844285</v>
      </c>
    </row>
    <row r="28" spans="1:12" ht="14.25">
      <c r="A28" s="495" t="s">
        <v>85</v>
      </c>
      <c r="B28" s="495"/>
      <c r="C28" s="495"/>
      <c r="D28" s="187">
        <v>9285</v>
      </c>
      <c r="E28" s="188">
        <v>7425</v>
      </c>
      <c r="F28" s="189">
        <f t="shared" si="0"/>
        <v>-1860</v>
      </c>
      <c r="G28" s="190">
        <f t="shared" si="1"/>
        <v>0.7996768982229402</v>
      </c>
      <c r="H28" s="191">
        <v>7287</v>
      </c>
      <c r="I28" s="192">
        <v>93</v>
      </c>
      <c r="J28" s="193">
        <f t="shared" si="2"/>
        <v>7380</v>
      </c>
      <c r="K28" s="194">
        <f t="shared" si="3"/>
        <v>-45</v>
      </c>
      <c r="L28" s="195">
        <f t="shared" si="4"/>
        <v>0.9939393939393939</v>
      </c>
    </row>
    <row r="29" spans="1:12" ht="14.25">
      <c r="A29" s="441" t="s">
        <v>86</v>
      </c>
      <c r="B29" s="441"/>
      <c r="C29" s="441"/>
      <c r="D29" s="143">
        <v>5382</v>
      </c>
      <c r="E29" s="140">
        <v>4852</v>
      </c>
      <c r="F29" s="160">
        <f t="shared" si="0"/>
        <v>-530</v>
      </c>
      <c r="G29" s="161">
        <f t="shared" si="1"/>
        <v>0.9015235971757711</v>
      </c>
      <c r="H29" s="141">
        <v>4971</v>
      </c>
      <c r="I29" s="142">
        <v>89</v>
      </c>
      <c r="J29" s="174">
        <f t="shared" si="2"/>
        <v>5060</v>
      </c>
      <c r="K29" s="164">
        <f t="shared" si="3"/>
        <v>208</v>
      </c>
      <c r="L29" s="165">
        <f t="shared" si="4"/>
        <v>1.0428689200329762</v>
      </c>
    </row>
    <row r="30" spans="1:12" ht="14.25">
      <c r="A30" s="441" t="s">
        <v>87</v>
      </c>
      <c r="B30" s="441"/>
      <c r="C30" s="441"/>
      <c r="D30" s="143">
        <v>78</v>
      </c>
      <c r="E30" s="140">
        <v>81</v>
      </c>
      <c r="F30" s="160">
        <f t="shared" si="0"/>
        <v>3</v>
      </c>
      <c r="G30" s="161">
        <f t="shared" si="1"/>
        <v>1.0384615384615385</v>
      </c>
      <c r="H30" s="141">
        <v>95</v>
      </c>
      <c r="I30" s="142"/>
      <c r="J30" s="174">
        <f t="shared" si="2"/>
        <v>95</v>
      </c>
      <c r="K30" s="164">
        <f t="shared" si="3"/>
        <v>14</v>
      </c>
      <c r="L30" s="165">
        <f t="shared" si="4"/>
        <v>1.1728395061728396</v>
      </c>
    </row>
    <row r="31" spans="1:12" ht="14.25">
      <c r="A31" s="441" t="s">
        <v>88</v>
      </c>
      <c r="B31" s="441"/>
      <c r="C31" s="441"/>
      <c r="D31" s="143">
        <v>1817</v>
      </c>
      <c r="E31" s="140">
        <v>1045</v>
      </c>
      <c r="F31" s="160">
        <f t="shared" si="0"/>
        <v>-772</v>
      </c>
      <c r="G31" s="161">
        <f t="shared" si="1"/>
        <v>0.5751238304898184</v>
      </c>
      <c r="H31" s="141">
        <v>807</v>
      </c>
      <c r="I31" s="142">
        <v>3</v>
      </c>
      <c r="J31" s="174">
        <f t="shared" si="2"/>
        <v>810</v>
      </c>
      <c r="K31" s="164">
        <f t="shared" si="3"/>
        <v>-235</v>
      </c>
      <c r="L31" s="165">
        <f t="shared" si="4"/>
        <v>0.7751196172248804</v>
      </c>
    </row>
    <row r="32" spans="1:12" ht="14.25">
      <c r="A32" s="441" t="s">
        <v>89</v>
      </c>
      <c r="B32" s="441"/>
      <c r="C32" s="441"/>
      <c r="D32" s="143">
        <v>203</v>
      </c>
      <c r="E32" s="140">
        <v>130</v>
      </c>
      <c r="F32" s="160">
        <f t="shared" si="0"/>
        <v>-73</v>
      </c>
      <c r="G32" s="161">
        <f t="shared" si="1"/>
        <v>0.6403940886699507</v>
      </c>
      <c r="H32" s="141">
        <v>119</v>
      </c>
      <c r="I32" s="142">
        <v>1</v>
      </c>
      <c r="J32" s="174">
        <f t="shared" si="2"/>
        <v>120</v>
      </c>
      <c r="K32" s="164">
        <f t="shared" si="3"/>
        <v>-10</v>
      </c>
      <c r="L32" s="165">
        <f t="shared" si="4"/>
        <v>0.9230769230769231</v>
      </c>
    </row>
    <row r="33" spans="1:12" ht="14.25">
      <c r="A33" s="441" t="s">
        <v>90</v>
      </c>
      <c r="B33" s="441"/>
      <c r="C33" s="441"/>
      <c r="D33" s="143">
        <v>1805</v>
      </c>
      <c r="E33" s="140">
        <v>1317</v>
      </c>
      <c r="F33" s="160">
        <f t="shared" si="0"/>
        <v>-488</v>
      </c>
      <c r="G33" s="161">
        <f t="shared" si="1"/>
        <v>0.7296398891966759</v>
      </c>
      <c r="H33" s="141">
        <v>1295</v>
      </c>
      <c r="I33" s="142"/>
      <c r="J33" s="174">
        <f t="shared" si="2"/>
        <v>1295</v>
      </c>
      <c r="K33" s="164">
        <f t="shared" si="3"/>
        <v>-22</v>
      </c>
      <c r="L33" s="165">
        <f t="shared" si="4"/>
        <v>0.9832953682611997</v>
      </c>
    </row>
    <row r="34" spans="1:12" ht="14.25">
      <c r="A34" s="441" t="s">
        <v>91</v>
      </c>
      <c r="B34" s="441"/>
      <c r="C34" s="441"/>
      <c r="D34" s="196">
        <v>3696</v>
      </c>
      <c r="E34" s="177">
        <v>3162</v>
      </c>
      <c r="F34" s="197">
        <f t="shared" si="0"/>
        <v>-534</v>
      </c>
      <c r="G34" s="198">
        <f t="shared" si="1"/>
        <v>0.8555194805194806</v>
      </c>
      <c r="H34" s="172">
        <v>3242</v>
      </c>
      <c r="I34" s="173">
        <v>8</v>
      </c>
      <c r="J34" s="174">
        <f t="shared" si="2"/>
        <v>3250</v>
      </c>
      <c r="K34" s="199">
        <f t="shared" si="3"/>
        <v>88</v>
      </c>
      <c r="L34" s="200">
        <f t="shared" si="4"/>
        <v>1.027830487033523</v>
      </c>
    </row>
    <row r="35" spans="1:12" ht="14.25">
      <c r="A35" s="441" t="s">
        <v>92</v>
      </c>
      <c r="B35" s="441"/>
      <c r="C35" s="441"/>
      <c r="D35" s="143">
        <v>1411</v>
      </c>
      <c r="E35" s="140">
        <v>1044</v>
      </c>
      <c r="F35" s="160">
        <f t="shared" si="0"/>
        <v>-367</v>
      </c>
      <c r="G35" s="161">
        <f t="shared" si="1"/>
        <v>0.739900779588944</v>
      </c>
      <c r="H35" s="141">
        <v>1094</v>
      </c>
      <c r="I35" s="142">
        <v>6</v>
      </c>
      <c r="J35" s="174">
        <f t="shared" si="2"/>
        <v>1100</v>
      </c>
      <c r="K35" s="164">
        <f t="shared" si="3"/>
        <v>56</v>
      </c>
      <c r="L35" s="165">
        <f t="shared" si="4"/>
        <v>1.053639846743295</v>
      </c>
    </row>
    <row r="36" spans="1:12" ht="14.25">
      <c r="A36" s="441" t="s">
        <v>93</v>
      </c>
      <c r="B36" s="441"/>
      <c r="C36" s="441"/>
      <c r="D36" s="143">
        <v>1825</v>
      </c>
      <c r="E36" s="140">
        <v>1693</v>
      </c>
      <c r="F36" s="160">
        <f t="shared" si="0"/>
        <v>-132</v>
      </c>
      <c r="G36" s="161">
        <f t="shared" si="1"/>
        <v>0.9276712328767124</v>
      </c>
      <c r="H36" s="141">
        <v>1699</v>
      </c>
      <c r="I36" s="142">
        <v>1</v>
      </c>
      <c r="J36" s="174">
        <f t="shared" si="2"/>
        <v>1700</v>
      </c>
      <c r="K36" s="164">
        <f t="shared" si="3"/>
        <v>7</v>
      </c>
      <c r="L36" s="165">
        <f t="shared" si="4"/>
        <v>1.004134672179563</v>
      </c>
    </row>
    <row r="37" spans="1:12" ht="14.25">
      <c r="A37" s="441" t="s">
        <v>94</v>
      </c>
      <c r="B37" s="441"/>
      <c r="C37" s="441"/>
      <c r="D37" s="143"/>
      <c r="E37" s="140"/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460</v>
      </c>
      <c r="E39" s="140">
        <v>425</v>
      </c>
      <c r="F39" s="160">
        <f t="shared" si="0"/>
        <v>-35</v>
      </c>
      <c r="G39" s="161">
        <f t="shared" si="1"/>
        <v>0.9239130434782609</v>
      </c>
      <c r="H39" s="141">
        <v>449</v>
      </c>
      <c r="I39" s="142">
        <v>1</v>
      </c>
      <c r="J39" s="174">
        <f t="shared" si="2"/>
        <v>450</v>
      </c>
      <c r="K39" s="164">
        <f t="shared" si="3"/>
        <v>25</v>
      </c>
      <c r="L39" s="165">
        <f t="shared" si="4"/>
        <v>1.0588235294117647</v>
      </c>
    </row>
    <row r="40" spans="1:12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1449</v>
      </c>
      <c r="E41" s="140">
        <v>742</v>
      </c>
      <c r="F41" s="160">
        <f t="shared" si="0"/>
        <v>-707</v>
      </c>
      <c r="G41" s="161">
        <f t="shared" si="1"/>
        <v>0.5120772946859904</v>
      </c>
      <c r="H41" s="141">
        <v>677</v>
      </c>
      <c r="I41" s="142">
        <v>3</v>
      </c>
      <c r="J41" s="174">
        <f t="shared" si="2"/>
        <v>680</v>
      </c>
      <c r="K41" s="164">
        <f t="shared" si="3"/>
        <v>-62</v>
      </c>
      <c r="L41" s="165">
        <f t="shared" si="4"/>
        <v>0.9164420485175202</v>
      </c>
    </row>
    <row r="42" spans="1:12" ht="14.25">
      <c r="A42" s="441" t="s">
        <v>99</v>
      </c>
      <c r="B42" s="441"/>
      <c r="C42" s="441"/>
      <c r="D42" s="143">
        <v>63</v>
      </c>
      <c r="E42" s="140">
        <v>95</v>
      </c>
      <c r="F42" s="160">
        <f t="shared" si="0"/>
        <v>32</v>
      </c>
      <c r="G42" s="161">
        <f t="shared" si="1"/>
        <v>1.507936507936508</v>
      </c>
      <c r="H42" s="141">
        <v>90</v>
      </c>
      <c r="I42" s="142"/>
      <c r="J42" s="174">
        <f t="shared" si="2"/>
        <v>90</v>
      </c>
      <c r="K42" s="164">
        <f t="shared" si="3"/>
        <v>-5</v>
      </c>
      <c r="L42" s="165">
        <f t="shared" si="4"/>
        <v>0.9473684210526315</v>
      </c>
    </row>
    <row r="43" spans="1:12" ht="14.25">
      <c r="A43" s="441" t="s">
        <v>100</v>
      </c>
      <c r="B43" s="441"/>
      <c r="C43" s="441"/>
      <c r="D43" s="143">
        <v>3</v>
      </c>
      <c r="E43" s="140">
        <v>3</v>
      </c>
      <c r="F43" s="160">
        <f t="shared" si="0"/>
        <v>0</v>
      </c>
      <c r="G43" s="161">
        <f t="shared" si="1"/>
        <v>1</v>
      </c>
      <c r="H43" s="141">
        <v>5</v>
      </c>
      <c r="I43" s="142"/>
      <c r="J43" s="174">
        <f t="shared" si="2"/>
        <v>5</v>
      </c>
      <c r="K43" s="164">
        <f t="shared" si="3"/>
        <v>2</v>
      </c>
      <c r="L43" s="165">
        <f t="shared" si="4"/>
        <v>1.6666666666666667</v>
      </c>
    </row>
    <row r="44" spans="1:12" ht="14.25">
      <c r="A44" s="441" t="s">
        <v>101</v>
      </c>
      <c r="B44" s="441"/>
      <c r="C44" s="441"/>
      <c r="D44" s="143">
        <v>2139</v>
      </c>
      <c r="E44" s="140">
        <v>2516</v>
      </c>
      <c r="F44" s="160">
        <f t="shared" si="0"/>
        <v>377</v>
      </c>
      <c r="G44" s="161">
        <f t="shared" si="1"/>
        <v>1.1762505843852267</v>
      </c>
      <c r="H44" s="141">
        <v>2298</v>
      </c>
      <c r="I44" s="142">
        <v>1</v>
      </c>
      <c r="J44" s="174">
        <f t="shared" si="2"/>
        <v>2299</v>
      </c>
      <c r="K44" s="164">
        <f t="shared" si="3"/>
        <v>-217</v>
      </c>
      <c r="L44" s="165">
        <f t="shared" si="4"/>
        <v>0.9137519872813991</v>
      </c>
    </row>
    <row r="45" spans="1:15" ht="14.25">
      <c r="A45" s="441" t="s">
        <v>102</v>
      </c>
      <c r="B45" s="441"/>
      <c r="C45" s="441"/>
      <c r="D45" s="143">
        <v>210</v>
      </c>
      <c r="E45" s="140">
        <v>130</v>
      </c>
      <c r="F45" s="160">
        <f t="shared" si="0"/>
        <v>-80</v>
      </c>
      <c r="G45" s="161">
        <f t="shared" si="1"/>
        <v>0.6190476190476191</v>
      </c>
      <c r="H45" s="141">
        <v>135</v>
      </c>
      <c r="I45" s="142"/>
      <c r="J45" s="174">
        <f t="shared" si="2"/>
        <v>135</v>
      </c>
      <c r="K45" s="164">
        <f t="shared" si="3"/>
        <v>5</v>
      </c>
      <c r="L45" s="165">
        <f t="shared" si="4"/>
        <v>1.0384615384615385</v>
      </c>
      <c r="O45" s="147"/>
    </row>
    <row r="46" spans="1:12" ht="14.25">
      <c r="A46" s="441" t="s">
        <v>103</v>
      </c>
      <c r="B46" s="441"/>
      <c r="C46" s="441"/>
      <c r="D46" s="143">
        <v>36</v>
      </c>
      <c r="E46" s="140">
        <v>46</v>
      </c>
      <c r="F46" s="160">
        <f t="shared" si="0"/>
        <v>10</v>
      </c>
      <c r="G46" s="161">
        <f t="shared" si="1"/>
        <v>1.2777777777777777</v>
      </c>
      <c r="H46" s="141">
        <v>46</v>
      </c>
      <c r="I46" s="142"/>
      <c r="J46" s="174">
        <f t="shared" si="2"/>
        <v>46</v>
      </c>
      <c r="K46" s="164">
        <f t="shared" si="3"/>
        <v>0</v>
      </c>
      <c r="L46" s="165">
        <f t="shared" si="4"/>
        <v>1</v>
      </c>
    </row>
    <row r="47" spans="1:12" ht="14.25">
      <c r="A47" s="441" t="s">
        <v>104</v>
      </c>
      <c r="B47" s="441"/>
      <c r="C47" s="441"/>
      <c r="D47" s="143">
        <v>1893</v>
      </c>
      <c r="E47" s="140">
        <v>2340</v>
      </c>
      <c r="F47" s="160">
        <f t="shared" si="0"/>
        <v>447</v>
      </c>
      <c r="G47" s="161">
        <f t="shared" si="1"/>
        <v>1.236133122028526</v>
      </c>
      <c r="H47" s="141">
        <v>2117</v>
      </c>
      <c r="I47" s="142">
        <v>1</v>
      </c>
      <c r="J47" s="174">
        <f t="shared" si="2"/>
        <v>2118</v>
      </c>
      <c r="K47" s="164">
        <f t="shared" si="3"/>
        <v>-222</v>
      </c>
      <c r="L47" s="165">
        <f t="shared" si="4"/>
        <v>0.9051282051282051</v>
      </c>
    </row>
    <row r="48" spans="1:12" ht="14.25">
      <c r="A48" s="441" t="s">
        <v>105</v>
      </c>
      <c r="B48" s="441"/>
      <c r="C48" s="441"/>
      <c r="D48" s="196">
        <v>29030</v>
      </c>
      <c r="E48" s="177">
        <v>30852</v>
      </c>
      <c r="F48" s="197">
        <f t="shared" si="0"/>
        <v>1822</v>
      </c>
      <c r="G48" s="198">
        <f t="shared" si="1"/>
        <v>1.062762659317947</v>
      </c>
      <c r="H48" s="172">
        <v>30647</v>
      </c>
      <c r="I48" s="173">
        <v>38</v>
      </c>
      <c r="J48" s="174">
        <f t="shared" si="2"/>
        <v>30685</v>
      </c>
      <c r="K48" s="199">
        <f t="shared" si="3"/>
        <v>-167</v>
      </c>
      <c r="L48" s="200">
        <f t="shared" si="4"/>
        <v>0.9945870608064307</v>
      </c>
    </row>
    <row r="49" spans="1:12" ht="14.25">
      <c r="A49" s="441" t="s">
        <v>106</v>
      </c>
      <c r="B49" s="441"/>
      <c r="C49" s="441"/>
      <c r="D49" s="143">
        <v>21586</v>
      </c>
      <c r="E49" s="140">
        <v>22689</v>
      </c>
      <c r="F49" s="160">
        <f t="shared" si="0"/>
        <v>1103</v>
      </c>
      <c r="G49" s="161">
        <f t="shared" si="1"/>
        <v>1.0510979338460114</v>
      </c>
      <c r="H49" s="141">
        <v>22681</v>
      </c>
      <c r="I49" s="142">
        <v>29</v>
      </c>
      <c r="J49" s="174">
        <f t="shared" si="2"/>
        <v>22710</v>
      </c>
      <c r="K49" s="164">
        <f t="shared" si="3"/>
        <v>21</v>
      </c>
      <c r="L49" s="165">
        <f t="shared" si="4"/>
        <v>1.000925558640751</v>
      </c>
    </row>
    <row r="50" spans="1:12" ht="14.25">
      <c r="A50" s="441" t="s">
        <v>107</v>
      </c>
      <c r="B50" s="441"/>
      <c r="C50" s="441"/>
      <c r="D50" s="143">
        <v>21431</v>
      </c>
      <c r="E50" s="140">
        <v>22479</v>
      </c>
      <c r="F50" s="160">
        <f t="shared" si="0"/>
        <v>1048</v>
      </c>
      <c r="G50" s="161">
        <f t="shared" si="1"/>
        <v>1.0489011245392188</v>
      </c>
      <c r="H50" s="141">
        <v>22471</v>
      </c>
      <c r="I50" s="142">
        <v>29</v>
      </c>
      <c r="J50" s="174">
        <f t="shared" si="2"/>
        <v>22500</v>
      </c>
      <c r="K50" s="164">
        <f t="shared" si="3"/>
        <v>21</v>
      </c>
      <c r="L50" s="165">
        <f t="shared" si="4"/>
        <v>1.000934205258241</v>
      </c>
    </row>
    <row r="51" spans="1:12" ht="14.25">
      <c r="A51" s="441" t="s">
        <v>108</v>
      </c>
      <c r="B51" s="441"/>
      <c r="C51" s="441"/>
      <c r="D51" s="143">
        <v>155</v>
      </c>
      <c r="E51" s="140">
        <v>210</v>
      </c>
      <c r="F51" s="160">
        <f t="shared" si="0"/>
        <v>55</v>
      </c>
      <c r="G51" s="161">
        <f t="shared" si="1"/>
        <v>1.3548387096774193</v>
      </c>
      <c r="H51" s="141">
        <v>210</v>
      </c>
      <c r="I51" s="142"/>
      <c r="J51" s="174">
        <f t="shared" si="2"/>
        <v>210</v>
      </c>
      <c r="K51" s="164">
        <f t="shared" si="3"/>
        <v>0</v>
      </c>
      <c r="L51" s="165">
        <f t="shared" si="4"/>
        <v>1</v>
      </c>
    </row>
    <row r="52" spans="1:12" ht="14.25">
      <c r="A52" s="441" t="s">
        <v>109</v>
      </c>
      <c r="B52" s="441"/>
      <c r="C52" s="441"/>
      <c r="D52" s="143">
        <v>7444</v>
      </c>
      <c r="E52" s="140">
        <v>8163</v>
      </c>
      <c r="F52" s="160">
        <f t="shared" si="0"/>
        <v>719</v>
      </c>
      <c r="G52" s="161">
        <f t="shared" si="1"/>
        <v>1.0965878559914024</v>
      </c>
      <c r="H52" s="141">
        <v>7966</v>
      </c>
      <c r="I52" s="142">
        <v>9</v>
      </c>
      <c r="J52" s="174">
        <f t="shared" si="2"/>
        <v>7975</v>
      </c>
      <c r="K52" s="164">
        <f t="shared" si="3"/>
        <v>-188</v>
      </c>
      <c r="L52" s="165">
        <f t="shared" si="4"/>
        <v>0.9769692515006738</v>
      </c>
    </row>
    <row r="53" spans="1:12" ht="14.25">
      <c r="A53" s="441" t="s">
        <v>110</v>
      </c>
      <c r="B53" s="441"/>
      <c r="C53" s="441"/>
      <c r="D53" s="143">
        <v>7</v>
      </c>
      <c r="E53" s="140">
        <v>9</v>
      </c>
      <c r="F53" s="160">
        <f t="shared" si="0"/>
        <v>2</v>
      </c>
      <c r="G53" s="161">
        <f t="shared" si="1"/>
        <v>1.2857142857142858</v>
      </c>
      <c r="H53" s="141">
        <v>9</v>
      </c>
      <c r="I53" s="142"/>
      <c r="J53" s="174">
        <f t="shared" si="2"/>
        <v>9</v>
      </c>
      <c r="K53" s="164">
        <f t="shared" si="3"/>
        <v>0</v>
      </c>
      <c r="L53" s="165">
        <f t="shared" si="4"/>
        <v>1</v>
      </c>
    </row>
    <row r="54" spans="1:12" ht="14.25">
      <c r="A54" s="441" t="s">
        <v>111</v>
      </c>
      <c r="B54" s="441"/>
      <c r="C54" s="441"/>
      <c r="D54" s="143"/>
      <c r="E54" s="140"/>
      <c r="F54" s="160">
        <f t="shared" si="0"/>
        <v>0</v>
      </c>
      <c r="G54" s="161"/>
      <c r="H54" s="141"/>
      <c r="I54" s="142"/>
      <c r="J54" s="174">
        <f t="shared" si="2"/>
        <v>0</v>
      </c>
      <c r="K54" s="164">
        <f t="shared" si="3"/>
        <v>0</v>
      </c>
      <c r="L54" s="165"/>
    </row>
    <row r="55" spans="1:12" ht="14.25">
      <c r="A55" s="441" t="s">
        <v>112</v>
      </c>
      <c r="B55" s="441"/>
      <c r="C55" s="441"/>
      <c r="D55" s="143">
        <v>216</v>
      </c>
      <c r="E55" s="140">
        <v>341</v>
      </c>
      <c r="F55" s="160">
        <f t="shared" si="0"/>
        <v>125</v>
      </c>
      <c r="G55" s="161">
        <f t="shared" si="1"/>
        <v>1.5787037037037037</v>
      </c>
      <c r="H55" s="141">
        <v>220</v>
      </c>
      <c r="I55" s="142"/>
      <c r="J55" s="174">
        <f t="shared" si="2"/>
        <v>220</v>
      </c>
      <c r="K55" s="164">
        <f t="shared" si="3"/>
        <v>-121</v>
      </c>
      <c r="L55" s="165">
        <f t="shared" si="4"/>
        <v>0.6451612903225806</v>
      </c>
    </row>
    <row r="56" spans="1:12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/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846</v>
      </c>
      <c r="E57" s="140">
        <v>808</v>
      </c>
      <c r="F57" s="160">
        <f t="shared" si="0"/>
        <v>-38</v>
      </c>
      <c r="G57" s="161">
        <f t="shared" si="1"/>
        <v>0.9550827423167849</v>
      </c>
      <c r="H57" s="141">
        <v>869</v>
      </c>
      <c r="I57" s="142">
        <v>2</v>
      </c>
      <c r="J57" s="174">
        <f t="shared" si="2"/>
        <v>871</v>
      </c>
      <c r="K57" s="164">
        <f t="shared" si="3"/>
        <v>63</v>
      </c>
      <c r="L57" s="165">
        <f t="shared" si="4"/>
        <v>1.077970297029703</v>
      </c>
    </row>
    <row r="58" spans="1:12" ht="14.25">
      <c r="A58" s="441" t="s">
        <v>115</v>
      </c>
      <c r="B58" s="441"/>
      <c r="C58" s="441"/>
      <c r="D58" s="143"/>
      <c r="E58" s="140"/>
      <c r="F58" s="160">
        <f t="shared" si="0"/>
        <v>0</v>
      </c>
      <c r="G58" s="161"/>
      <c r="H58" s="141"/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/>
      <c r="E59" s="148"/>
      <c r="F59" s="162">
        <f t="shared" si="0"/>
        <v>0</v>
      </c>
      <c r="G59" s="163"/>
      <c r="H59" s="145"/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46734</v>
      </c>
      <c r="E60" s="180">
        <v>45953</v>
      </c>
      <c r="F60" s="181">
        <f t="shared" si="0"/>
        <v>-781</v>
      </c>
      <c r="G60" s="182">
        <f t="shared" si="1"/>
        <v>0.9832883981683571</v>
      </c>
      <c r="H60" s="183">
        <v>45344</v>
      </c>
      <c r="I60" s="184">
        <v>145</v>
      </c>
      <c r="J60" s="185">
        <f t="shared" si="2"/>
        <v>45489</v>
      </c>
      <c r="K60" s="183">
        <f t="shared" si="3"/>
        <v>-464</v>
      </c>
      <c r="L60" s="186">
        <f t="shared" si="4"/>
        <v>0.9899027266990186</v>
      </c>
    </row>
    <row r="61" spans="1:14" s="6" customFormat="1" ht="15">
      <c r="A61" s="447" t="s">
        <v>17</v>
      </c>
      <c r="B61" s="447"/>
      <c r="C61" s="447"/>
      <c r="D61" s="96">
        <v>0</v>
      </c>
      <c r="E61" s="96">
        <v>157</v>
      </c>
      <c r="F61" s="96"/>
      <c r="G61" s="96"/>
      <c r="H61" s="96">
        <v>-2601</v>
      </c>
      <c r="I61" s="96">
        <v>5</v>
      </c>
      <c r="J61" s="96">
        <v>-2596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76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spans="1:11" s="201" customFormat="1" ht="15">
      <c r="A64" s="5"/>
      <c r="D64" s="149"/>
      <c r="E64" s="113"/>
      <c r="K64" s="40"/>
    </row>
    <row r="65" spans="1:11" s="201" customFormat="1" ht="15.75" thickBot="1">
      <c r="A65" s="513"/>
      <c r="B65" s="513"/>
      <c r="C65" s="513"/>
      <c r="D65" s="151"/>
      <c r="E65" s="513"/>
      <c r="F65" s="513"/>
      <c r="G65" s="513"/>
      <c r="I65" s="513"/>
      <c r="J65" s="513"/>
      <c r="K65" s="513"/>
    </row>
    <row r="66" spans="1:14" s="6" customFormat="1" ht="14.25" customHeight="1" thickBot="1">
      <c r="A66" s="420" t="s">
        <v>150</v>
      </c>
      <c r="B66" s="421"/>
      <c r="C66" s="424" t="s">
        <v>19</v>
      </c>
      <c r="D66" s="12"/>
      <c r="E66" s="426" t="s">
        <v>151</v>
      </c>
      <c r="F66" s="426"/>
      <c r="G66" s="426"/>
      <c r="H66" s="426"/>
      <c r="I66" s="411" t="s">
        <v>19</v>
      </c>
      <c r="J66" s="11"/>
      <c r="K66" s="11"/>
      <c r="L66" s="11"/>
      <c r="M66" s="11"/>
      <c r="N66" s="11"/>
    </row>
    <row r="67" spans="1:14" s="6" customFormat="1" ht="15.75" thickBot="1">
      <c r="A67" s="422"/>
      <c r="B67" s="423"/>
      <c r="C67" s="425"/>
      <c r="D67" s="12"/>
      <c r="E67" s="426"/>
      <c r="F67" s="426"/>
      <c r="G67" s="426"/>
      <c r="H67" s="426"/>
      <c r="I67" s="411"/>
      <c r="J67" s="11"/>
      <c r="K67" s="11"/>
      <c r="L67" s="11"/>
      <c r="M67" s="11"/>
      <c r="N67" s="11"/>
    </row>
    <row r="68" spans="1:14" s="6" customFormat="1" ht="15.75" thickBot="1">
      <c r="A68" s="382" t="s">
        <v>323</v>
      </c>
      <c r="B68" s="382"/>
      <c r="C68" s="13">
        <v>40</v>
      </c>
      <c r="D68" s="14"/>
      <c r="E68" s="382" t="s">
        <v>275</v>
      </c>
      <c r="F68" s="382"/>
      <c r="G68" s="382"/>
      <c r="H68" s="382"/>
      <c r="I68" s="15">
        <v>61</v>
      </c>
      <c r="J68" s="11"/>
      <c r="K68" s="11"/>
      <c r="L68" s="11"/>
      <c r="M68" s="11"/>
      <c r="N68" s="113" t="s">
        <v>122</v>
      </c>
    </row>
    <row r="69" spans="1:14" s="6" customFormat="1" ht="15">
      <c r="A69" s="382" t="s">
        <v>274</v>
      </c>
      <c r="B69" s="382"/>
      <c r="C69" s="13">
        <v>240</v>
      </c>
      <c r="D69" s="14"/>
      <c r="E69" s="380" t="s">
        <v>276</v>
      </c>
      <c r="F69" s="380"/>
      <c r="G69" s="380"/>
      <c r="H69" s="380"/>
      <c r="I69" s="16">
        <v>30</v>
      </c>
      <c r="J69" s="11"/>
      <c r="K69" s="17" t="s">
        <v>20</v>
      </c>
      <c r="L69" s="18"/>
      <c r="M69" s="19">
        <v>2009</v>
      </c>
      <c r="N69" s="20">
        <v>2010</v>
      </c>
    </row>
    <row r="70" spans="1:14" s="6" customFormat="1" ht="15">
      <c r="A70" s="382" t="s">
        <v>324</v>
      </c>
      <c r="B70" s="382"/>
      <c r="C70" s="13">
        <v>250</v>
      </c>
      <c r="D70" s="14"/>
      <c r="E70" s="380" t="s">
        <v>277</v>
      </c>
      <c r="F70" s="380"/>
      <c r="G70" s="380"/>
      <c r="H70" s="380"/>
      <c r="I70" s="16">
        <v>40</v>
      </c>
      <c r="J70" s="11"/>
      <c r="K70" s="21" t="s">
        <v>45</v>
      </c>
      <c r="L70" s="22"/>
      <c r="M70" s="23"/>
      <c r="N70" s="24"/>
    </row>
    <row r="71" spans="1:14" s="6" customFormat="1" ht="15">
      <c r="A71" s="382" t="s">
        <v>325</v>
      </c>
      <c r="B71" s="382"/>
      <c r="C71" s="13">
        <v>180</v>
      </c>
      <c r="D71" s="14"/>
      <c r="E71" s="380" t="s">
        <v>278</v>
      </c>
      <c r="F71" s="380"/>
      <c r="G71" s="380"/>
      <c r="H71" s="380"/>
      <c r="I71" s="16">
        <v>38</v>
      </c>
      <c r="J71" s="11"/>
      <c r="K71" s="21" t="s">
        <v>21</v>
      </c>
      <c r="L71" s="25"/>
      <c r="M71" s="26">
        <v>0</v>
      </c>
      <c r="N71" s="27">
        <v>0</v>
      </c>
    </row>
    <row r="72" spans="1:14" s="6" customFormat="1" ht="15.75" thickBot="1">
      <c r="A72" s="383" t="s">
        <v>177</v>
      </c>
      <c r="B72" s="384"/>
      <c r="C72" s="15">
        <v>251</v>
      </c>
      <c r="D72" s="14"/>
      <c r="E72" s="380" t="s">
        <v>326</v>
      </c>
      <c r="F72" s="380"/>
      <c r="G72" s="380"/>
      <c r="H72" s="380"/>
      <c r="I72" s="28">
        <v>55</v>
      </c>
      <c r="J72" s="11"/>
      <c r="K72" s="29" t="s">
        <v>22</v>
      </c>
      <c r="L72" s="30"/>
      <c r="M72" s="31">
        <v>0</v>
      </c>
      <c r="N72" s="32">
        <v>0</v>
      </c>
    </row>
    <row r="73" spans="1:14" s="6" customFormat="1" ht="15">
      <c r="A73" s="383"/>
      <c r="B73" s="384"/>
      <c r="C73" s="13"/>
      <c r="D73" s="14"/>
      <c r="E73" s="380" t="s">
        <v>327</v>
      </c>
      <c r="F73" s="380"/>
      <c r="G73" s="380"/>
      <c r="H73" s="380"/>
      <c r="I73" s="28">
        <v>30</v>
      </c>
      <c r="J73" s="11"/>
      <c r="K73" s="11"/>
      <c r="L73" s="11"/>
      <c r="M73" s="11"/>
      <c r="N73" s="11"/>
    </row>
    <row r="74" spans="1:14" s="6" customFormat="1" ht="15">
      <c r="A74" s="383"/>
      <c r="B74" s="384"/>
      <c r="C74" s="13"/>
      <c r="D74" s="14"/>
      <c r="E74" s="380" t="s">
        <v>279</v>
      </c>
      <c r="F74" s="380"/>
      <c r="G74" s="380"/>
      <c r="H74" s="380"/>
      <c r="I74" s="28">
        <v>20</v>
      </c>
      <c r="J74" s="11"/>
      <c r="K74" s="11"/>
      <c r="L74" s="11"/>
      <c r="M74" s="11"/>
      <c r="N74" s="11"/>
    </row>
    <row r="75" spans="1:14" s="6" customFormat="1" ht="15">
      <c r="A75" s="383"/>
      <c r="B75" s="384"/>
      <c r="C75" s="13"/>
      <c r="D75" s="14"/>
      <c r="E75" s="380" t="s">
        <v>280</v>
      </c>
      <c r="F75" s="380"/>
      <c r="G75" s="380"/>
      <c r="H75" s="380"/>
      <c r="I75" s="28">
        <v>30</v>
      </c>
      <c r="J75" s="11"/>
      <c r="K75" s="11"/>
      <c r="L75" s="11"/>
      <c r="M75" s="11"/>
      <c r="N75" s="11"/>
    </row>
    <row r="76" spans="1:14" s="6" customFormat="1" ht="15">
      <c r="A76" s="383"/>
      <c r="B76" s="384"/>
      <c r="C76" s="13"/>
      <c r="D76" s="14"/>
      <c r="E76" s="380" t="s">
        <v>281</v>
      </c>
      <c r="F76" s="380"/>
      <c r="G76" s="380"/>
      <c r="H76" s="380"/>
      <c r="I76" s="28">
        <v>160</v>
      </c>
      <c r="J76" s="11"/>
      <c r="K76" s="11"/>
      <c r="L76" s="11"/>
      <c r="M76" s="11"/>
      <c r="N76" s="11"/>
    </row>
    <row r="77" spans="1:14" s="6" customFormat="1" ht="15">
      <c r="A77" s="383"/>
      <c r="B77" s="384"/>
      <c r="C77" s="13"/>
      <c r="D77" s="14"/>
      <c r="E77" s="380" t="s">
        <v>282</v>
      </c>
      <c r="F77" s="380"/>
      <c r="G77" s="380"/>
      <c r="H77" s="380"/>
      <c r="I77" s="28">
        <v>40</v>
      </c>
      <c r="J77" s="11"/>
      <c r="K77" s="11"/>
      <c r="L77" s="11"/>
      <c r="M77" s="11"/>
      <c r="N77" s="11"/>
    </row>
    <row r="78" spans="1:14" s="6" customFormat="1" ht="15">
      <c r="A78" s="383"/>
      <c r="B78" s="384"/>
      <c r="C78" s="13"/>
      <c r="D78" s="14"/>
      <c r="E78" s="380" t="s">
        <v>283</v>
      </c>
      <c r="F78" s="380"/>
      <c r="G78" s="380"/>
      <c r="H78" s="380"/>
      <c r="I78" s="28">
        <v>20</v>
      </c>
      <c r="J78" s="11"/>
      <c r="K78" s="11"/>
      <c r="L78" s="11"/>
      <c r="M78" s="11"/>
      <c r="N78" s="11"/>
    </row>
    <row r="79" spans="1:14" s="6" customFormat="1" ht="15">
      <c r="A79" s="383"/>
      <c r="B79" s="384"/>
      <c r="C79" s="13"/>
      <c r="D79" s="14"/>
      <c r="E79" s="380" t="s">
        <v>284</v>
      </c>
      <c r="F79" s="380"/>
      <c r="G79" s="380"/>
      <c r="H79" s="380"/>
      <c r="I79" s="28">
        <v>80</v>
      </c>
      <c r="J79" s="11"/>
      <c r="K79" s="11"/>
      <c r="L79" s="11"/>
      <c r="M79" s="11"/>
      <c r="N79" s="11"/>
    </row>
    <row r="80" spans="1:14" s="6" customFormat="1" ht="15">
      <c r="A80" s="383"/>
      <c r="B80" s="384"/>
      <c r="C80" s="13"/>
      <c r="D80" s="14"/>
      <c r="E80" s="380" t="s">
        <v>266</v>
      </c>
      <c r="F80" s="380"/>
      <c r="G80" s="380"/>
      <c r="H80" s="380"/>
      <c r="I80" s="28">
        <v>60</v>
      </c>
      <c r="J80" s="11"/>
      <c r="K80" s="11"/>
      <c r="L80" s="11"/>
      <c r="M80" s="11"/>
      <c r="N80" s="11"/>
    </row>
    <row r="81" spans="1:14" s="6" customFormat="1" ht="15.75" thickBot="1">
      <c r="A81" s="383"/>
      <c r="B81" s="384"/>
      <c r="C81" s="13"/>
      <c r="D81" s="14"/>
      <c r="E81" s="380" t="s">
        <v>285</v>
      </c>
      <c r="F81" s="380"/>
      <c r="G81" s="380"/>
      <c r="H81" s="380"/>
      <c r="I81" s="28">
        <v>16</v>
      </c>
      <c r="J81" s="11"/>
      <c r="K81" s="11"/>
      <c r="L81" s="11"/>
      <c r="M81" s="11"/>
      <c r="N81" s="11"/>
    </row>
    <row r="82" spans="1:14" s="6" customFormat="1" ht="15.75" thickBot="1">
      <c r="A82" s="405" t="s">
        <v>12</v>
      </c>
      <c r="B82" s="406"/>
      <c r="C82" s="35">
        <f>SUM(C68:C81)</f>
        <v>961</v>
      </c>
      <c r="D82" s="36"/>
      <c r="E82" s="404" t="s">
        <v>12</v>
      </c>
      <c r="F82" s="404"/>
      <c r="G82" s="404"/>
      <c r="H82" s="404"/>
      <c r="I82" s="37">
        <f>SUM(I68:I81)</f>
        <v>680</v>
      </c>
      <c r="J82" s="11"/>
      <c r="K82" s="11"/>
      <c r="L82" s="11"/>
      <c r="M82" s="11"/>
      <c r="N82" s="38"/>
    </row>
    <row r="83" spans="1:5" s="10" customFormat="1" ht="13.5" customHeight="1">
      <c r="A83" s="36"/>
      <c r="B83" s="39"/>
      <c r="C83" s="39"/>
      <c r="D83" s="39"/>
      <c r="E83" s="39"/>
    </row>
    <row r="84" spans="1:12" s="10" customFormat="1" ht="15.75" thickBot="1">
      <c r="A84" s="5" t="s">
        <v>152</v>
      </c>
      <c r="B84" s="40"/>
      <c r="C84" s="40"/>
      <c r="D84" s="40"/>
      <c r="E84" s="41"/>
      <c r="F84" s="42"/>
      <c r="G84" s="42"/>
      <c r="H84" s="14"/>
      <c r="I84" s="40"/>
      <c r="J84" s="40" t="s">
        <v>46</v>
      </c>
      <c r="K84" s="40"/>
      <c r="L84" s="41"/>
    </row>
    <row r="85" spans="1:11" s="10" customFormat="1" ht="15.75" thickBot="1">
      <c r="A85" s="427" t="s">
        <v>31</v>
      </c>
      <c r="B85" s="428" t="s">
        <v>153</v>
      </c>
      <c r="C85" s="412" t="s">
        <v>154</v>
      </c>
      <c r="D85" s="412"/>
      <c r="E85" s="412"/>
      <c r="F85" s="412"/>
      <c r="G85" s="412"/>
      <c r="H85" s="412"/>
      <c r="I85" s="412"/>
      <c r="J85" s="413" t="s">
        <v>155</v>
      </c>
      <c r="K85" s="6"/>
    </row>
    <row r="86" spans="1:11" s="10" customFormat="1" ht="12.75" customHeight="1" thickBot="1">
      <c r="A86" s="427"/>
      <c r="B86" s="428"/>
      <c r="C86" s="414" t="s">
        <v>32</v>
      </c>
      <c r="D86" s="415" t="s">
        <v>33</v>
      </c>
      <c r="E86" s="415"/>
      <c r="F86" s="415"/>
      <c r="G86" s="415"/>
      <c r="H86" s="415"/>
      <c r="I86" s="415"/>
      <c r="J86" s="413"/>
      <c r="K86" s="6"/>
    </row>
    <row r="87" spans="1:11" s="10" customFormat="1" ht="15.75" thickBot="1">
      <c r="A87" s="427"/>
      <c r="B87" s="428"/>
      <c r="C87" s="414"/>
      <c r="D87" s="43">
        <v>1</v>
      </c>
      <c r="E87" s="43">
        <v>2</v>
      </c>
      <c r="F87" s="43">
        <v>3</v>
      </c>
      <c r="G87" s="43">
        <v>4</v>
      </c>
      <c r="H87" s="43">
        <v>5</v>
      </c>
      <c r="I87" s="44">
        <v>6</v>
      </c>
      <c r="J87" s="413"/>
      <c r="K87" s="6"/>
    </row>
    <row r="88" spans="1:11" s="10" customFormat="1" ht="15.75" thickBot="1">
      <c r="A88" s="45">
        <v>33031</v>
      </c>
      <c r="B88" s="46">
        <v>12346</v>
      </c>
      <c r="C88" s="47">
        <v>871</v>
      </c>
      <c r="D88" s="48">
        <v>216</v>
      </c>
      <c r="E88" s="48">
        <v>208</v>
      </c>
      <c r="F88" s="48">
        <v>196</v>
      </c>
      <c r="G88" s="48"/>
      <c r="H88" s="49">
        <v>251</v>
      </c>
      <c r="I88" s="50"/>
      <c r="J88" s="51">
        <v>19814</v>
      </c>
      <c r="K88" s="6"/>
    </row>
    <row r="89" spans="1:5" s="10" customFormat="1" ht="13.5" customHeight="1">
      <c r="A89" s="36"/>
      <c r="B89" s="39"/>
      <c r="C89" s="39"/>
      <c r="D89" s="39"/>
      <c r="E89" s="39"/>
    </row>
    <row r="90" spans="1:12" s="10" customFormat="1" ht="15.75" thickBot="1">
      <c r="A90" s="5" t="s">
        <v>63</v>
      </c>
      <c r="B90" s="40"/>
      <c r="C90" s="40"/>
      <c r="D90" s="40"/>
      <c r="E90" s="41"/>
      <c r="F90" s="52"/>
      <c r="G90" s="42"/>
      <c r="H90" s="14"/>
      <c r="I90" s="40"/>
      <c r="J90" s="40"/>
      <c r="K90" s="40"/>
      <c r="L90" s="40" t="s">
        <v>46</v>
      </c>
    </row>
    <row r="91" spans="1:12" s="10" customFormat="1" ht="15.75" thickBot="1">
      <c r="A91" s="416" t="s">
        <v>43</v>
      </c>
      <c r="B91" s="430" t="s">
        <v>156</v>
      </c>
      <c r="C91" s="431" t="s">
        <v>305</v>
      </c>
      <c r="D91" s="431"/>
      <c r="E91" s="431"/>
      <c r="F91" s="431"/>
      <c r="G91" s="432" t="s">
        <v>157</v>
      </c>
      <c r="H91" s="433" t="s">
        <v>34</v>
      </c>
      <c r="I91" s="429" t="s">
        <v>159</v>
      </c>
      <c r="J91" s="429"/>
      <c r="K91" s="429"/>
      <c r="L91" s="429"/>
    </row>
    <row r="92" spans="1:12" s="10" customFormat="1" ht="30.75" thickBot="1">
      <c r="A92" s="416"/>
      <c r="B92" s="430"/>
      <c r="C92" s="53" t="s">
        <v>120</v>
      </c>
      <c r="D92" s="54" t="s">
        <v>35</v>
      </c>
      <c r="E92" s="54" t="s">
        <v>36</v>
      </c>
      <c r="F92" s="55" t="s">
        <v>121</v>
      </c>
      <c r="G92" s="432"/>
      <c r="H92" s="433"/>
      <c r="I92" s="56" t="s">
        <v>158</v>
      </c>
      <c r="J92" s="57" t="s">
        <v>35</v>
      </c>
      <c r="K92" s="57" t="s">
        <v>36</v>
      </c>
      <c r="L92" s="58" t="s">
        <v>160</v>
      </c>
    </row>
    <row r="93" spans="1:12" s="10" customFormat="1" ht="15">
      <c r="A93" s="59" t="s">
        <v>37</v>
      </c>
      <c r="B93" s="60">
        <v>2633.35</v>
      </c>
      <c r="C93" s="61" t="s">
        <v>38</v>
      </c>
      <c r="D93" s="62" t="s">
        <v>38</v>
      </c>
      <c r="E93" s="62" t="s">
        <v>38</v>
      </c>
      <c r="F93" s="63"/>
      <c r="G93" s="64">
        <v>589.81</v>
      </c>
      <c r="H93" s="65" t="s">
        <v>38</v>
      </c>
      <c r="I93" s="66" t="s">
        <v>38</v>
      </c>
      <c r="J93" s="67" t="s">
        <v>38</v>
      </c>
      <c r="K93" s="67" t="s">
        <v>38</v>
      </c>
      <c r="L93" s="68" t="s">
        <v>38</v>
      </c>
    </row>
    <row r="94" spans="1:13" s="10" customFormat="1" ht="15">
      <c r="A94" s="69" t="s">
        <v>39</v>
      </c>
      <c r="B94" s="70">
        <v>110.58</v>
      </c>
      <c r="C94" s="71">
        <v>111</v>
      </c>
      <c r="D94" s="72">
        <v>0</v>
      </c>
      <c r="E94" s="72">
        <v>0</v>
      </c>
      <c r="F94" s="73">
        <f>C94+D94-E94</f>
        <v>111</v>
      </c>
      <c r="G94" s="74">
        <v>110.58</v>
      </c>
      <c r="H94" s="75">
        <f>+G94-F94</f>
        <v>-0.4200000000000017</v>
      </c>
      <c r="I94" s="71">
        <v>111</v>
      </c>
      <c r="J94" s="72">
        <v>0</v>
      </c>
      <c r="K94" s="72">
        <v>0</v>
      </c>
      <c r="L94" s="73">
        <f>I94+J94-K94</f>
        <v>111</v>
      </c>
      <c r="M94" s="76"/>
    </row>
    <row r="95" spans="1:13" s="10" customFormat="1" ht="15">
      <c r="A95" s="69" t="s">
        <v>40</v>
      </c>
      <c r="B95" s="70">
        <f>194.53+0</f>
        <v>194.53</v>
      </c>
      <c r="C95" s="71">
        <v>195</v>
      </c>
      <c r="D95" s="72">
        <v>32</v>
      </c>
      <c r="E95" s="72">
        <v>32</v>
      </c>
      <c r="F95" s="73">
        <f>C95+D95-E95</f>
        <v>195</v>
      </c>
      <c r="G95" s="74">
        <f>194.53</f>
        <v>194.53</v>
      </c>
      <c r="H95" s="75">
        <f>+G95-F95</f>
        <v>-0.46999999999999886</v>
      </c>
      <c r="I95" s="71">
        <v>195</v>
      </c>
      <c r="J95" s="72">
        <f>157+30</f>
        <v>187</v>
      </c>
      <c r="K95" s="72">
        <v>30</v>
      </c>
      <c r="L95" s="73">
        <f>I95+J95-K95</f>
        <v>352</v>
      </c>
      <c r="M95" s="76"/>
    </row>
    <row r="96" spans="1:13" s="10" customFormat="1" ht="15">
      <c r="A96" s="69" t="s">
        <v>44</v>
      </c>
      <c r="B96" s="70">
        <v>502.32</v>
      </c>
      <c r="C96" s="71">
        <v>502</v>
      </c>
      <c r="D96" s="72">
        <v>808</v>
      </c>
      <c r="E96" s="72">
        <v>1096</v>
      </c>
      <c r="F96" s="73">
        <f>C96+D96-E96</f>
        <v>214</v>
      </c>
      <c r="G96" s="74">
        <v>213.59</v>
      </c>
      <c r="H96" s="75">
        <f>+G96-F96</f>
        <v>-0.4099999999999966</v>
      </c>
      <c r="I96" s="77">
        <v>214</v>
      </c>
      <c r="J96" s="78">
        <v>871</v>
      </c>
      <c r="K96" s="78">
        <v>961</v>
      </c>
      <c r="L96" s="73">
        <f>I96+J96-K96</f>
        <v>124</v>
      </c>
      <c r="M96" s="76"/>
    </row>
    <row r="97" spans="1:13" s="10" customFormat="1" ht="15">
      <c r="A97" s="69" t="s">
        <v>41</v>
      </c>
      <c r="B97" s="70">
        <v>1825.92</v>
      </c>
      <c r="C97" s="79" t="s">
        <v>38</v>
      </c>
      <c r="D97" s="62" t="s">
        <v>38</v>
      </c>
      <c r="E97" s="80" t="s">
        <v>38</v>
      </c>
      <c r="F97" s="73"/>
      <c r="G97" s="74">
        <v>71.11</v>
      </c>
      <c r="H97" s="81" t="s">
        <v>38</v>
      </c>
      <c r="I97" s="79" t="s">
        <v>38</v>
      </c>
      <c r="J97" s="62" t="s">
        <v>38</v>
      </c>
      <c r="K97" s="80" t="s">
        <v>38</v>
      </c>
      <c r="L97" s="73"/>
      <c r="M97" s="76"/>
    </row>
    <row r="98" spans="1:13" s="10" customFormat="1" ht="15.75" thickBot="1">
      <c r="A98" s="82" t="s">
        <v>42</v>
      </c>
      <c r="B98" s="83">
        <v>59.91</v>
      </c>
      <c r="C98" s="84">
        <v>75</v>
      </c>
      <c r="D98" s="85">
        <v>450</v>
      </c>
      <c r="E98" s="85">
        <v>456</v>
      </c>
      <c r="F98" s="73">
        <f>C98+D98-E98</f>
        <v>69</v>
      </c>
      <c r="G98" s="109">
        <v>67.14</v>
      </c>
      <c r="H98" s="110">
        <f>+G98-F98</f>
        <v>-1.8599999999999994</v>
      </c>
      <c r="I98" s="111">
        <v>69</v>
      </c>
      <c r="J98" s="112">
        <v>225</v>
      </c>
      <c r="K98" s="112">
        <v>225</v>
      </c>
      <c r="L98" s="73">
        <f>I98+J98-K98</f>
        <v>69</v>
      </c>
      <c r="M98" s="76"/>
    </row>
    <row r="101" spans="1:11" s="6" customFormat="1" ht="15.75" thickBot="1">
      <c r="A101" s="5" t="s">
        <v>146</v>
      </c>
      <c r="D101" s="114"/>
      <c r="E101" s="150"/>
      <c r="K101" s="40" t="s">
        <v>46</v>
      </c>
    </row>
    <row r="102" spans="1:11" s="6" customFormat="1" ht="15">
      <c r="A102" s="509" t="s">
        <v>26</v>
      </c>
      <c r="B102" s="509"/>
      <c r="C102" s="509"/>
      <c r="D102" s="151"/>
      <c r="E102" s="509" t="s">
        <v>27</v>
      </c>
      <c r="F102" s="509"/>
      <c r="G102" s="509"/>
      <c r="I102" s="509" t="s">
        <v>23</v>
      </c>
      <c r="J102" s="509"/>
      <c r="K102" s="509"/>
    </row>
    <row r="103" spans="1:11" s="6" customFormat="1" ht="15.75" thickBot="1">
      <c r="A103" s="202" t="s">
        <v>28</v>
      </c>
      <c r="B103" s="203" t="s">
        <v>29</v>
      </c>
      <c r="C103" s="204" t="s">
        <v>25</v>
      </c>
      <c r="D103" s="151"/>
      <c r="E103" s="205"/>
      <c r="F103" s="511" t="s">
        <v>30</v>
      </c>
      <c r="G103" s="511"/>
      <c r="I103" s="202"/>
      <c r="J103" s="203" t="s">
        <v>24</v>
      </c>
      <c r="K103" s="204" t="s">
        <v>25</v>
      </c>
    </row>
    <row r="104" spans="1:11" s="6" customFormat="1" ht="15">
      <c r="A104" s="206">
        <v>2010</v>
      </c>
      <c r="B104" s="207">
        <v>98</v>
      </c>
      <c r="C104" s="208">
        <v>95</v>
      </c>
      <c r="D104" s="149"/>
      <c r="E104" s="206">
        <v>2010</v>
      </c>
      <c r="F104" s="512">
        <v>203</v>
      </c>
      <c r="G104" s="512"/>
      <c r="I104" s="206">
        <v>2010</v>
      </c>
      <c r="J104" s="207">
        <v>22500</v>
      </c>
      <c r="K104" s="208">
        <v>22479</v>
      </c>
    </row>
    <row r="105" spans="1:11" s="6" customFormat="1" ht="15.75" thickBot="1">
      <c r="A105" s="209">
        <v>2011</v>
      </c>
      <c r="B105" s="210">
        <v>96.5</v>
      </c>
      <c r="C105" s="211" t="s">
        <v>62</v>
      </c>
      <c r="D105" s="149"/>
      <c r="E105" s="209">
        <v>2011</v>
      </c>
      <c r="F105" s="510">
        <v>203</v>
      </c>
      <c r="G105" s="510"/>
      <c r="I105" s="209">
        <v>2011</v>
      </c>
      <c r="J105" s="210">
        <v>22500</v>
      </c>
      <c r="K105" s="211" t="s">
        <v>62</v>
      </c>
    </row>
  </sheetData>
  <mergeCells count="119">
    <mergeCell ref="D86:I86"/>
    <mergeCell ref="E80:H80"/>
    <mergeCell ref="A74:B74"/>
    <mergeCell ref="A75:B75"/>
    <mergeCell ref="A76:B76"/>
    <mergeCell ref="E81:H81"/>
    <mergeCell ref="A79:B79"/>
    <mergeCell ref="A80:B80"/>
    <mergeCell ref="A78:B78"/>
    <mergeCell ref="A77:B77"/>
    <mergeCell ref="H91:H92"/>
    <mergeCell ref="I91:L91"/>
    <mergeCell ref="A85:A87"/>
    <mergeCell ref="C85:I85"/>
    <mergeCell ref="A91:A92"/>
    <mergeCell ref="B91:B92"/>
    <mergeCell ref="C91:F91"/>
    <mergeCell ref="G91:G92"/>
    <mergeCell ref="J85:J87"/>
    <mergeCell ref="C86:C87"/>
    <mergeCell ref="E69:H69"/>
    <mergeCell ref="E70:H70"/>
    <mergeCell ref="E71:H71"/>
    <mergeCell ref="E72:H72"/>
    <mergeCell ref="E73:H73"/>
    <mergeCell ref="E79:H79"/>
    <mergeCell ref="E77:H77"/>
    <mergeCell ref="E78:H78"/>
    <mergeCell ref="E74:H74"/>
    <mergeCell ref="E75:H75"/>
    <mergeCell ref="E76:H76"/>
    <mergeCell ref="I65:K65"/>
    <mergeCell ref="E66:H67"/>
    <mergeCell ref="I66:I67"/>
    <mergeCell ref="A7:C7"/>
    <mergeCell ref="A62:C62"/>
    <mergeCell ref="A65:C65"/>
    <mergeCell ref="E65:G65"/>
    <mergeCell ref="A45:C45"/>
    <mergeCell ref="A46:C46"/>
    <mergeCell ref="A47:C47"/>
    <mergeCell ref="F105:G105"/>
    <mergeCell ref="F103:G103"/>
    <mergeCell ref="F104:G104"/>
    <mergeCell ref="A102:C102"/>
    <mergeCell ref="E102:G102"/>
    <mergeCell ref="I102:K102"/>
    <mergeCell ref="A82:B82"/>
    <mergeCell ref="E82:H82"/>
    <mergeCell ref="A69:B69"/>
    <mergeCell ref="A70:B70"/>
    <mergeCell ref="A71:B71"/>
    <mergeCell ref="A72:B72"/>
    <mergeCell ref="A73:B73"/>
    <mergeCell ref="A81:B81"/>
    <mergeCell ref="B85:B87"/>
    <mergeCell ref="A61:C61"/>
    <mergeCell ref="A57:C57"/>
    <mergeCell ref="A58:C58"/>
    <mergeCell ref="A59:C59"/>
    <mergeCell ref="A60:C60"/>
    <mergeCell ref="A66:B67"/>
    <mergeCell ref="C66:C67"/>
    <mergeCell ref="A68:B68"/>
    <mergeCell ref="E68:H68"/>
    <mergeCell ref="A39:C39"/>
    <mergeCell ref="A40:C40"/>
    <mergeCell ref="A48:C48"/>
    <mergeCell ref="A41:C41"/>
    <mergeCell ref="A42:C42"/>
    <mergeCell ref="A43:C43"/>
    <mergeCell ref="A44:C44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E4:E6"/>
    <mergeCell ref="F4:G4"/>
    <mergeCell ref="A13:C13"/>
    <mergeCell ref="A14:C14"/>
    <mergeCell ref="A8:C8"/>
    <mergeCell ref="A9:C9"/>
    <mergeCell ref="A4:C6"/>
    <mergeCell ref="D4:D6"/>
    <mergeCell ref="A2:N2"/>
    <mergeCell ref="A49:C49"/>
    <mergeCell ref="A50:C50"/>
    <mergeCell ref="A51:C51"/>
    <mergeCell ref="A3:G3"/>
    <mergeCell ref="A10:C10"/>
    <mergeCell ref="A11:C11"/>
    <mergeCell ref="A12:C12"/>
    <mergeCell ref="H4:J4"/>
    <mergeCell ref="K4:L4"/>
    <mergeCell ref="A56:C56"/>
    <mergeCell ref="A52:C52"/>
    <mergeCell ref="A53:C53"/>
    <mergeCell ref="A54:C54"/>
    <mergeCell ref="A55:C5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48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K63" sqref="K63"/>
    </sheetView>
  </sheetViews>
  <sheetFormatPr defaultColWidth="9.00390625" defaultRowHeight="12.75"/>
  <cols>
    <col min="1" max="1" width="27.875" style="138" customWidth="1"/>
    <col min="2" max="2" width="20.00390625" style="138" customWidth="1"/>
    <col min="3" max="3" width="14.375" style="138" customWidth="1"/>
    <col min="4" max="4" width="11.875" style="154" customWidth="1"/>
    <col min="5" max="5" width="11.875" style="147" customWidth="1"/>
    <col min="6" max="6" width="14.875" style="138" customWidth="1"/>
    <col min="7" max="12" width="11.87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134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12049</v>
      </c>
      <c r="E7" s="169">
        <v>14432</v>
      </c>
      <c r="F7" s="170">
        <f>E7-D7</f>
        <v>2383</v>
      </c>
      <c r="G7" s="171">
        <f>E7/D7</f>
        <v>1.1977757490248153</v>
      </c>
      <c r="H7" s="172">
        <v>14542</v>
      </c>
      <c r="I7" s="173">
        <v>0</v>
      </c>
      <c r="J7" s="174">
        <f>H7+I7</f>
        <v>14542</v>
      </c>
      <c r="K7" s="175">
        <f>J7-E7</f>
        <v>110</v>
      </c>
      <c r="L7" s="176">
        <f>J7/E7</f>
        <v>1.0076219512195121</v>
      </c>
    </row>
    <row r="8" spans="1:12" ht="14.25">
      <c r="A8" s="465" t="s">
        <v>66</v>
      </c>
      <c r="B8" s="465"/>
      <c r="C8" s="465"/>
      <c r="D8" s="143">
        <v>6141</v>
      </c>
      <c r="E8" s="140">
        <v>6330</v>
      </c>
      <c r="F8" s="160">
        <f aca="true" t="shared" si="0" ref="F8:F60">E8-D8</f>
        <v>189</v>
      </c>
      <c r="G8" s="161">
        <f aca="true" t="shared" si="1" ref="G8:G60">E8/D8</f>
        <v>1.0307767464582316</v>
      </c>
      <c r="H8" s="141">
        <v>6500</v>
      </c>
      <c r="I8" s="142">
        <v>0</v>
      </c>
      <c r="J8" s="174">
        <f aca="true" t="shared" si="2" ref="J8:J61">H8+I8</f>
        <v>6500</v>
      </c>
      <c r="K8" s="164">
        <f aca="true" t="shared" si="3" ref="K8:K60">J8-E8</f>
        <v>170</v>
      </c>
      <c r="L8" s="165">
        <f aca="true" t="shared" si="4" ref="L8:L60">J8/E8</f>
        <v>1.0268562401263823</v>
      </c>
    </row>
    <row r="9" spans="1:12" ht="14.25">
      <c r="A9" s="465" t="s">
        <v>67</v>
      </c>
      <c r="B9" s="465"/>
      <c r="C9" s="465"/>
      <c r="D9" s="143">
        <v>4901</v>
      </c>
      <c r="E9" s="140">
        <v>6057</v>
      </c>
      <c r="F9" s="160">
        <f t="shared" si="0"/>
        <v>1156</v>
      </c>
      <c r="G9" s="161">
        <f t="shared" si="1"/>
        <v>1.2358702305651907</v>
      </c>
      <c r="H9" s="141">
        <v>6012</v>
      </c>
      <c r="I9" s="142">
        <v>0</v>
      </c>
      <c r="J9" s="174">
        <f t="shared" si="2"/>
        <v>6012</v>
      </c>
      <c r="K9" s="164">
        <f t="shared" si="3"/>
        <v>-45</v>
      </c>
      <c r="L9" s="165">
        <f t="shared" si="4"/>
        <v>0.9925705794947994</v>
      </c>
    </row>
    <row r="10" spans="1:12" ht="14.25">
      <c r="A10" s="465" t="s">
        <v>68</v>
      </c>
      <c r="B10" s="465"/>
      <c r="C10" s="465"/>
      <c r="D10" s="143">
        <v>35</v>
      </c>
      <c r="E10" s="140">
        <v>34</v>
      </c>
      <c r="F10" s="160">
        <f t="shared" si="0"/>
        <v>-1</v>
      </c>
      <c r="G10" s="161">
        <f t="shared" si="1"/>
        <v>0.9714285714285714</v>
      </c>
      <c r="H10" s="141">
        <v>35</v>
      </c>
      <c r="I10" s="142">
        <v>0</v>
      </c>
      <c r="J10" s="174">
        <f t="shared" si="2"/>
        <v>35</v>
      </c>
      <c r="K10" s="164">
        <f t="shared" si="3"/>
        <v>1</v>
      </c>
      <c r="L10" s="165">
        <f t="shared" si="4"/>
        <v>1.0294117647058822</v>
      </c>
    </row>
    <row r="11" spans="1:12" ht="14.25">
      <c r="A11" s="465" t="s">
        <v>69</v>
      </c>
      <c r="B11" s="465"/>
      <c r="C11" s="465"/>
      <c r="D11" s="143">
        <v>781</v>
      </c>
      <c r="E11" s="140">
        <v>1820</v>
      </c>
      <c r="F11" s="160">
        <f t="shared" si="0"/>
        <v>1039</v>
      </c>
      <c r="G11" s="161">
        <f t="shared" si="1"/>
        <v>2.330345710627401</v>
      </c>
      <c r="H11" s="141">
        <v>1800</v>
      </c>
      <c r="I11" s="142">
        <v>0</v>
      </c>
      <c r="J11" s="174">
        <f t="shared" si="2"/>
        <v>1800</v>
      </c>
      <c r="K11" s="164">
        <f t="shared" si="3"/>
        <v>-20</v>
      </c>
      <c r="L11" s="165">
        <f t="shared" si="4"/>
        <v>0.989010989010989</v>
      </c>
    </row>
    <row r="12" spans="1:12" ht="14.25">
      <c r="A12" s="465" t="s">
        <v>70</v>
      </c>
      <c r="B12" s="465"/>
      <c r="C12" s="465"/>
      <c r="D12" s="143">
        <v>188</v>
      </c>
      <c r="E12" s="140">
        <v>188</v>
      </c>
      <c r="F12" s="160">
        <f t="shared" si="0"/>
        <v>0</v>
      </c>
      <c r="G12" s="161">
        <f t="shared" si="1"/>
        <v>1</v>
      </c>
      <c r="H12" s="141">
        <v>190</v>
      </c>
      <c r="I12" s="142">
        <v>0</v>
      </c>
      <c r="J12" s="174">
        <f t="shared" si="2"/>
        <v>190</v>
      </c>
      <c r="K12" s="164">
        <f t="shared" si="3"/>
        <v>2</v>
      </c>
      <c r="L12" s="165">
        <f t="shared" si="4"/>
        <v>1.0106382978723405</v>
      </c>
    </row>
    <row r="13" spans="1:12" ht="14.25">
      <c r="A13" s="465" t="s">
        <v>71</v>
      </c>
      <c r="B13" s="465"/>
      <c r="C13" s="465"/>
      <c r="D13" s="143">
        <v>3</v>
      </c>
      <c r="E13" s="140">
        <v>3</v>
      </c>
      <c r="F13" s="160">
        <f t="shared" si="0"/>
        <v>0</v>
      </c>
      <c r="G13" s="161">
        <f t="shared" si="1"/>
        <v>1</v>
      </c>
      <c r="H13" s="141">
        <v>5</v>
      </c>
      <c r="I13" s="142">
        <v>0</v>
      </c>
      <c r="J13" s="174">
        <f t="shared" si="2"/>
        <v>5</v>
      </c>
      <c r="K13" s="164">
        <f t="shared" si="3"/>
        <v>2</v>
      </c>
      <c r="L13" s="165">
        <f t="shared" si="4"/>
        <v>1.6666666666666667</v>
      </c>
    </row>
    <row r="14" spans="1:20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>
        <v>0</v>
      </c>
      <c r="I14" s="173">
        <v>0</v>
      </c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>
        <v>0</v>
      </c>
      <c r="I15" s="142">
        <v>0</v>
      </c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307</v>
      </c>
      <c r="E16" s="140">
        <v>59</v>
      </c>
      <c r="F16" s="160">
        <f t="shared" si="0"/>
        <v>-248</v>
      </c>
      <c r="G16" s="161">
        <f t="shared" si="1"/>
        <v>0.19218241042345277</v>
      </c>
      <c r="H16" s="141">
        <f>90+200</f>
        <v>290</v>
      </c>
      <c r="I16" s="142">
        <v>0</v>
      </c>
      <c r="J16" s="174">
        <f t="shared" si="2"/>
        <v>290</v>
      </c>
      <c r="K16" s="164">
        <f t="shared" si="3"/>
        <v>231</v>
      </c>
      <c r="L16" s="165">
        <f t="shared" si="4"/>
        <v>4.915254237288136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181</v>
      </c>
      <c r="E17" s="140">
        <v>15</v>
      </c>
      <c r="F17" s="160">
        <f t="shared" si="0"/>
        <v>-166</v>
      </c>
      <c r="G17" s="161">
        <f t="shared" si="1"/>
        <v>0.08287292817679558</v>
      </c>
      <c r="H17" s="141">
        <f>50+200</f>
        <v>250</v>
      </c>
      <c r="I17" s="142">
        <v>0</v>
      </c>
      <c r="J17" s="174">
        <f t="shared" si="2"/>
        <v>250</v>
      </c>
      <c r="K17" s="164">
        <f t="shared" si="3"/>
        <v>235</v>
      </c>
      <c r="L17" s="165">
        <f t="shared" si="4"/>
        <v>16.666666666666668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>
        <v>0</v>
      </c>
      <c r="E18" s="140">
        <v>0</v>
      </c>
      <c r="F18" s="160">
        <f t="shared" si="0"/>
        <v>0</v>
      </c>
      <c r="G18" s="161"/>
      <c r="H18" s="141">
        <v>0</v>
      </c>
      <c r="I18" s="142">
        <v>0</v>
      </c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>
        <v>0</v>
      </c>
      <c r="E19" s="140">
        <v>0</v>
      </c>
      <c r="F19" s="160">
        <f t="shared" si="0"/>
        <v>0</v>
      </c>
      <c r="G19" s="161"/>
      <c r="H19" s="141">
        <v>0</v>
      </c>
      <c r="I19" s="142">
        <v>0</v>
      </c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>
        <v>0</v>
      </c>
      <c r="E20" s="140">
        <v>1</v>
      </c>
      <c r="F20" s="160">
        <f t="shared" si="0"/>
        <v>1</v>
      </c>
      <c r="G20" s="161"/>
      <c r="H20" s="141">
        <v>1</v>
      </c>
      <c r="I20" s="142">
        <v>0</v>
      </c>
      <c r="J20" s="174">
        <f t="shared" si="2"/>
        <v>1</v>
      </c>
      <c r="K20" s="164">
        <f t="shared" si="3"/>
        <v>0</v>
      </c>
      <c r="L20" s="165">
        <f t="shared" si="4"/>
        <v>1</v>
      </c>
    </row>
    <row r="21" spans="1:12" ht="14.25">
      <c r="A21" s="456" t="s">
        <v>79</v>
      </c>
      <c r="B21" s="456"/>
      <c r="C21" s="456"/>
      <c r="D21" s="143">
        <v>0</v>
      </c>
      <c r="E21" s="140">
        <v>0</v>
      </c>
      <c r="F21" s="160">
        <f t="shared" si="0"/>
        <v>0</v>
      </c>
      <c r="G21" s="161"/>
      <c r="H21" s="141">
        <v>0</v>
      </c>
      <c r="I21" s="142">
        <v>0</v>
      </c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7286</v>
      </c>
      <c r="E22" s="177">
        <v>7130</v>
      </c>
      <c r="F22" s="160">
        <f t="shared" si="0"/>
        <v>-156</v>
      </c>
      <c r="G22" s="161">
        <f t="shared" si="1"/>
        <v>0.9785890749382378</v>
      </c>
      <c r="H22" s="172">
        <v>5872</v>
      </c>
      <c r="I22" s="173">
        <v>0</v>
      </c>
      <c r="J22" s="174">
        <f t="shared" si="2"/>
        <v>5872</v>
      </c>
      <c r="K22" s="164">
        <f t="shared" si="3"/>
        <v>-1258</v>
      </c>
      <c r="L22" s="165">
        <f t="shared" si="4"/>
        <v>0.8235624123422159</v>
      </c>
    </row>
    <row r="23" spans="1:12" ht="14.25">
      <c r="A23" s="456" t="s">
        <v>81</v>
      </c>
      <c r="B23" s="456"/>
      <c r="C23" s="456"/>
      <c r="D23" s="143">
        <v>1619</v>
      </c>
      <c r="E23" s="140">
        <v>1022</v>
      </c>
      <c r="F23" s="160">
        <f t="shared" si="0"/>
        <v>-597</v>
      </c>
      <c r="G23" s="161">
        <f t="shared" si="1"/>
        <v>0.6312538604076591</v>
      </c>
      <c r="H23" s="141">
        <v>1022</v>
      </c>
      <c r="I23" s="142">
        <v>0</v>
      </c>
      <c r="J23" s="174">
        <f t="shared" si="2"/>
        <v>1022</v>
      </c>
      <c r="K23" s="164">
        <f t="shared" si="3"/>
        <v>0</v>
      </c>
      <c r="L23" s="165">
        <f t="shared" si="4"/>
        <v>1</v>
      </c>
    </row>
    <row r="24" spans="1:12" ht="14.25">
      <c r="A24" s="456" t="s">
        <v>82</v>
      </c>
      <c r="B24" s="456"/>
      <c r="C24" s="456"/>
      <c r="D24" s="143">
        <v>5627</v>
      </c>
      <c r="E24" s="140">
        <v>6100</v>
      </c>
      <c r="F24" s="160">
        <f t="shared" si="0"/>
        <v>473</v>
      </c>
      <c r="G24" s="161">
        <f t="shared" si="1"/>
        <v>1.0840590012440021</v>
      </c>
      <c r="H24" s="141">
        <v>4850</v>
      </c>
      <c r="I24" s="142">
        <v>0</v>
      </c>
      <c r="J24" s="174">
        <f t="shared" si="2"/>
        <v>4850</v>
      </c>
      <c r="K24" s="164">
        <f t="shared" si="3"/>
        <v>-1250</v>
      </c>
      <c r="L24" s="165">
        <f t="shared" si="4"/>
        <v>0.7950819672131147</v>
      </c>
    </row>
    <row r="25" spans="1:12" ht="14.25">
      <c r="A25" s="456" t="s">
        <v>83</v>
      </c>
      <c r="B25" s="456"/>
      <c r="C25" s="456"/>
      <c r="D25" s="143">
        <v>40</v>
      </c>
      <c r="E25" s="140">
        <v>8</v>
      </c>
      <c r="F25" s="160">
        <f t="shared" si="0"/>
        <v>-32</v>
      </c>
      <c r="G25" s="161">
        <f t="shared" si="1"/>
        <v>0.2</v>
      </c>
      <c r="H25" s="141">
        <v>0</v>
      </c>
      <c r="I25" s="142">
        <v>0</v>
      </c>
      <c r="J25" s="174">
        <f t="shared" si="2"/>
        <v>0</v>
      </c>
      <c r="K25" s="164">
        <f t="shared" si="3"/>
        <v>-8</v>
      </c>
      <c r="L25" s="165">
        <f t="shared" si="4"/>
        <v>0</v>
      </c>
    </row>
    <row r="26" spans="1:12" ht="15" thickBot="1">
      <c r="A26" s="494" t="s">
        <v>118</v>
      </c>
      <c r="B26" s="494"/>
      <c r="C26" s="494"/>
      <c r="D26" s="159">
        <v>0</v>
      </c>
      <c r="E26" s="148">
        <v>0</v>
      </c>
      <c r="F26" s="162">
        <f t="shared" si="0"/>
        <v>0</v>
      </c>
      <c r="G26" s="163"/>
      <c r="H26" s="145">
        <v>0</v>
      </c>
      <c r="I26" s="146">
        <v>0</v>
      </c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19642</v>
      </c>
      <c r="E27" s="180">
        <v>21622</v>
      </c>
      <c r="F27" s="181">
        <f t="shared" si="0"/>
        <v>1980</v>
      </c>
      <c r="G27" s="182">
        <f t="shared" si="1"/>
        <v>1.1008043987373994</v>
      </c>
      <c r="H27" s="183">
        <f>20505+200</f>
        <v>20705</v>
      </c>
      <c r="I27" s="184">
        <v>0</v>
      </c>
      <c r="J27" s="185">
        <f t="shared" si="2"/>
        <v>20705</v>
      </c>
      <c r="K27" s="183">
        <f t="shared" si="3"/>
        <v>-917</v>
      </c>
      <c r="L27" s="186">
        <f t="shared" si="4"/>
        <v>0.9575894921838868</v>
      </c>
    </row>
    <row r="28" spans="1:12" ht="14.25">
      <c r="A28" s="495" t="s">
        <v>85</v>
      </c>
      <c r="B28" s="495"/>
      <c r="C28" s="495"/>
      <c r="D28" s="187">
        <v>3171</v>
      </c>
      <c r="E28" s="188">
        <v>3807</v>
      </c>
      <c r="F28" s="189">
        <f t="shared" si="0"/>
        <v>636</v>
      </c>
      <c r="G28" s="190">
        <f t="shared" si="1"/>
        <v>1.2005676442762536</v>
      </c>
      <c r="H28" s="191">
        <v>3180</v>
      </c>
      <c r="I28" s="192">
        <v>0</v>
      </c>
      <c r="J28" s="193">
        <f t="shared" si="2"/>
        <v>3180</v>
      </c>
      <c r="K28" s="194">
        <f t="shared" si="3"/>
        <v>-627</v>
      </c>
      <c r="L28" s="195">
        <f t="shared" si="4"/>
        <v>0.8353033884948778</v>
      </c>
    </row>
    <row r="29" spans="1:12" ht="14.25">
      <c r="A29" s="441" t="s">
        <v>86</v>
      </c>
      <c r="B29" s="441"/>
      <c r="C29" s="441"/>
      <c r="D29" s="143">
        <v>1792</v>
      </c>
      <c r="E29" s="140">
        <v>1819</v>
      </c>
      <c r="F29" s="160">
        <f t="shared" si="0"/>
        <v>27</v>
      </c>
      <c r="G29" s="161">
        <f t="shared" si="1"/>
        <v>1.0150669642857142</v>
      </c>
      <c r="H29" s="141">
        <v>1950</v>
      </c>
      <c r="I29" s="142">
        <v>0</v>
      </c>
      <c r="J29" s="174">
        <f t="shared" si="2"/>
        <v>1950</v>
      </c>
      <c r="K29" s="164">
        <f t="shared" si="3"/>
        <v>131</v>
      </c>
      <c r="L29" s="165">
        <f t="shared" si="4"/>
        <v>1.0720175920835624</v>
      </c>
    </row>
    <row r="30" spans="1:12" ht="14.25">
      <c r="A30" s="441" t="s">
        <v>87</v>
      </c>
      <c r="B30" s="441"/>
      <c r="C30" s="441"/>
      <c r="D30" s="143">
        <v>81</v>
      </c>
      <c r="E30" s="140">
        <v>101</v>
      </c>
      <c r="F30" s="160">
        <f t="shared" si="0"/>
        <v>20</v>
      </c>
      <c r="G30" s="161">
        <f t="shared" si="1"/>
        <v>1.2469135802469136</v>
      </c>
      <c r="H30" s="141">
        <v>110</v>
      </c>
      <c r="I30" s="142">
        <v>0</v>
      </c>
      <c r="J30" s="174">
        <f t="shared" si="2"/>
        <v>110</v>
      </c>
      <c r="K30" s="164">
        <f t="shared" si="3"/>
        <v>9</v>
      </c>
      <c r="L30" s="165">
        <f t="shared" si="4"/>
        <v>1.0891089108910892</v>
      </c>
    </row>
    <row r="31" spans="1:12" ht="14.25">
      <c r="A31" s="441" t="s">
        <v>88</v>
      </c>
      <c r="B31" s="441"/>
      <c r="C31" s="441"/>
      <c r="D31" s="143">
        <v>518</v>
      </c>
      <c r="E31" s="140">
        <v>1090</v>
      </c>
      <c r="F31" s="160">
        <f t="shared" si="0"/>
        <v>572</v>
      </c>
      <c r="G31" s="161">
        <f t="shared" si="1"/>
        <v>2.1042471042471043</v>
      </c>
      <c r="H31" s="141">
        <v>400</v>
      </c>
      <c r="I31" s="142">
        <v>0</v>
      </c>
      <c r="J31" s="174">
        <f t="shared" si="2"/>
        <v>400</v>
      </c>
      <c r="K31" s="164">
        <f t="shared" si="3"/>
        <v>-690</v>
      </c>
      <c r="L31" s="165">
        <f t="shared" si="4"/>
        <v>0.3669724770642202</v>
      </c>
    </row>
    <row r="32" spans="1:12" ht="14.25">
      <c r="A32" s="441" t="s">
        <v>89</v>
      </c>
      <c r="B32" s="441"/>
      <c r="C32" s="441"/>
      <c r="D32" s="143">
        <v>780</v>
      </c>
      <c r="E32" s="140">
        <v>797</v>
      </c>
      <c r="F32" s="160">
        <f t="shared" si="0"/>
        <v>17</v>
      </c>
      <c r="G32" s="161">
        <f t="shared" si="1"/>
        <v>1.0217948717948717</v>
      </c>
      <c r="H32" s="141">
        <v>720</v>
      </c>
      <c r="I32" s="142">
        <v>0</v>
      </c>
      <c r="J32" s="174">
        <f t="shared" si="2"/>
        <v>720</v>
      </c>
      <c r="K32" s="164">
        <f t="shared" si="3"/>
        <v>-77</v>
      </c>
      <c r="L32" s="165">
        <f t="shared" si="4"/>
        <v>0.903387703889586</v>
      </c>
    </row>
    <row r="33" spans="1:12" ht="14.25">
      <c r="A33" s="441" t="s">
        <v>90</v>
      </c>
      <c r="B33" s="441"/>
      <c r="C33" s="441"/>
      <c r="D33" s="143">
        <v>0</v>
      </c>
      <c r="E33" s="140">
        <v>0</v>
      </c>
      <c r="F33" s="160">
        <f t="shared" si="0"/>
        <v>0</v>
      </c>
      <c r="G33" s="161"/>
      <c r="H33" s="141">
        <v>0</v>
      </c>
      <c r="I33" s="142">
        <v>0</v>
      </c>
      <c r="J33" s="174">
        <f t="shared" si="2"/>
        <v>0</v>
      </c>
      <c r="K33" s="164">
        <f t="shared" si="3"/>
        <v>0</v>
      </c>
      <c r="L33" s="165"/>
    </row>
    <row r="34" spans="1:12" ht="14.25">
      <c r="A34" s="441" t="s">
        <v>91</v>
      </c>
      <c r="B34" s="441"/>
      <c r="C34" s="441"/>
      <c r="D34" s="196">
        <v>1200</v>
      </c>
      <c r="E34" s="177">
        <v>964</v>
      </c>
      <c r="F34" s="197">
        <f t="shared" si="0"/>
        <v>-236</v>
      </c>
      <c r="G34" s="198">
        <f t="shared" si="1"/>
        <v>0.8033333333333333</v>
      </c>
      <c r="H34" s="172">
        <v>980</v>
      </c>
      <c r="I34" s="173">
        <v>0</v>
      </c>
      <c r="J34" s="174">
        <f t="shared" si="2"/>
        <v>980</v>
      </c>
      <c r="K34" s="199">
        <f t="shared" si="3"/>
        <v>16</v>
      </c>
      <c r="L34" s="200">
        <f t="shared" si="4"/>
        <v>1.016597510373444</v>
      </c>
    </row>
    <row r="35" spans="1:12" ht="14.25">
      <c r="A35" s="441" t="s">
        <v>92</v>
      </c>
      <c r="B35" s="441"/>
      <c r="C35" s="441"/>
      <c r="D35" s="143">
        <v>676</v>
      </c>
      <c r="E35" s="140">
        <v>460</v>
      </c>
      <c r="F35" s="160">
        <f t="shared" si="0"/>
        <v>-216</v>
      </c>
      <c r="G35" s="161">
        <f t="shared" si="1"/>
        <v>0.6804733727810651</v>
      </c>
      <c r="H35" s="141">
        <v>460</v>
      </c>
      <c r="I35" s="142">
        <v>0</v>
      </c>
      <c r="J35" s="174">
        <f t="shared" si="2"/>
        <v>460</v>
      </c>
      <c r="K35" s="164">
        <f t="shared" si="3"/>
        <v>0</v>
      </c>
      <c r="L35" s="165">
        <f t="shared" si="4"/>
        <v>1</v>
      </c>
    </row>
    <row r="36" spans="1:12" ht="14.25">
      <c r="A36" s="441" t="s">
        <v>93</v>
      </c>
      <c r="B36" s="441"/>
      <c r="C36" s="441"/>
      <c r="D36" s="143">
        <v>0</v>
      </c>
      <c r="E36" s="140">
        <v>0</v>
      </c>
      <c r="F36" s="160">
        <f t="shared" si="0"/>
        <v>0</v>
      </c>
      <c r="G36" s="161"/>
      <c r="H36" s="141">
        <v>0</v>
      </c>
      <c r="I36" s="142">
        <v>0</v>
      </c>
      <c r="J36" s="174">
        <f t="shared" si="2"/>
        <v>0</v>
      </c>
      <c r="K36" s="164">
        <f t="shared" si="3"/>
        <v>0</v>
      </c>
      <c r="L36" s="165"/>
    </row>
    <row r="37" spans="1:12" ht="14.25">
      <c r="A37" s="441" t="s">
        <v>94</v>
      </c>
      <c r="B37" s="441"/>
      <c r="C37" s="441"/>
      <c r="D37" s="143">
        <v>433</v>
      </c>
      <c r="E37" s="140">
        <v>414</v>
      </c>
      <c r="F37" s="160">
        <f t="shared" si="0"/>
        <v>-19</v>
      </c>
      <c r="G37" s="161">
        <f t="shared" si="1"/>
        <v>0.9561200923787528</v>
      </c>
      <c r="H37" s="141">
        <v>420</v>
      </c>
      <c r="I37" s="142">
        <v>0</v>
      </c>
      <c r="J37" s="174">
        <f t="shared" si="2"/>
        <v>420</v>
      </c>
      <c r="K37" s="164">
        <f t="shared" si="3"/>
        <v>6</v>
      </c>
      <c r="L37" s="165">
        <f t="shared" si="4"/>
        <v>1.0144927536231885</v>
      </c>
    </row>
    <row r="38" spans="1:12" ht="14.25">
      <c r="A38" s="441" t="s">
        <v>95</v>
      </c>
      <c r="B38" s="441"/>
      <c r="C38" s="441"/>
      <c r="D38" s="143">
        <v>0</v>
      </c>
      <c r="E38" s="140">
        <v>0</v>
      </c>
      <c r="F38" s="160">
        <f t="shared" si="0"/>
        <v>0</v>
      </c>
      <c r="G38" s="161"/>
      <c r="H38" s="141">
        <v>0</v>
      </c>
      <c r="I38" s="142">
        <v>0</v>
      </c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91</v>
      </c>
      <c r="E39" s="140">
        <v>90</v>
      </c>
      <c r="F39" s="160">
        <f t="shared" si="0"/>
        <v>-1</v>
      </c>
      <c r="G39" s="161">
        <f t="shared" si="1"/>
        <v>0.989010989010989</v>
      </c>
      <c r="H39" s="141">
        <v>100</v>
      </c>
      <c r="I39" s="142">
        <v>0</v>
      </c>
      <c r="J39" s="174">
        <f t="shared" si="2"/>
        <v>100</v>
      </c>
      <c r="K39" s="164">
        <f t="shared" si="3"/>
        <v>10</v>
      </c>
      <c r="L39" s="165">
        <f t="shared" si="4"/>
        <v>1.1111111111111112</v>
      </c>
    </row>
    <row r="40" spans="1:12" ht="14.25">
      <c r="A40" s="441" t="s">
        <v>97</v>
      </c>
      <c r="B40" s="441"/>
      <c r="C40" s="441"/>
      <c r="D40" s="143">
        <v>0</v>
      </c>
      <c r="E40" s="140">
        <v>0</v>
      </c>
      <c r="F40" s="160">
        <f t="shared" si="0"/>
        <v>0</v>
      </c>
      <c r="G40" s="161"/>
      <c r="H40" s="141">
        <v>0</v>
      </c>
      <c r="I40" s="142">
        <v>0</v>
      </c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869</v>
      </c>
      <c r="E41" s="140">
        <v>1124</v>
      </c>
      <c r="F41" s="160">
        <f t="shared" si="0"/>
        <v>255</v>
      </c>
      <c r="G41" s="161">
        <f t="shared" si="1"/>
        <v>1.2934407364787113</v>
      </c>
      <c r="H41" s="141">
        <f>720+200</f>
        <v>920</v>
      </c>
      <c r="I41" s="142">
        <v>0</v>
      </c>
      <c r="J41" s="174">
        <f t="shared" si="2"/>
        <v>920</v>
      </c>
      <c r="K41" s="164">
        <f t="shared" si="3"/>
        <v>-204</v>
      </c>
      <c r="L41" s="165">
        <f t="shared" si="4"/>
        <v>0.8185053380782918</v>
      </c>
    </row>
    <row r="42" spans="1:12" ht="14.25">
      <c r="A42" s="441" t="s">
        <v>99</v>
      </c>
      <c r="B42" s="441"/>
      <c r="C42" s="441"/>
      <c r="D42" s="143">
        <v>185</v>
      </c>
      <c r="E42" s="140">
        <v>149</v>
      </c>
      <c r="F42" s="160">
        <f t="shared" si="0"/>
        <v>-36</v>
      </c>
      <c r="G42" s="161">
        <f t="shared" si="1"/>
        <v>0.8054054054054054</v>
      </c>
      <c r="H42" s="141">
        <v>160</v>
      </c>
      <c r="I42" s="142">
        <v>0</v>
      </c>
      <c r="J42" s="174">
        <f t="shared" si="2"/>
        <v>160</v>
      </c>
      <c r="K42" s="164">
        <f t="shared" si="3"/>
        <v>11</v>
      </c>
      <c r="L42" s="165">
        <f t="shared" si="4"/>
        <v>1.0738255033557047</v>
      </c>
    </row>
    <row r="43" spans="1:12" ht="14.25">
      <c r="A43" s="441" t="s">
        <v>100</v>
      </c>
      <c r="B43" s="441"/>
      <c r="C43" s="441"/>
      <c r="D43" s="143">
        <v>41</v>
      </c>
      <c r="E43" s="140">
        <v>22</v>
      </c>
      <c r="F43" s="160">
        <f t="shared" si="0"/>
        <v>-19</v>
      </c>
      <c r="G43" s="161">
        <f t="shared" si="1"/>
        <v>0.5365853658536586</v>
      </c>
      <c r="H43" s="141">
        <v>30</v>
      </c>
      <c r="I43" s="142">
        <v>0</v>
      </c>
      <c r="J43" s="174">
        <f t="shared" si="2"/>
        <v>30</v>
      </c>
      <c r="K43" s="164">
        <f t="shared" si="3"/>
        <v>8</v>
      </c>
      <c r="L43" s="165">
        <f t="shared" si="4"/>
        <v>1.3636363636363635</v>
      </c>
    </row>
    <row r="44" spans="1:12" ht="14.25">
      <c r="A44" s="441" t="s">
        <v>101</v>
      </c>
      <c r="B44" s="441"/>
      <c r="C44" s="441"/>
      <c r="D44" s="143">
        <v>1058</v>
      </c>
      <c r="E44" s="140">
        <v>1016</v>
      </c>
      <c r="F44" s="160">
        <f t="shared" si="0"/>
        <v>-42</v>
      </c>
      <c r="G44" s="161">
        <f t="shared" si="1"/>
        <v>0.9603024574669187</v>
      </c>
      <c r="H44" s="141">
        <v>995</v>
      </c>
      <c r="I44" s="142">
        <v>0</v>
      </c>
      <c r="J44" s="174">
        <f t="shared" si="2"/>
        <v>995</v>
      </c>
      <c r="K44" s="164">
        <f t="shared" si="3"/>
        <v>-21</v>
      </c>
      <c r="L44" s="165">
        <f t="shared" si="4"/>
        <v>0.9793307086614174</v>
      </c>
    </row>
    <row r="45" spans="1:15" ht="14.25">
      <c r="A45" s="441" t="s">
        <v>102</v>
      </c>
      <c r="B45" s="441"/>
      <c r="C45" s="441"/>
      <c r="D45" s="143">
        <v>83</v>
      </c>
      <c r="E45" s="140">
        <v>74</v>
      </c>
      <c r="F45" s="160">
        <f t="shared" si="0"/>
        <v>-9</v>
      </c>
      <c r="G45" s="161">
        <f t="shared" si="1"/>
        <v>0.891566265060241</v>
      </c>
      <c r="H45" s="141">
        <v>80</v>
      </c>
      <c r="I45" s="142">
        <v>0</v>
      </c>
      <c r="J45" s="174">
        <f t="shared" si="2"/>
        <v>80</v>
      </c>
      <c r="K45" s="164">
        <f t="shared" si="3"/>
        <v>6</v>
      </c>
      <c r="L45" s="165">
        <f t="shared" si="4"/>
        <v>1.0810810810810811</v>
      </c>
      <c r="O45" s="147"/>
    </row>
    <row r="46" spans="1:12" ht="14.25">
      <c r="A46" s="441" t="s">
        <v>103</v>
      </c>
      <c r="B46" s="441"/>
      <c r="C46" s="441"/>
      <c r="D46" s="143">
        <v>0</v>
      </c>
      <c r="E46" s="140">
        <v>0</v>
      </c>
      <c r="F46" s="160">
        <f t="shared" si="0"/>
        <v>0</v>
      </c>
      <c r="G46" s="161"/>
      <c r="H46" s="141">
        <v>0</v>
      </c>
      <c r="I46" s="142">
        <v>0</v>
      </c>
      <c r="J46" s="174">
        <f t="shared" si="2"/>
        <v>0</v>
      </c>
      <c r="K46" s="164">
        <f t="shared" si="3"/>
        <v>0</v>
      </c>
      <c r="L46" s="165"/>
    </row>
    <row r="47" spans="1:12" ht="14.25">
      <c r="A47" s="441" t="s">
        <v>104</v>
      </c>
      <c r="B47" s="441"/>
      <c r="C47" s="441"/>
      <c r="D47" s="143">
        <v>975</v>
      </c>
      <c r="E47" s="140">
        <v>942</v>
      </c>
      <c r="F47" s="160">
        <f t="shared" si="0"/>
        <v>-33</v>
      </c>
      <c r="G47" s="161">
        <f t="shared" si="1"/>
        <v>0.9661538461538461</v>
      </c>
      <c r="H47" s="141">
        <v>915</v>
      </c>
      <c r="I47" s="142">
        <v>0</v>
      </c>
      <c r="J47" s="174">
        <f t="shared" si="2"/>
        <v>915</v>
      </c>
      <c r="K47" s="164">
        <f t="shared" si="3"/>
        <v>-27</v>
      </c>
      <c r="L47" s="165">
        <f t="shared" si="4"/>
        <v>0.9713375796178344</v>
      </c>
    </row>
    <row r="48" spans="1:12" ht="14.25">
      <c r="A48" s="441" t="s">
        <v>105</v>
      </c>
      <c r="B48" s="441"/>
      <c r="C48" s="441"/>
      <c r="D48" s="196">
        <v>12324</v>
      </c>
      <c r="E48" s="177">
        <v>13718</v>
      </c>
      <c r="F48" s="197">
        <f t="shared" si="0"/>
        <v>1394</v>
      </c>
      <c r="G48" s="198">
        <f t="shared" si="1"/>
        <v>1.1131126257708537</v>
      </c>
      <c r="H48" s="172">
        <f>13617+245</f>
        <v>13862</v>
      </c>
      <c r="I48" s="173">
        <v>0</v>
      </c>
      <c r="J48" s="174">
        <f t="shared" si="2"/>
        <v>13862</v>
      </c>
      <c r="K48" s="199">
        <f t="shared" si="3"/>
        <v>144</v>
      </c>
      <c r="L48" s="200">
        <f t="shared" si="4"/>
        <v>1.0104971570199737</v>
      </c>
    </row>
    <row r="49" spans="1:12" ht="14.25">
      <c r="A49" s="441" t="s">
        <v>106</v>
      </c>
      <c r="B49" s="441"/>
      <c r="C49" s="441"/>
      <c r="D49" s="143">
        <v>9191</v>
      </c>
      <c r="E49" s="140">
        <v>10077</v>
      </c>
      <c r="F49" s="160">
        <f t="shared" si="0"/>
        <v>886</v>
      </c>
      <c r="G49" s="161">
        <f t="shared" si="1"/>
        <v>1.0963986508540964</v>
      </c>
      <c r="H49" s="141">
        <f>10077+180</f>
        <v>10257</v>
      </c>
      <c r="I49" s="142">
        <v>0</v>
      </c>
      <c r="J49" s="174">
        <f t="shared" si="2"/>
        <v>10257</v>
      </c>
      <c r="K49" s="164">
        <f t="shared" si="3"/>
        <v>180</v>
      </c>
      <c r="L49" s="165">
        <f t="shared" si="4"/>
        <v>1.017862459065198</v>
      </c>
    </row>
    <row r="50" spans="1:12" ht="14.25">
      <c r="A50" s="441" t="s">
        <v>107</v>
      </c>
      <c r="B50" s="441"/>
      <c r="C50" s="441"/>
      <c r="D50" s="143">
        <v>9142</v>
      </c>
      <c r="E50" s="140">
        <v>10030</v>
      </c>
      <c r="F50" s="160">
        <f t="shared" si="0"/>
        <v>888</v>
      </c>
      <c r="G50" s="161">
        <f t="shared" si="1"/>
        <v>1.0971341063224678</v>
      </c>
      <c r="H50" s="141">
        <f>10025+180</f>
        <v>10205</v>
      </c>
      <c r="I50" s="142">
        <v>0</v>
      </c>
      <c r="J50" s="174">
        <f t="shared" si="2"/>
        <v>10205</v>
      </c>
      <c r="K50" s="164">
        <f t="shared" si="3"/>
        <v>175</v>
      </c>
      <c r="L50" s="165">
        <f t="shared" si="4"/>
        <v>1.0174476570289133</v>
      </c>
    </row>
    <row r="51" spans="1:12" ht="14.25">
      <c r="A51" s="441" t="s">
        <v>108</v>
      </c>
      <c r="B51" s="441"/>
      <c r="C51" s="441"/>
      <c r="D51" s="143">
        <v>49</v>
      </c>
      <c r="E51" s="140">
        <v>47</v>
      </c>
      <c r="F51" s="160">
        <f t="shared" si="0"/>
        <v>-2</v>
      </c>
      <c r="G51" s="161">
        <f t="shared" si="1"/>
        <v>0.9591836734693877</v>
      </c>
      <c r="H51" s="141">
        <v>50</v>
      </c>
      <c r="I51" s="142">
        <v>0</v>
      </c>
      <c r="J51" s="174">
        <f t="shared" si="2"/>
        <v>50</v>
      </c>
      <c r="K51" s="164">
        <f t="shared" si="3"/>
        <v>3</v>
      </c>
      <c r="L51" s="165">
        <f t="shared" si="4"/>
        <v>1.0638297872340425</v>
      </c>
    </row>
    <row r="52" spans="1:12" ht="14.25">
      <c r="A52" s="441" t="s">
        <v>109</v>
      </c>
      <c r="B52" s="441"/>
      <c r="C52" s="441"/>
      <c r="D52" s="143">
        <v>3133</v>
      </c>
      <c r="E52" s="140">
        <v>3641</v>
      </c>
      <c r="F52" s="160">
        <f t="shared" si="0"/>
        <v>508</v>
      </c>
      <c r="G52" s="161">
        <f t="shared" si="1"/>
        <v>1.162144909032876</v>
      </c>
      <c r="H52" s="141">
        <f>3540+65</f>
        <v>3605</v>
      </c>
      <c r="I52" s="142">
        <v>0</v>
      </c>
      <c r="J52" s="174">
        <f t="shared" si="2"/>
        <v>3605</v>
      </c>
      <c r="K52" s="164">
        <f t="shared" si="3"/>
        <v>-36</v>
      </c>
      <c r="L52" s="165">
        <f t="shared" si="4"/>
        <v>0.9901126064268059</v>
      </c>
    </row>
    <row r="53" spans="1:12" ht="14.25">
      <c r="A53" s="441" t="s">
        <v>110</v>
      </c>
      <c r="B53" s="441"/>
      <c r="C53" s="441"/>
      <c r="D53" s="143">
        <v>0</v>
      </c>
      <c r="E53" s="140">
        <v>0</v>
      </c>
      <c r="F53" s="160">
        <f t="shared" si="0"/>
        <v>0</v>
      </c>
      <c r="G53" s="161"/>
      <c r="H53" s="141">
        <v>0</v>
      </c>
      <c r="I53" s="142">
        <v>0</v>
      </c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>
        <v>0</v>
      </c>
      <c r="E54" s="140">
        <v>5</v>
      </c>
      <c r="F54" s="160">
        <f t="shared" si="0"/>
        <v>5</v>
      </c>
      <c r="G54" s="161"/>
      <c r="H54" s="141">
        <v>5</v>
      </c>
      <c r="I54" s="142">
        <v>0</v>
      </c>
      <c r="J54" s="174">
        <f t="shared" si="2"/>
        <v>5</v>
      </c>
      <c r="K54" s="164">
        <f t="shared" si="3"/>
        <v>0</v>
      </c>
      <c r="L54" s="165">
        <f t="shared" si="4"/>
        <v>1</v>
      </c>
    </row>
    <row r="55" spans="1:12" ht="14.25">
      <c r="A55" s="441" t="s">
        <v>112</v>
      </c>
      <c r="B55" s="441"/>
      <c r="C55" s="441"/>
      <c r="D55" s="143">
        <v>170</v>
      </c>
      <c r="E55" s="140">
        <v>167</v>
      </c>
      <c r="F55" s="160">
        <f t="shared" si="0"/>
        <v>-3</v>
      </c>
      <c r="G55" s="161">
        <f t="shared" si="1"/>
        <v>0.9823529411764705</v>
      </c>
      <c r="H55" s="141">
        <v>170</v>
      </c>
      <c r="I55" s="142">
        <v>0</v>
      </c>
      <c r="J55" s="174">
        <f t="shared" si="2"/>
        <v>170</v>
      </c>
      <c r="K55" s="164">
        <f t="shared" si="3"/>
        <v>3</v>
      </c>
      <c r="L55" s="165">
        <f t="shared" si="4"/>
        <v>1.0179640718562875</v>
      </c>
    </row>
    <row r="56" spans="1:12" ht="14.25">
      <c r="A56" s="441" t="s">
        <v>113</v>
      </c>
      <c r="B56" s="441"/>
      <c r="C56" s="441"/>
      <c r="D56" s="143">
        <v>0</v>
      </c>
      <c r="E56" s="140">
        <v>0</v>
      </c>
      <c r="F56" s="160">
        <f t="shared" si="0"/>
        <v>0</v>
      </c>
      <c r="G56" s="161"/>
      <c r="H56" s="141">
        <v>0</v>
      </c>
      <c r="I56" s="142">
        <v>0</v>
      </c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608</v>
      </c>
      <c r="E57" s="140">
        <v>615</v>
      </c>
      <c r="F57" s="160">
        <f t="shared" si="0"/>
        <v>7</v>
      </c>
      <c r="G57" s="161">
        <f t="shared" si="1"/>
        <v>1.011513157894737</v>
      </c>
      <c r="H57" s="141">
        <v>648</v>
      </c>
      <c r="I57" s="142">
        <v>0</v>
      </c>
      <c r="J57" s="174">
        <f t="shared" si="2"/>
        <v>648</v>
      </c>
      <c r="K57" s="164">
        <f t="shared" si="3"/>
        <v>33</v>
      </c>
      <c r="L57" s="165">
        <f t="shared" si="4"/>
        <v>1.053658536585366</v>
      </c>
    </row>
    <row r="58" spans="1:12" ht="14.25">
      <c r="A58" s="441" t="s">
        <v>115</v>
      </c>
      <c r="B58" s="441"/>
      <c r="C58" s="441"/>
      <c r="D58" s="143">
        <v>0</v>
      </c>
      <c r="E58" s="140">
        <v>0</v>
      </c>
      <c r="F58" s="160">
        <f t="shared" si="0"/>
        <v>0</v>
      </c>
      <c r="G58" s="161"/>
      <c r="H58" s="141">
        <v>0</v>
      </c>
      <c r="I58" s="142">
        <v>0</v>
      </c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>
        <v>0</v>
      </c>
      <c r="E59" s="148">
        <v>0</v>
      </c>
      <c r="F59" s="162">
        <f t="shared" si="0"/>
        <v>0</v>
      </c>
      <c r="G59" s="163"/>
      <c r="H59" s="145">
        <v>0</v>
      </c>
      <c r="I59" s="146">
        <v>0</v>
      </c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19626</v>
      </c>
      <c r="E60" s="180">
        <v>21587</v>
      </c>
      <c r="F60" s="181">
        <f t="shared" si="0"/>
        <v>1961</v>
      </c>
      <c r="G60" s="182">
        <f t="shared" si="1"/>
        <v>1.0999184754916946</v>
      </c>
      <c r="H60" s="183">
        <f>20505+200+245</f>
        <v>20950</v>
      </c>
      <c r="I60" s="184">
        <v>0</v>
      </c>
      <c r="J60" s="185">
        <f t="shared" si="2"/>
        <v>20950</v>
      </c>
      <c r="K60" s="183">
        <f t="shared" si="3"/>
        <v>-637</v>
      </c>
      <c r="L60" s="186">
        <f t="shared" si="4"/>
        <v>0.9704914995135961</v>
      </c>
    </row>
    <row r="61" spans="1:14" s="6" customFormat="1" ht="15">
      <c r="A61" s="447" t="s">
        <v>17</v>
      </c>
      <c r="B61" s="447"/>
      <c r="C61" s="447"/>
      <c r="D61" s="96">
        <v>16</v>
      </c>
      <c r="E61" s="96">
        <v>35</v>
      </c>
      <c r="F61" s="96"/>
      <c r="G61" s="96"/>
      <c r="H61" s="96">
        <f>H27-H60</f>
        <v>-245</v>
      </c>
      <c r="I61" s="96">
        <v>0</v>
      </c>
      <c r="J61" s="96">
        <f t="shared" si="2"/>
        <v>-245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>
        <v>0</v>
      </c>
      <c r="E62" s="97">
        <v>0</v>
      </c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286</v>
      </c>
      <c r="B67" s="382"/>
      <c r="C67" s="13">
        <v>400</v>
      </c>
      <c r="D67" s="14"/>
      <c r="E67" s="382" t="s">
        <v>289</v>
      </c>
      <c r="F67" s="382"/>
      <c r="G67" s="382"/>
      <c r="H67" s="382"/>
      <c r="I67" s="15">
        <v>350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287</v>
      </c>
      <c r="B68" s="382"/>
      <c r="C68" s="13">
        <v>100</v>
      </c>
      <c r="D68" s="14"/>
      <c r="E68" s="380" t="s">
        <v>290</v>
      </c>
      <c r="F68" s="380"/>
      <c r="G68" s="380"/>
      <c r="H68" s="380"/>
      <c r="I68" s="16">
        <v>120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288</v>
      </c>
      <c r="B69" s="382"/>
      <c r="C69" s="13">
        <v>100</v>
      </c>
      <c r="D69" s="14"/>
      <c r="E69" s="380" t="s">
        <v>291</v>
      </c>
      <c r="F69" s="380"/>
      <c r="G69" s="380"/>
      <c r="H69" s="380"/>
      <c r="I69" s="16">
        <v>200</v>
      </c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292</v>
      </c>
      <c r="B70" s="382"/>
      <c r="C70" s="13">
        <v>200</v>
      </c>
      <c r="D70" s="14"/>
      <c r="E70" s="380" t="s">
        <v>328</v>
      </c>
      <c r="F70" s="380"/>
      <c r="G70" s="380"/>
      <c r="H70" s="380"/>
      <c r="I70" s="16">
        <v>50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 t="s">
        <v>292</v>
      </c>
      <c r="F71" s="380"/>
      <c r="G71" s="380"/>
      <c r="H71" s="380"/>
      <c r="I71" s="28">
        <v>200</v>
      </c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800</v>
      </c>
      <c r="D75" s="36"/>
      <c r="E75" s="404" t="s">
        <v>12</v>
      </c>
      <c r="F75" s="404"/>
      <c r="G75" s="404"/>
      <c r="H75" s="404"/>
      <c r="I75" s="37">
        <f>SUM(I67:I74)</f>
        <v>920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8367</v>
      </c>
      <c r="B81" s="46">
        <v>3367</v>
      </c>
      <c r="C81" s="47">
        <v>648</v>
      </c>
      <c r="D81" s="48">
        <v>205</v>
      </c>
      <c r="E81" s="48">
        <v>216</v>
      </c>
      <c r="F81" s="48">
        <v>32</v>
      </c>
      <c r="G81" s="48">
        <v>195</v>
      </c>
      <c r="H81" s="49">
        <v>0</v>
      </c>
      <c r="I81" s="50"/>
      <c r="J81" s="51">
        <v>4352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1128</v>
      </c>
      <c r="C86" s="61" t="s">
        <v>38</v>
      </c>
      <c r="D86" s="62" t="s">
        <v>38</v>
      </c>
      <c r="E86" s="62" t="s">
        <v>38</v>
      </c>
      <c r="F86" s="63"/>
      <c r="G86" s="64">
        <v>1326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21</v>
      </c>
      <c r="C87" s="71">
        <v>21</v>
      </c>
      <c r="D87" s="72">
        <v>0</v>
      </c>
      <c r="E87" s="72">
        <v>15</v>
      </c>
      <c r="F87" s="73">
        <f>C87+D87-E87</f>
        <v>6</v>
      </c>
      <c r="G87" s="74">
        <v>6</v>
      </c>
      <c r="H87" s="75">
        <f>+G87-F87</f>
        <v>0</v>
      </c>
      <c r="I87" s="71">
        <v>6</v>
      </c>
      <c r="J87" s="72">
        <v>0</v>
      </c>
      <c r="K87" s="72">
        <v>6</v>
      </c>
      <c r="L87" s="73">
        <f>I87+J87-K87</f>
        <v>0</v>
      </c>
      <c r="M87" s="76"/>
    </row>
    <row r="88" spans="1:13" s="10" customFormat="1" ht="15">
      <c r="A88" s="69" t="s">
        <v>40</v>
      </c>
      <c r="B88" s="70">
        <f>62+16</f>
        <v>78</v>
      </c>
      <c r="C88" s="71">
        <f>62+16</f>
        <v>78</v>
      </c>
      <c r="D88" s="72">
        <f>16+96</f>
        <v>112</v>
      </c>
      <c r="E88" s="72">
        <f>75</f>
        <v>75</v>
      </c>
      <c r="F88" s="73">
        <f>C88+D88-E88</f>
        <v>115</v>
      </c>
      <c r="G88" s="74">
        <f>78+37</f>
        <v>115</v>
      </c>
      <c r="H88" s="75">
        <f>+G88-F88</f>
        <v>0</v>
      </c>
      <c r="I88" s="71">
        <v>115</v>
      </c>
      <c r="J88" s="72">
        <v>35</v>
      </c>
      <c r="K88" s="72">
        <f>12+38</f>
        <v>50</v>
      </c>
      <c r="L88" s="73">
        <f>I88+J88-K88</f>
        <v>100</v>
      </c>
      <c r="M88" s="76"/>
    </row>
    <row r="89" spans="1:13" s="10" customFormat="1" ht="15">
      <c r="A89" s="69" t="s">
        <v>44</v>
      </c>
      <c r="B89" s="70">
        <v>239</v>
      </c>
      <c r="C89" s="71">
        <v>239</v>
      </c>
      <c r="D89" s="72">
        <v>615</v>
      </c>
      <c r="E89" s="72">
        <v>647</v>
      </c>
      <c r="F89" s="73">
        <f>C89+D89-E89</f>
        <v>207</v>
      </c>
      <c r="G89" s="74">
        <v>207</v>
      </c>
      <c r="H89" s="75">
        <f>+G89-F89</f>
        <v>0</v>
      </c>
      <c r="I89" s="77">
        <v>207</v>
      </c>
      <c r="J89" s="78">
        <v>648</v>
      </c>
      <c r="K89" s="78">
        <v>800</v>
      </c>
      <c r="L89" s="73">
        <f>I89+J89-K89</f>
        <v>55</v>
      </c>
      <c r="M89" s="76"/>
    </row>
    <row r="90" spans="1:13" s="10" customFormat="1" ht="15">
      <c r="A90" s="69" t="s">
        <v>41</v>
      </c>
      <c r="B90" s="70">
        <v>790</v>
      </c>
      <c r="C90" s="79" t="s">
        <v>38</v>
      </c>
      <c r="D90" s="62" t="s">
        <v>38</v>
      </c>
      <c r="E90" s="80" t="s">
        <v>38</v>
      </c>
      <c r="F90" s="73"/>
      <c r="G90" s="74">
        <v>998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84</v>
      </c>
      <c r="C91" s="84">
        <v>85</v>
      </c>
      <c r="D91" s="85">
        <v>200</v>
      </c>
      <c r="E91" s="85">
        <v>202</v>
      </c>
      <c r="F91" s="73">
        <f>C91+D91-E91</f>
        <v>83</v>
      </c>
      <c r="G91" s="109">
        <v>79</v>
      </c>
      <c r="H91" s="110">
        <f>+G91-F91</f>
        <v>-4</v>
      </c>
      <c r="I91" s="111">
        <v>83</v>
      </c>
      <c r="J91" s="112">
        <v>100</v>
      </c>
      <c r="K91" s="112">
        <v>180</v>
      </c>
      <c r="L91" s="73">
        <f>I91+J91-K91</f>
        <v>3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45</v>
      </c>
      <c r="C97" s="91">
        <v>45.5</v>
      </c>
      <c r="D97" s="149"/>
      <c r="E97" s="89">
        <v>2010</v>
      </c>
      <c r="F97" s="418">
        <v>69</v>
      </c>
      <c r="G97" s="418"/>
      <c r="I97" s="89">
        <v>2010</v>
      </c>
      <c r="J97" s="90">
        <v>10077</v>
      </c>
      <c r="K97" s="91">
        <v>10077</v>
      </c>
    </row>
    <row r="98" spans="1:11" s="6" customFormat="1" ht="15.75" thickBot="1">
      <c r="A98" s="92">
        <v>2011</v>
      </c>
      <c r="B98" s="93">
        <v>46</v>
      </c>
      <c r="C98" s="108" t="s">
        <v>62</v>
      </c>
      <c r="D98" s="149"/>
      <c r="E98" s="92">
        <v>2011</v>
      </c>
      <c r="F98" s="419">
        <v>69</v>
      </c>
      <c r="G98" s="419"/>
      <c r="I98" s="92">
        <v>2011</v>
      </c>
      <c r="J98" s="93">
        <v>10385</v>
      </c>
      <c r="K98" s="108" t="s">
        <v>62</v>
      </c>
    </row>
  </sheetData>
  <mergeCells count="104">
    <mergeCell ref="A72:B72"/>
    <mergeCell ref="I65:I66"/>
    <mergeCell ref="A67:B67"/>
    <mergeCell ref="E67:H67"/>
    <mergeCell ref="A70:B70"/>
    <mergeCell ref="A71:B71"/>
    <mergeCell ref="E69:H69"/>
    <mergeCell ref="E70:H70"/>
    <mergeCell ref="A95:C95"/>
    <mergeCell ref="E95:G95"/>
    <mergeCell ref="I95:K95"/>
    <mergeCell ref="F96:G96"/>
    <mergeCell ref="E75:H75"/>
    <mergeCell ref="A68:B68"/>
    <mergeCell ref="A69:B69"/>
    <mergeCell ref="H4:J4"/>
    <mergeCell ref="A7:C7"/>
    <mergeCell ref="A62:C62"/>
    <mergeCell ref="A4:C6"/>
    <mergeCell ref="D4:D6"/>
    <mergeCell ref="E4:E6"/>
    <mergeCell ref="F4:G4"/>
    <mergeCell ref="J78:J80"/>
    <mergeCell ref="C84:F84"/>
    <mergeCell ref="G84:G85"/>
    <mergeCell ref="A84:A85"/>
    <mergeCell ref="B84:B85"/>
    <mergeCell ref="A78:A80"/>
    <mergeCell ref="B78:B80"/>
    <mergeCell ref="C78:I78"/>
    <mergeCell ref="C79:C80"/>
    <mergeCell ref="D79:I79"/>
    <mergeCell ref="A3:G3"/>
    <mergeCell ref="A2:N2"/>
    <mergeCell ref="K4:L4"/>
    <mergeCell ref="A56:C56"/>
    <mergeCell ref="A52:C52"/>
    <mergeCell ref="A53:C53"/>
    <mergeCell ref="A54:C54"/>
    <mergeCell ref="A55:C55"/>
    <mergeCell ref="A48:C48"/>
    <mergeCell ref="A49:C49"/>
    <mergeCell ref="A57:C57"/>
    <mergeCell ref="A65:B66"/>
    <mergeCell ref="C65:C66"/>
    <mergeCell ref="E65:H66"/>
    <mergeCell ref="A58:C58"/>
    <mergeCell ref="A59:C59"/>
    <mergeCell ref="F97:G97"/>
    <mergeCell ref="F98:G98"/>
    <mergeCell ref="H84:H85"/>
    <mergeCell ref="I84:L84"/>
    <mergeCell ref="A75:B75"/>
    <mergeCell ref="A60:C60"/>
    <mergeCell ref="A61:C61"/>
    <mergeCell ref="E71:H71"/>
    <mergeCell ref="E72:H72"/>
    <mergeCell ref="E73:H73"/>
    <mergeCell ref="E74:H74"/>
    <mergeCell ref="A73:B73"/>
    <mergeCell ref="A74:B74"/>
    <mergeCell ref="E68:H68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4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J99" sqref="J99"/>
    </sheetView>
  </sheetViews>
  <sheetFormatPr defaultColWidth="9.00390625" defaultRowHeight="12.75"/>
  <cols>
    <col min="1" max="1" width="24.00390625" style="6" customWidth="1"/>
    <col min="2" max="2" width="21.75390625" style="6" customWidth="1"/>
    <col min="3" max="3" width="13.375" style="6" customWidth="1"/>
    <col min="4" max="4" width="13.375" style="114" customWidth="1"/>
    <col min="5" max="5" width="13.375" style="150" customWidth="1"/>
    <col min="6" max="12" width="13.375" style="6" customWidth="1"/>
    <col min="13" max="13" width="9.75390625" style="6" customWidth="1"/>
    <col min="14" max="14" width="10.25390625" style="6" customWidth="1"/>
    <col min="15" max="15" width="10.75390625" style="6" customWidth="1"/>
    <col min="16" max="16384" width="9.125" style="6" customWidth="1"/>
  </cols>
  <sheetData>
    <row r="2" spans="1:14" ht="15">
      <c r="A2" s="407" t="s">
        <v>123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212"/>
      <c r="N4" s="212"/>
      <c r="O4" s="212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213"/>
      <c r="N5" s="213"/>
      <c r="O5" s="213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213"/>
      <c r="N6" s="213"/>
      <c r="O6" s="213"/>
    </row>
    <row r="7" spans="1:12" ht="14.25">
      <c r="A7" s="397" t="s">
        <v>65</v>
      </c>
      <c r="B7" s="397"/>
      <c r="C7" s="397"/>
      <c r="D7" s="214">
        <v>34207</v>
      </c>
      <c r="E7" s="215">
        <v>40262</v>
      </c>
      <c r="F7" s="216">
        <f>E7-D7</f>
        <v>6055</v>
      </c>
      <c r="G7" s="217">
        <f>E7/D7</f>
        <v>1.1770105533955038</v>
      </c>
      <c r="H7" s="218">
        <f>SUM(H8:H13)</f>
        <v>36111</v>
      </c>
      <c r="I7" s="72">
        <v>1131</v>
      </c>
      <c r="J7" s="219">
        <f>H7+I7</f>
        <v>37242</v>
      </c>
      <c r="K7" s="220">
        <f>J7-E7</f>
        <v>-3020</v>
      </c>
      <c r="L7" s="221">
        <f>J7/E7</f>
        <v>0.924991306939546</v>
      </c>
    </row>
    <row r="8" spans="1:12" ht="14.25">
      <c r="A8" s="389" t="s">
        <v>66</v>
      </c>
      <c r="B8" s="389"/>
      <c r="C8" s="389"/>
      <c r="D8" s="77">
        <v>8590</v>
      </c>
      <c r="E8" s="222">
        <v>10001</v>
      </c>
      <c r="F8" s="223">
        <f aca="true" t="shared" si="0" ref="F8:F60">E8-D8</f>
        <v>1411</v>
      </c>
      <c r="G8" s="224">
        <f aca="true" t="shared" si="1" ref="G8:G60">E8/D8</f>
        <v>1.1642607683352735</v>
      </c>
      <c r="H8" s="218">
        <v>10325</v>
      </c>
      <c r="I8" s="72"/>
      <c r="J8" s="219">
        <v>10325</v>
      </c>
      <c r="K8" s="225">
        <f aca="true" t="shared" si="2" ref="K8:K60">J8-E8</f>
        <v>324</v>
      </c>
      <c r="L8" s="226">
        <f aca="true" t="shared" si="3" ref="L8:L60">J8/E8</f>
        <v>1.0323967603239677</v>
      </c>
    </row>
    <row r="9" spans="1:12" ht="14.25">
      <c r="A9" s="389" t="s">
        <v>67</v>
      </c>
      <c r="B9" s="389"/>
      <c r="C9" s="389"/>
      <c r="D9" s="77">
        <v>14849</v>
      </c>
      <c r="E9" s="222">
        <v>15386</v>
      </c>
      <c r="F9" s="223">
        <f t="shared" si="0"/>
        <v>537</v>
      </c>
      <c r="G9" s="224">
        <f t="shared" si="1"/>
        <v>1.0361640514512762</v>
      </c>
      <c r="H9" s="218">
        <v>15243</v>
      </c>
      <c r="I9" s="72"/>
      <c r="J9" s="219">
        <v>15243</v>
      </c>
      <c r="K9" s="225">
        <f t="shared" si="2"/>
        <v>-143</v>
      </c>
      <c r="L9" s="226">
        <f t="shared" si="3"/>
        <v>0.9907058364747173</v>
      </c>
    </row>
    <row r="10" spans="1:12" ht="14.25">
      <c r="A10" s="389" t="s">
        <v>68</v>
      </c>
      <c r="B10" s="389"/>
      <c r="C10" s="389"/>
      <c r="D10" s="77"/>
      <c r="E10" s="222"/>
      <c r="F10" s="223">
        <f t="shared" si="0"/>
        <v>0</v>
      </c>
      <c r="G10" s="224"/>
      <c r="H10" s="218"/>
      <c r="I10" s="72"/>
      <c r="J10" s="219">
        <f aca="true" t="shared" si="4" ref="J10:J60">H10+I10</f>
        <v>0</v>
      </c>
      <c r="K10" s="225">
        <f t="shared" si="2"/>
        <v>0</v>
      </c>
      <c r="L10" s="226"/>
    </row>
    <row r="11" spans="1:12" ht="14.25">
      <c r="A11" s="389" t="s">
        <v>69</v>
      </c>
      <c r="B11" s="389"/>
      <c r="C11" s="389"/>
      <c r="D11" s="77">
        <v>9249</v>
      </c>
      <c r="E11" s="222">
        <v>9726</v>
      </c>
      <c r="F11" s="223">
        <f t="shared" si="0"/>
        <v>477</v>
      </c>
      <c r="G11" s="224">
        <f t="shared" si="1"/>
        <v>1.051573143042491</v>
      </c>
      <c r="H11" s="218">
        <v>9726</v>
      </c>
      <c r="I11" s="72"/>
      <c r="J11" s="219">
        <f t="shared" si="4"/>
        <v>9726</v>
      </c>
      <c r="K11" s="225">
        <f t="shared" si="2"/>
        <v>0</v>
      </c>
      <c r="L11" s="226">
        <f t="shared" si="3"/>
        <v>1</v>
      </c>
    </row>
    <row r="12" spans="1:12" ht="14.25">
      <c r="A12" s="389" t="s">
        <v>70</v>
      </c>
      <c r="B12" s="389"/>
      <c r="C12" s="389"/>
      <c r="D12" s="77">
        <v>299</v>
      </c>
      <c r="E12" s="222">
        <v>571</v>
      </c>
      <c r="F12" s="223">
        <f t="shared" si="0"/>
        <v>272</v>
      </c>
      <c r="G12" s="224">
        <f t="shared" si="1"/>
        <v>1.9096989966555185</v>
      </c>
      <c r="H12" s="218">
        <v>571</v>
      </c>
      <c r="I12" s="72"/>
      <c r="J12" s="219">
        <f t="shared" si="4"/>
        <v>571</v>
      </c>
      <c r="K12" s="225">
        <f t="shared" si="2"/>
        <v>0</v>
      </c>
      <c r="L12" s="226">
        <f t="shared" si="3"/>
        <v>1</v>
      </c>
    </row>
    <row r="13" spans="1:12" ht="14.25">
      <c r="A13" s="389" t="s">
        <v>71</v>
      </c>
      <c r="B13" s="389"/>
      <c r="C13" s="389"/>
      <c r="D13" s="77">
        <v>1220</v>
      </c>
      <c r="E13" s="222">
        <v>4578</v>
      </c>
      <c r="F13" s="223">
        <f t="shared" si="0"/>
        <v>3358</v>
      </c>
      <c r="G13" s="224">
        <f t="shared" si="1"/>
        <v>3.7524590163934426</v>
      </c>
      <c r="H13" s="218">
        <v>246</v>
      </c>
      <c r="I13" s="72">
        <v>1131</v>
      </c>
      <c r="J13" s="219">
        <f t="shared" si="4"/>
        <v>1377</v>
      </c>
      <c r="K13" s="225">
        <f t="shared" si="2"/>
        <v>-3201</v>
      </c>
      <c r="L13" s="226">
        <f t="shared" si="3"/>
        <v>0.300786369593709</v>
      </c>
    </row>
    <row r="14" spans="1:20" ht="15">
      <c r="A14" s="388" t="s">
        <v>72</v>
      </c>
      <c r="B14" s="388"/>
      <c r="C14" s="388"/>
      <c r="D14" s="77"/>
      <c r="E14" s="222"/>
      <c r="F14" s="223">
        <f t="shared" si="0"/>
        <v>0</v>
      </c>
      <c r="G14" s="224"/>
      <c r="H14" s="218"/>
      <c r="I14" s="72">
        <v>61</v>
      </c>
      <c r="J14" s="219">
        <f t="shared" si="4"/>
        <v>61</v>
      </c>
      <c r="K14" s="225">
        <f t="shared" si="2"/>
        <v>61</v>
      </c>
      <c r="L14" s="226"/>
      <c r="N14" s="212"/>
      <c r="O14" s="212"/>
      <c r="P14" s="212"/>
      <c r="Q14" s="212"/>
      <c r="R14" s="212"/>
      <c r="S14" s="212"/>
      <c r="T14" s="212"/>
    </row>
    <row r="15" spans="1:20" ht="14.25">
      <c r="A15" s="388" t="s">
        <v>73</v>
      </c>
      <c r="B15" s="388"/>
      <c r="C15" s="388"/>
      <c r="D15" s="77"/>
      <c r="E15" s="222"/>
      <c r="F15" s="223">
        <f t="shared" si="0"/>
        <v>0</v>
      </c>
      <c r="G15" s="224"/>
      <c r="H15" s="218"/>
      <c r="I15" s="72"/>
      <c r="J15" s="219">
        <f t="shared" si="4"/>
        <v>0</v>
      </c>
      <c r="K15" s="225">
        <f t="shared" si="2"/>
        <v>0</v>
      </c>
      <c r="L15" s="226"/>
      <c r="N15" s="213"/>
      <c r="O15" s="213"/>
      <c r="P15" s="213"/>
      <c r="Q15" s="213"/>
      <c r="R15" s="213"/>
      <c r="S15" s="213"/>
      <c r="T15" s="213"/>
    </row>
    <row r="16" spans="1:20" ht="14.25">
      <c r="A16" s="388" t="s">
        <v>74</v>
      </c>
      <c r="B16" s="388"/>
      <c r="C16" s="388"/>
      <c r="D16" s="77">
        <v>1551</v>
      </c>
      <c r="E16" s="222">
        <v>1176</v>
      </c>
      <c r="F16" s="223">
        <f t="shared" si="0"/>
        <v>-375</v>
      </c>
      <c r="G16" s="224">
        <f t="shared" si="1"/>
        <v>0.758220502901354</v>
      </c>
      <c r="H16" s="218">
        <v>362</v>
      </c>
      <c r="I16" s="72">
        <v>537</v>
      </c>
      <c r="J16" s="219">
        <f t="shared" si="4"/>
        <v>899</v>
      </c>
      <c r="K16" s="225">
        <f t="shared" si="2"/>
        <v>-277</v>
      </c>
      <c r="L16" s="226">
        <f t="shared" si="3"/>
        <v>0.7644557823129252</v>
      </c>
      <c r="M16" s="257"/>
      <c r="N16" s="213"/>
      <c r="O16" s="213"/>
      <c r="P16" s="213"/>
      <c r="Q16" s="213"/>
      <c r="R16" s="213"/>
      <c r="S16" s="213"/>
      <c r="T16" s="213"/>
    </row>
    <row r="17" spans="1:20" ht="14.25">
      <c r="A17" s="388" t="s">
        <v>75</v>
      </c>
      <c r="B17" s="388"/>
      <c r="C17" s="388"/>
      <c r="D17" s="77">
        <v>956</v>
      </c>
      <c r="E17" s="222">
        <v>482</v>
      </c>
      <c r="F17" s="223">
        <f t="shared" si="0"/>
        <v>-474</v>
      </c>
      <c r="G17" s="224">
        <f t="shared" si="1"/>
        <v>0.50418410041841</v>
      </c>
      <c r="H17" s="218">
        <v>149</v>
      </c>
      <c r="I17" s="72">
        <v>56</v>
      </c>
      <c r="J17" s="219">
        <f t="shared" si="4"/>
        <v>205</v>
      </c>
      <c r="K17" s="225">
        <f t="shared" si="2"/>
        <v>-277</v>
      </c>
      <c r="L17" s="226">
        <f t="shared" si="3"/>
        <v>0.42531120331950206</v>
      </c>
      <c r="N17" s="10"/>
      <c r="O17" s="10"/>
      <c r="P17" s="10"/>
      <c r="Q17" s="10"/>
      <c r="R17" s="10"/>
      <c r="S17" s="10"/>
      <c r="T17" s="10"/>
    </row>
    <row r="18" spans="1:12" ht="14.25">
      <c r="A18" s="388" t="s">
        <v>76</v>
      </c>
      <c r="B18" s="388"/>
      <c r="C18" s="388"/>
      <c r="D18" s="77"/>
      <c r="E18" s="222"/>
      <c r="F18" s="223">
        <f t="shared" si="0"/>
        <v>0</v>
      </c>
      <c r="G18" s="224"/>
      <c r="H18" s="218"/>
      <c r="I18" s="72"/>
      <c r="J18" s="219">
        <f t="shared" si="4"/>
        <v>0</v>
      </c>
      <c r="K18" s="225">
        <f t="shared" si="2"/>
        <v>0</v>
      </c>
      <c r="L18" s="226"/>
    </row>
    <row r="19" spans="1:12" ht="14.25">
      <c r="A19" s="388" t="s">
        <v>77</v>
      </c>
      <c r="B19" s="388"/>
      <c r="C19" s="388"/>
      <c r="D19" s="77"/>
      <c r="E19" s="222"/>
      <c r="F19" s="223">
        <f t="shared" si="0"/>
        <v>0</v>
      </c>
      <c r="G19" s="224"/>
      <c r="H19" s="218"/>
      <c r="I19" s="72"/>
      <c r="J19" s="219">
        <f t="shared" si="4"/>
        <v>0</v>
      </c>
      <c r="K19" s="225">
        <f t="shared" si="2"/>
        <v>0</v>
      </c>
      <c r="L19" s="226"/>
    </row>
    <row r="20" spans="1:12" ht="14.25">
      <c r="A20" s="388" t="s">
        <v>78</v>
      </c>
      <c r="B20" s="388"/>
      <c r="C20" s="388"/>
      <c r="D20" s="77"/>
      <c r="E20" s="222">
        <v>6</v>
      </c>
      <c r="F20" s="223">
        <f t="shared" si="0"/>
        <v>6</v>
      </c>
      <c r="G20" s="224"/>
      <c r="H20" s="218">
        <v>6</v>
      </c>
      <c r="I20" s="72"/>
      <c r="J20" s="219">
        <f t="shared" si="4"/>
        <v>6</v>
      </c>
      <c r="K20" s="225">
        <f t="shared" si="2"/>
        <v>0</v>
      </c>
      <c r="L20" s="226">
        <f t="shared" si="3"/>
        <v>1</v>
      </c>
    </row>
    <row r="21" spans="1:12" ht="14.25">
      <c r="A21" s="388" t="s">
        <v>79</v>
      </c>
      <c r="B21" s="388"/>
      <c r="C21" s="388"/>
      <c r="D21" s="77"/>
      <c r="E21" s="222"/>
      <c r="F21" s="223">
        <f t="shared" si="0"/>
        <v>0</v>
      </c>
      <c r="G21" s="224"/>
      <c r="H21" s="218"/>
      <c r="I21" s="72"/>
      <c r="J21" s="219">
        <f t="shared" si="4"/>
        <v>0</v>
      </c>
      <c r="K21" s="225">
        <f t="shared" si="2"/>
        <v>0</v>
      </c>
      <c r="L21" s="226"/>
    </row>
    <row r="22" spans="1:12" ht="14.25">
      <c r="A22" s="388" t="s">
        <v>80</v>
      </c>
      <c r="B22" s="388"/>
      <c r="C22" s="388"/>
      <c r="D22" s="77">
        <v>32407</v>
      </c>
      <c r="E22" s="222">
        <v>29990</v>
      </c>
      <c r="F22" s="223">
        <f t="shared" si="0"/>
        <v>-2417</v>
      </c>
      <c r="G22" s="224">
        <f t="shared" si="1"/>
        <v>0.9254173481038047</v>
      </c>
      <c r="H22" s="218">
        <f>SUM(H23:H26)</f>
        <v>29433</v>
      </c>
      <c r="I22" s="72"/>
      <c r="J22" s="219">
        <f t="shared" si="4"/>
        <v>29433</v>
      </c>
      <c r="K22" s="225">
        <f t="shared" si="2"/>
        <v>-557</v>
      </c>
      <c r="L22" s="226">
        <f t="shared" si="3"/>
        <v>0.9814271423807936</v>
      </c>
    </row>
    <row r="23" spans="1:12" ht="14.25">
      <c r="A23" s="388" t="s">
        <v>81</v>
      </c>
      <c r="B23" s="388"/>
      <c r="C23" s="388"/>
      <c r="D23" s="77">
        <v>6111</v>
      </c>
      <c r="E23" s="222">
        <v>3501</v>
      </c>
      <c r="F23" s="223">
        <f t="shared" si="0"/>
        <v>-2610</v>
      </c>
      <c r="G23" s="224">
        <f t="shared" si="1"/>
        <v>0.572901325478645</v>
      </c>
      <c r="H23" s="218">
        <v>3458</v>
      </c>
      <c r="I23" s="72"/>
      <c r="J23" s="219">
        <f t="shared" si="4"/>
        <v>3458</v>
      </c>
      <c r="K23" s="225">
        <f t="shared" si="2"/>
        <v>-43</v>
      </c>
      <c r="L23" s="226">
        <f t="shared" si="3"/>
        <v>0.9877177949157384</v>
      </c>
    </row>
    <row r="24" spans="1:13" ht="14.25">
      <c r="A24" s="388" t="s">
        <v>82</v>
      </c>
      <c r="B24" s="388"/>
      <c r="C24" s="388"/>
      <c r="D24" s="77">
        <v>26296</v>
      </c>
      <c r="E24" s="222">
        <v>25156</v>
      </c>
      <c r="F24" s="223">
        <f t="shared" si="0"/>
        <v>-1140</v>
      </c>
      <c r="G24" s="224">
        <f t="shared" si="1"/>
        <v>0.9566473988439307</v>
      </c>
      <c r="H24" s="218">
        <v>20692</v>
      </c>
      <c r="I24" s="72"/>
      <c r="J24" s="219">
        <f t="shared" si="4"/>
        <v>20692</v>
      </c>
      <c r="K24" s="225">
        <f t="shared" si="2"/>
        <v>-4464</v>
      </c>
      <c r="L24" s="226">
        <f t="shared" si="3"/>
        <v>0.822547304817936</v>
      </c>
      <c r="M24" s="257"/>
    </row>
    <row r="25" spans="1:12" ht="14.25">
      <c r="A25" s="388" t="s">
        <v>83</v>
      </c>
      <c r="B25" s="388"/>
      <c r="C25" s="388"/>
      <c r="D25" s="77"/>
      <c r="E25" s="222"/>
      <c r="F25" s="223">
        <f t="shared" si="0"/>
        <v>0</v>
      </c>
      <c r="G25" s="224"/>
      <c r="H25" s="218"/>
      <c r="I25" s="72"/>
      <c r="J25" s="219">
        <f t="shared" si="4"/>
        <v>0</v>
      </c>
      <c r="K25" s="225">
        <f t="shared" si="2"/>
        <v>0</v>
      </c>
      <c r="L25" s="226"/>
    </row>
    <row r="26" spans="1:12" ht="15" thickBot="1">
      <c r="A26" s="386" t="s">
        <v>161</v>
      </c>
      <c r="B26" s="386"/>
      <c r="C26" s="386"/>
      <c r="D26" s="227"/>
      <c r="E26" s="228">
        <v>1333</v>
      </c>
      <c r="F26" s="229">
        <f t="shared" si="0"/>
        <v>1333</v>
      </c>
      <c r="G26" s="230"/>
      <c r="H26" s="231">
        <v>5283</v>
      </c>
      <c r="I26" s="232"/>
      <c r="J26" s="233">
        <f t="shared" si="4"/>
        <v>5283</v>
      </c>
      <c r="K26" s="234">
        <f t="shared" si="2"/>
        <v>3950</v>
      </c>
      <c r="L26" s="235">
        <f t="shared" si="3"/>
        <v>3.9632408102025507</v>
      </c>
    </row>
    <row r="27" spans="1:12" ht="15.75" thickBot="1">
      <c r="A27" s="387" t="s">
        <v>84</v>
      </c>
      <c r="B27" s="387"/>
      <c r="C27" s="387"/>
      <c r="D27" s="236">
        <v>68165</v>
      </c>
      <c r="E27" s="237">
        <v>71495</v>
      </c>
      <c r="F27" s="238">
        <f t="shared" si="0"/>
        <v>3330</v>
      </c>
      <c r="G27" s="239">
        <f t="shared" si="1"/>
        <v>1.048852050172376</v>
      </c>
      <c r="H27" s="240">
        <f>SUM(H7+H16+H20+H21+H22)</f>
        <v>65912</v>
      </c>
      <c r="I27" s="241">
        <v>1729</v>
      </c>
      <c r="J27" s="242">
        <f t="shared" si="4"/>
        <v>67641</v>
      </c>
      <c r="K27" s="240">
        <f t="shared" si="2"/>
        <v>-3854</v>
      </c>
      <c r="L27" s="243">
        <f t="shared" si="3"/>
        <v>0.9460941324568152</v>
      </c>
    </row>
    <row r="28" spans="1:12" ht="14.25">
      <c r="A28" s="375" t="s">
        <v>85</v>
      </c>
      <c r="B28" s="375"/>
      <c r="C28" s="375"/>
      <c r="D28" s="244">
        <v>7974</v>
      </c>
      <c r="E28" s="245">
        <v>8342</v>
      </c>
      <c r="F28" s="246">
        <f t="shared" si="0"/>
        <v>368</v>
      </c>
      <c r="G28" s="247">
        <f t="shared" si="1"/>
        <v>1.0461499874592426</v>
      </c>
      <c r="H28" s="248">
        <f>SUM(H29:H33)</f>
        <v>8047</v>
      </c>
      <c r="I28" s="249">
        <f>SUM(I29:I33)</f>
        <v>295</v>
      </c>
      <c r="J28" s="250">
        <f t="shared" si="4"/>
        <v>8342</v>
      </c>
      <c r="K28" s="251">
        <f t="shared" si="2"/>
        <v>0</v>
      </c>
      <c r="L28" s="252">
        <f t="shared" si="3"/>
        <v>1</v>
      </c>
    </row>
    <row r="29" spans="1:12" ht="14.25">
      <c r="A29" s="385" t="s">
        <v>86</v>
      </c>
      <c r="B29" s="385"/>
      <c r="C29" s="385"/>
      <c r="D29" s="77">
        <v>4536</v>
      </c>
      <c r="E29" s="222">
        <v>4571</v>
      </c>
      <c r="F29" s="223">
        <f t="shared" si="0"/>
        <v>35</v>
      </c>
      <c r="G29" s="224">
        <f t="shared" si="1"/>
        <v>1.007716049382716</v>
      </c>
      <c r="H29" s="218">
        <v>4351</v>
      </c>
      <c r="I29" s="72">
        <v>220</v>
      </c>
      <c r="J29" s="219">
        <f t="shared" si="4"/>
        <v>4571</v>
      </c>
      <c r="K29" s="225">
        <f t="shared" si="2"/>
        <v>0</v>
      </c>
      <c r="L29" s="226">
        <f t="shared" si="3"/>
        <v>1</v>
      </c>
    </row>
    <row r="30" spans="1:12" ht="14.25">
      <c r="A30" s="385" t="s">
        <v>87</v>
      </c>
      <c r="B30" s="385"/>
      <c r="C30" s="385"/>
      <c r="D30" s="77">
        <v>239</v>
      </c>
      <c r="E30" s="222">
        <v>263</v>
      </c>
      <c r="F30" s="223">
        <f t="shared" si="0"/>
        <v>24</v>
      </c>
      <c r="G30" s="224">
        <f t="shared" si="1"/>
        <v>1.100418410041841</v>
      </c>
      <c r="H30" s="218">
        <v>253</v>
      </c>
      <c r="I30" s="72">
        <v>10</v>
      </c>
      <c r="J30" s="219">
        <f t="shared" si="4"/>
        <v>263</v>
      </c>
      <c r="K30" s="225">
        <f t="shared" si="2"/>
        <v>0</v>
      </c>
      <c r="L30" s="226">
        <f t="shared" si="3"/>
        <v>1</v>
      </c>
    </row>
    <row r="31" spans="1:12" ht="14.25">
      <c r="A31" s="385" t="s">
        <v>88</v>
      </c>
      <c r="B31" s="385"/>
      <c r="C31" s="385"/>
      <c r="D31" s="77">
        <v>1059</v>
      </c>
      <c r="E31" s="222">
        <v>1185</v>
      </c>
      <c r="F31" s="223">
        <f t="shared" si="0"/>
        <v>126</v>
      </c>
      <c r="G31" s="224">
        <f t="shared" si="1"/>
        <v>1.1189801699716715</v>
      </c>
      <c r="H31" s="218">
        <v>1169</v>
      </c>
      <c r="I31" s="72">
        <v>16</v>
      </c>
      <c r="J31" s="219">
        <f t="shared" si="4"/>
        <v>1185</v>
      </c>
      <c r="K31" s="225">
        <f t="shared" si="2"/>
        <v>0</v>
      </c>
      <c r="L31" s="226">
        <f t="shared" si="3"/>
        <v>1</v>
      </c>
    </row>
    <row r="32" spans="1:12" ht="14.25">
      <c r="A32" s="385" t="s">
        <v>89</v>
      </c>
      <c r="B32" s="385"/>
      <c r="C32" s="385"/>
      <c r="D32" s="77">
        <v>1697</v>
      </c>
      <c r="E32" s="222">
        <v>1789</v>
      </c>
      <c r="F32" s="223">
        <f t="shared" si="0"/>
        <v>92</v>
      </c>
      <c r="G32" s="224">
        <f t="shared" si="1"/>
        <v>1.0542133176193282</v>
      </c>
      <c r="H32" s="218">
        <v>1741</v>
      </c>
      <c r="I32" s="72">
        <v>48</v>
      </c>
      <c r="J32" s="219">
        <f t="shared" si="4"/>
        <v>1789</v>
      </c>
      <c r="K32" s="225">
        <f t="shared" si="2"/>
        <v>0</v>
      </c>
      <c r="L32" s="226">
        <f t="shared" si="3"/>
        <v>1</v>
      </c>
    </row>
    <row r="33" spans="1:12" ht="14.25">
      <c r="A33" s="385" t="s">
        <v>90</v>
      </c>
      <c r="B33" s="385"/>
      <c r="C33" s="385"/>
      <c r="D33" s="77">
        <v>443</v>
      </c>
      <c r="E33" s="222">
        <v>534</v>
      </c>
      <c r="F33" s="223">
        <f t="shared" si="0"/>
        <v>91</v>
      </c>
      <c r="G33" s="224">
        <f t="shared" si="1"/>
        <v>1.2054176072234764</v>
      </c>
      <c r="H33" s="218">
        <v>533</v>
      </c>
      <c r="I33" s="72">
        <v>1</v>
      </c>
      <c r="J33" s="219">
        <f t="shared" si="4"/>
        <v>534</v>
      </c>
      <c r="K33" s="225">
        <f t="shared" si="2"/>
        <v>0</v>
      </c>
      <c r="L33" s="226">
        <f t="shared" si="3"/>
        <v>1</v>
      </c>
    </row>
    <row r="34" spans="1:12" ht="14.25">
      <c r="A34" s="385" t="s">
        <v>91</v>
      </c>
      <c r="B34" s="385"/>
      <c r="C34" s="385"/>
      <c r="D34" s="77">
        <v>3910</v>
      </c>
      <c r="E34" s="222">
        <v>3719</v>
      </c>
      <c r="F34" s="223">
        <f t="shared" si="0"/>
        <v>-191</v>
      </c>
      <c r="G34" s="224">
        <f t="shared" si="1"/>
        <v>0.951150895140665</v>
      </c>
      <c r="H34" s="218">
        <f>SUM(H35:H39)</f>
        <v>3122</v>
      </c>
      <c r="I34" s="72">
        <f>SUM(I35:I39)</f>
        <v>479</v>
      </c>
      <c r="J34" s="219">
        <f t="shared" si="4"/>
        <v>3601</v>
      </c>
      <c r="K34" s="225">
        <f t="shared" si="2"/>
        <v>-118</v>
      </c>
      <c r="L34" s="226">
        <f t="shared" si="3"/>
        <v>0.9682710406023125</v>
      </c>
    </row>
    <row r="35" spans="1:12" ht="14.25">
      <c r="A35" s="385" t="s">
        <v>92</v>
      </c>
      <c r="B35" s="385"/>
      <c r="C35" s="385"/>
      <c r="D35" s="77">
        <v>951</v>
      </c>
      <c r="E35" s="222">
        <v>543</v>
      </c>
      <c r="F35" s="223">
        <f t="shared" si="0"/>
        <v>-408</v>
      </c>
      <c r="G35" s="224">
        <f t="shared" si="1"/>
        <v>0.5709779179810726</v>
      </c>
      <c r="H35" s="218">
        <v>605</v>
      </c>
      <c r="I35" s="72">
        <v>150</v>
      </c>
      <c r="J35" s="219">
        <f t="shared" si="4"/>
        <v>755</v>
      </c>
      <c r="K35" s="225">
        <f t="shared" si="2"/>
        <v>212</v>
      </c>
      <c r="L35" s="226">
        <f t="shared" si="3"/>
        <v>1.3904235727440146</v>
      </c>
    </row>
    <row r="36" spans="1:12" ht="14.25">
      <c r="A36" s="385" t="s">
        <v>93</v>
      </c>
      <c r="B36" s="385"/>
      <c r="C36" s="385"/>
      <c r="D36" s="77">
        <v>2522</v>
      </c>
      <c r="E36" s="222">
        <v>2690</v>
      </c>
      <c r="F36" s="223">
        <f t="shared" si="0"/>
        <v>168</v>
      </c>
      <c r="G36" s="224">
        <f t="shared" si="1"/>
        <v>1.0666137985725614</v>
      </c>
      <c r="H36" s="218">
        <v>2040</v>
      </c>
      <c r="I36" s="72">
        <v>320</v>
      </c>
      <c r="J36" s="219">
        <f t="shared" si="4"/>
        <v>2360</v>
      </c>
      <c r="K36" s="225">
        <f t="shared" si="2"/>
        <v>-330</v>
      </c>
      <c r="L36" s="226">
        <f t="shared" si="3"/>
        <v>0.8773234200743495</v>
      </c>
    </row>
    <row r="37" spans="1:12" ht="14.25">
      <c r="A37" s="385" t="s">
        <v>94</v>
      </c>
      <c r="B37" s="385"/>
      <c r="C37" s="385"/>
      <c r="D37" s="77"/>
      <c r="E37" s="222"/>
      <c r="F37" s="223">
        <f t="shared" si="0"/>
        <v>0</v>
      </c>
      <c r="G37" s="224"/>
      <c r="H37" s="218"/>
      <c r="I37" s="72"/>
      <c r="J37" s="219">
        <f t="shared" si="4"/>
        <v>0</v>
      </c>
      <c r="K37" s="225">
        <f t="shared" si="2"/>
        <v>0</v>
      </c>
      <c r="L37" s="226"/>
    </row>
    <row r="38" spans="1:12" ht="14.25">
      <c r="A38" s="385" t="s">
        <v>95</v>
      </c>
      <c r="B38" s="385"/>
      <c r="C38" s="385"/>
      <c r="D38" s="77"/>
      <c r="E38" s="222"/>
      <c r="F38" s="223">
        <f t="shared" si="0"/>
        <v>0</v>
      </c>
      <c r="G38" s="224"/>
      <c r="H38" s="218"/>
      <c r="I38" s="72"/>
      <c r="J38" s="219">
        <f t="shared" si="4"/>
        <v>0</v>
      </c>
      <c r="K38" s="225">
        <f t="shared" si="2"/>
        <v>0</v>
      </c>
      <c r="L38" s="226"/>
    </row>
    <row r="39" spans="1:12" ht="14.25">
      <c r="A39" s="385" t="s">
        <v>96</v>
      </c>
      <c r="B39" s="385"/>
      <c r="C39" s="385"/>
      <c r="D39" s="77">
        <v>437</v>
      </c>
      <c r="E39" s="222">
        <v>486</v>
      </c>
      <c r="F39" s="223">
        <f t="shared" si="0"/>
        <v>49</v>
      </c>
      <c r="G39" s="224">
        <f t="shared" si="1"/>
        <v>1.1121281464530892</v>
      </c>
      <c r="H39" s="218">
        <v>477</v>
      </c>
      <c r="I39" s="72">
        <v>9</v>
      </c>
      <c r="J39" s="219">
        <f t="shared" si="4"/>
        <v>486</v>
      </c>
      <c r="K39" s="225">
        <f t="shared" si="2"/>
        <v>0</v>
      </c>
      <c r="L39" s="226">
        <f t="shared" si="3"/>
        <v>1</v>
      </c>
    </row>
    <row r="40" spans="1:12" ht="14.25">
      <c r="A40" s="385" t="s">
        <v>97</v>
      </c>
      <c r="B40" s="385"/>
      <c r="C40" s="385"/>
      <c r="D40" s="77"/>
      <c r="E40" s="222"/>
      <c r="F40" s="223">
        <f t="shared" si="0"/>
        <v>0</v>
      </c>
      <c r="G40" s="224"/>
      <c r="H40" s="218"/>
      <c r="I40" s="72"/>
      <c r="J40" s="219">
        <f t="shared" si="4"/>
        <v>0</v>
      </c>
      <c r="K40" s="225">
        <f t="shared" si="2"/>
        <v>0</v>
      </c>
      <c r="L40" s="226"/>
    </row>
    <row r="41" spans="1:12" ht="14.25">
      <c r="A41" s="385" t="s">
        <v>98</v>
      </c>
      <c r="B41" s="385"/>
      <c r="C41" s="385"/>
      <c r="D41" s="77">
        <v>1091</v>
      </c>
      <c r="E41" s="222">
        <v>1431</v>
      </c>
      <c r="F41" s="223">
        <f t="shared" si="0"/>
        <v>340</v>
      </c>
      <c r="G41" s="224">
        <f t="shared" si="1"/>
        <v>1.311640696608616</v>
      </c>
      <c r="H41" s="218">
        <v>1367</v>
      </c>
      <c r="I41" s="72">
        <v>64</v>
      </c>
      <c r="J41" s="219">
        <f t="shared" si="4"/>
        <v>1431</v>
      </c>
      <c r="K41" s="225">
        <f t="shared" si="2"/>
        <v>0</v>
      </c>
      <c r="L41" s="226">
        <f t="shared" si="3"/>
        <v>1</v>
      </c>
    </row>
    <row r="42" spans="1:12" ht="14.25">
      <c r="A42" s="385" t="s">
        <v>99</v>
      </c>
      <c r="B42" s="385"/>
      <c r="C42" s="385"/>
      <c r="D42" s="77">
        <v>84</v>
      </c>
      <c r="E42" s="222">
        <v>129</v>
      </c>
      <c r="F42" s="223">
        <f t="shared" si="0"/>
        <v>45</v>
      </c>
      <c r="G42" s="224">
        <f t="shared" si="1"/>
        <v>1.5357142857142858</v>
      </c>
      <c r="H42" s="218">
        <v>123</v>
      </c>
      <c r="I42" s="72">
        <v>6</v>
      </c>
      <c r="J42" s="219">
        <f t="shared" si="4"/>
        <v>129</v>
      </c>
      <c r="K42" s="225">
        <f t="shared" si="2"/>
        <v>0</v>
      </c>
      <c r="L42" s="226">
        <f t="shared" si="3"/>
        <v>1</v>
      </c>
    </row>
    <row r="43" spans="1:12" ht="14.25">
      <c r="A43" s="385" t="s">
        <v>100</v>
      </c>
      <c r="B43" s="385"/>
      <c r="C43" s="385"/>
      <c r="D43" s="77">
        <v>4</v>
      </c>
      <c r="E43" s="222">
        <v>5</v>
      </c>
      <c r="F43" s="223">
        <f t="shared" si="0"/>
        <v>1</v>
      </c>
      <c r="G43" s="224">
        <f t="shared" si="1"/>
        <v>1.25</v>
      </c>
      <c r="H43" s="218">
        <v>5</v>
      </c>
      <c r="I43" s="72"/>
      <c r="J43" s="219">
        <f t="shared" si="4"/>
        <v>5</v>
      </c>
      <c r="K43" s="225">
        <f t="shared" si="2"/>
        <v>0</v>
      </c>
      <c r="L43" s="226">
        <f t="shared" si="3"/>
        <v>1</v>
      </c>
    </row>
    <row r="44" spans="1:12" ht="14.25">
      <c r="A44" s="385" t="s">
        <v>101</v>
      </c>
      <c r="B44" s="385"/>
      <c r="C44" s="385"/>
      <c r="D44" s="77">
        <v>1150</v>
      </c>
      <c r="E44" s="222">
        <v>1056</v>
      </c>
      <c r="F44" s="223">
        <f t="shared" si="0"/>
        <v>-94</v>
      </c>
      <c r="G44" s="224">
        <f t="shared" si="1"/>
        <v>0.9182608695652174</v>
      </c>
      <c r="H44" s="218">
        <v>1028</v>
      </c>
      <c r="I44" s="72">
        <v>28</v>
      </c>
      <c r="J44" s="219">
        <f t="shared" si="4"/>
        <v>1056</v>
      </c>
      <c r="K44" s="225">
        <f t="shared" si="2"/>
        <v>0</v>
      </c>
      <c r="L44" s="226">
        <f t="shared" si="3"/>
        <v>1</v>
      </c>
    </row>
    <row r="45" spans="1:15" ht="14.25">
      <c r="A45" s="385" t="s">
        <v>102</v>
      </c>
      <c r="B45" s="385"/>
      <c r="C45" s="385"/>
      <c r="D45" s="77">
        <v>128</v>
      </c>
      <c r="E45" s="222">
        <v>131</v>
      </c>
      <c r="F45" s="223">
        <f t="shared" si="0"/>
        <v>3</v>
      </c>
      <c r="G45" s="224">
        <f t="shared" si="1"/>
        <v>1.0234375</v>
      </c>
      <c r="H45" s="218">
        <v>126</v>
      </c>
      <c r="I45" s="72">
        <v>5</v>
      </c>
      <c r="J45" s="219">
        <f t="shared" si="4"/>
        <v>131</v>
      </c>
      <c r="K45" s="225">
        <f t="shared" si="2"/>
        <v>0</v>
      </c>
      <c r="L45" s="226">
        <f t="shared" si="3"/>
        <v>1</v>
      </c>
      <c r="O45" s="150"/>
    </row>
    <row r="46" spans="1:12" ht="14.25">
      <c r="A46" s="385" t="s">
        <v>103</v>
      </c>
      <c r="B46" s="385"/>
      <c r="C46" s="385"/>
      <c r="D46" s="77">
        <v>12</v>
      </c>
      <c r="E46" s="222">
        <v>5</v>
      </c>
      <c r="F46" s="223">
        <f t="shared" si="0"/>
        <v>-7</v>
      </c>
      <c r="G46" s="224">
        <f t="shared" si="1"/>
        <v>0.4166666666666667</v>
      </c>
      <c r="H46" s="218">
        <v>5</v>
      </c>
      <c r="I46" s="72"/>
      <c r="J46" s="219">
        <f t="shared" si="4"/>
        <v>5</v>
      </c>
      <c r="K46" s="225">
        <f t="shared" si="2"/>
        <v>0</v>
      </c>
      <c r="L46" s="226">
        <f t="shared" si="3"/>
        <v>1</v>
      </c>
    </row>
    <row r="47" spans="1:12" ht="14.25">
      <c r="A47" s="385" t="s">
        <v>104</v>
      </c>
      <c r="B47" s="385"/>
      <c r="C47" s="385"/>
      <c r="D47" s="77">
        <v>1010</v>
      </c>
      <c r="E47" s="222">
        <v>920</v>
      </c>
      <c r="F47" s="223">
        <f t="shared" si="0"/>
        <v>-90</v>
      </c>
      <c r="G47" s="224">
        <f t="shared" si="1"/>
        <v>0.9108910891089109</v>
      </c>
      <c r="H47" s="218">
        <v>897</v>
      </c>
      <c r="I47" s="72">
        <v>23</v>
      </c>
      <c r="J47" s="219">
        <f t="shared" si="4"/>
        <v>920</v>
      </c>
      <c r="K47" s="225">
        <f t="shared" si="2"/>
        <v>0</v>
      </c>
      <c r="L47" s="226">
        <f t="shared" si="3"/>
        <v>1</v>
      </c>
    </row>
    <row r="48" spans="1:12" ht="14.25">
      <c r="A48" s="385" t="s">
        <v>105</v>
      </c>
      <c r="B48" s="385"/>
      <c r="C48" s="385"/>
      <c r="D48" s="77">
        <v>49943</v>
      </c>
      <c r="E48" s="222">
        <v>52908</v>
      </c>
      <c r="F48" s="223">
        <f t="shared" si="0"/>
        <v>2965</v>
      </c>
      <c r="G48" s="224">
        <f t="shared" si="1"/>
        <v>1.059367679154236</v>
      </c>
      <c r="H48" s="218">
        <f>SUM(H49+H52)</f>
        <v>52103</v>
      </c>
      <c r="I48" s="72">
        <f>SUM(I52+I51+I50)</f>
        <v>421</v>
      </c>
      <c r="J48" s="219">
        <f t="shared" si="4"/>
        <v>52524</v>
      </c>
      <c r="K48" s="225">
        <f t="shared" si="2"/>
        <v>-384</v>
      </c>
      <c r="L48" s="226">
        <f t="shared" si="3"/>
        <v>0.9927421183941937</v>
      </c>
    </row>
    <row r="49" spans="1:12" ht="14.25">
      <c r="A49" s="385" t="s">
        <v>106</v>
      </c>
      <c r="B49" s="385"/>
      <c r="C49" s="385"/>
      <c r="D49" s="77">
        <v>37038</v>
      </c>
      <c r="E49" s="222">
        <v>38938</v>
      </c>
      <c r="F49" s="223">
        <f t="shared" si="0"/>
        <v>1900</v>
      </c>
      <c r="G49" s="224">
        <f t="shared" si="1"/>
        <v>1.051298666234678</v>
      </c>
      <c r="H49" s="218">
        <f>38622-13</f>
        <v>38609</v>
      </c>
      <c r="I49" s="72">
        <v>316</v>
      </c>
      <c r="J49" s="219">
        <f t="shared" si="4"/>
        <v>38925</v>
      </c>
      <c r="K49" s="225">
        <f t="shared" si="2"/>
        <v>-13</v>
      </c>
      <c r="L49" s="226">
        <f t="shared" si="3"/>
        <v>0.9996661359083672</v>
      </c>
    </row>
    <row r="50" spans="1:12" ht="14.25">
      <c r="A50" s="385" t="s">
        <v>107</v>
      </c>
      <c r="B50" s="385"/>
      <c r="C50" s="385"/>
      <c r="D50" s="77">
        <v>36788</v>
      </c>
      <c r="E50" s="222">
        <v>38688</v>
      </c>
      <c r="F50" s="223">
        <f t="shared" si="0"/>
        <v>1900</v>
      </c>
      <c r="G50" s="224">
        <f t="shared" si="1"/>
        <v>1.0516472762857454</v>
      </c>
      <c r="H50" s="218">
        <f>38379-13</f>
        <v>38366</v>
      </c>
      <c r="I50" s="72">
        <v>309</v>
      </c>
      <c r="J50" s="219">
        <f t="shared" si="4"/>
        <v>38675</v>
      </c>
      <c r="K50" s="225">
        <f t="shared" si="2"/>
        <v>-13</v>
      </c>
      <c r="L50" s="226">
        <f t="shared" si="3"/>
        <v>0.9996639784946236</v>
      </c>
    </row>
    <row r="51" spans="1:12" ht="14.25">
      <c r="A51" s="385" t="s">
        <v>108</v>
      </c>
      <c r="B51" s="385"/>
      <c r="C51" s="385"/>
      <c r="D51" s="77">
        <v>250</v>
      </c>
      <c r="E51" s="222">
        <v>250</v>
      </c>
      <c r="F51" s="223">
        <f t="shared" si="0"/>
        <v>0</v>
      </c>
      <c r="G51" s="224">
        <f t="shared" si="1"/>
        <v>1</v>
      </c>
      <c r="H51" s="218">
        <v>243</v>
      </c>
      <c r="I51" s="72">
        <v>7</v>
      </c>
      <c r="J51" s="219">
        <f t="shared" si="4"/>
        <v>250</v>
      </c>
      <c r="K51" s="225">
        <f t="shared" si="2"/>
        <v>0</v>
      </c>
      <c r="L51" s="226">
        <f t="shared" si="3"/>
        <v>1</v>
      </c>
    </row>
    <row r="52" spans="1:12" ht="14.25">
      <c r="A52" s="385" t="s">
        <v>109</v>
      </c>
      <c r="B52" s="385"/>
      <c r="C52" s="385"/>
      <c r="D52" s="77">
        <v>12905</v>
      </c>
      <c r="E52" s="222">
        <v>13970</v>
      </c>
      <c r="F52" s="223">
        <f t="shared" si="0"/>
        <v>1065</v>
      </c>
      <c r="G52" s="224">
        <f t="shared" si="1"/>
        <v>1.08252615265401</v>
      </c>
      <c r="H52" s="218">
        <f>13499-5</f>
        <v>13494</v>
      </c>
      <c r="I52" s="72">
        <v>105</v>
      </c>
      <c r="J52" s="219">
        <f t="shared" si="4"/>
        <v>13599</v>
      </c>
      <c r="K52" s="225">
        <f t="shared" si="2"/>
        <v>-371</v>
      </c>
      <c r="L52" s="226">
        <f t="shared" si="3"/>
        <v>0.9734430923407301</v>
      </c>
    </row>
    <row r="53" spans="1:12" ht="14.25">
      <c r="A53" s="385" t="s">
        <v>110</v>
      </c>
      <c r="B53" s="385"/>
      <c r="C53" s="385"/>
      <c r="D53" s="77">
        <v>21</v>
      </c>
      <c r="E53" s="222">
        <v>19</v>
      </c>
      <c r="F53" s="223">
        <f t="shared" si="0"/>
        <v>-2</v>
      </c>
      <c r="G53" s="224">
        <f t="shared" si="1"/>
        <v>0.9047619047619048</v>
      </c>
      <c r="H53" s="218">
        <v>19</v>
      </c>
      <c r="I53" s="72"/>
      <c r="J53" s="219">
        <f t="shared" si="4"/>
        <v>19</v>
      </c>
      <c r="K53" s="225">
        <f t="shared" si="2"/>
        <v>0</v>
      </c>
      <c r="L53" s="226">
        <f t="shared" si="3"/>
        <v>1</v>
      </c>
    </row>
    <row r="54" spans="1:12" ht="14.25">
      <c r="A54" s="385" t="s">
        <v>111</v>
      </c>
      <c r="B54" s="385"/>
      <c r="C54" s="385"/>
      <c r="D54" s="77">
        <v>158</v>
      </c>
      <c r="E54" s="222">
        <v>103</v>
      </c>
      <c r="F54" s="223">
        <f t="shared" si="0"/>
        <v>-55</v>
      </c>
      <c r="G54" s="224">
        <f t="shared" si="1"/>
        <v>0.6518987341772152</v>
      </c>
      <c r="H54" s="218">
        <v>102</v>
      </c>
      <c r="I54" s="72">
        <v>1</v>
      </c>
      <c r="J54" s="219">
        <f t="shared" si="4"/>
        <v>103</v>
      </c>
      <c r="K54" s="225">
        <f t="shared" si="2"/>
        <v>0</v>
      </c>
      <c r="L54" s="226">
        <f t="shared" si="3"/>
        <v>1</v>
      </c>
    </row>
    <row r="55" spans="1:12" ht="14.25">
      <c r="A55" s="385" t="s">
        <v>112</v>
      </c>
      <c r="B55" s="385"/>
      <c r="C55" s="385"/>
      <c r="D55" s="77">
        <v>1269</v>
      </c>
      <c r="E55" s="222">
        <v>1233</v>
      </c>
      <c r="F55" s="223">
        <f t="shared" si="0"/>
        <v>-36</v>
      </c>
      <c r="G55" s="224">
        <f t="shared" si="1"/>
        <v>0.9716312056737588</v>
      </c>
      <c r="H55" s="218">
        <v>1171</v>
      </c>
      <c r="I55" s="72">
        <v>42</v>
      </c>
      <c r="J55" s="219">
        <f t="shared" si="4"/>
        <v>1213</v>
      </c>
      <c r="K55" s="225">
        <f t="shared" si="2"/>
        <v>-20</v>
      </c>
      <c r="L55" s="226">
        <f t="shared" si="3"/>
        <v>0.9837793998377939</v>
      </c>
    </row>
    <row r="56" spans="1:12" ht="14.25">
      <c r="A56" s="385" t="s">
        <v>113</v>
      </c>
      <c r="B56" s="385"/>
      <c r="C56" s="385"/>
      <c r="D56" s="77">
        <v>3</v>
      </c>
      <c r="E56" s="222"/>
      <c r="F56" s="223">
        <f t="shared" si="0"/>
        <v>-3</v>
      </c>
      <c r="G56" s="224">
        <f t="shared" si="1"/>
        <v>0</v>
      </c>
      <c r="H56" s="218"/>
      <c r="I56" s="72"/>
      <c r="J56" s="219">
        <f t="shared" si="4"/>
        <v>0</v>
      </c>
      <c r="K56" s="225">
        <f t="shared" si="2"/>
        <v>0</v>
      </c>
      <c r="L56" s="226"/>
    </row>
    <row r="57" spans="1:12" ht="14.25">
      <c r="A57" s="385" t="s">
        <v>114</v>
      </c>
      <c r="B57" s="385"/>
      <c r="C57" s="385"/>
      <c r="D57" s="77">
        <v>2561</v>
      </c>
      <c r="E57" s="222">
        <v>2507</v>
      </c>
      <c r="F57" s="223">
        <f t="shared" si="0"/>
        <v>-54</v>
      </c>
      <c r="G57" s="224">
        <f t="shared" si="1"/>
        <v>0.9789144865286997</v>
      </c>
      <c r="H57" s="218">
        <v>2330</v>
      </c>
      <c r="I57" s="72">
        <v>100</v>
      </c>
      <c r="J57" s="219">
        <f t="shared" si="4"/>
        <v>2430</v>
      </c>
      <c r="K57" s="225">
        <f t="shared" si="2"/>
        <v>-77</v>
      </c>
      <c r="L57" s="226">
        <f t="shared" si="3"/>
        <v>0.9692859992022338</v>
      </c>
    </row>
    <row r="58" spans="1:12" ht="14.25">
      <c r="A58" s="385" t="s">
        <v>162</v>
      </c>
      <c r="B58" s="385"/>
      <c r="C58" s="385"/>
      <c r="D58" s="77"/>
      <c r="E58" s="222">
        <v>43</v>
      </c>
      <c r="F58" s="223">
        <f t="shared" si="0"/>
        <v>43</v>
      </c>
      <c r="G58" s="224"/>
      <c r="H58" s="218">
        <v>43</v>
      </c>
      <c r="I58" s="72"/>
      <c r="J58" s="219">
        <f t="shared" si="4"/>
        <v>43</v>
      </c>
      <c r="K58" s="225">
        <f t="shared" si="2"/>
        <v>0</v>
      </c>
      <c r="L58" s="226">
        <f t="shared" si="3"/>
        <v>1</v>
      </c>
    </row>
    <row r="59" spans="1:12" ht="15" thickBot="1">
      <c r="A59" s="402" t="s">
        <v>116</v>
      </c>
      <c r="B59" s="402"/>
      <c r="C59" s="402"/>
      <c r="D59" s="227"/>
      <c r="E59" s="228"/>
      <c r="F59" s="229">
        <f t="shared" si="0"/>
        <v>0</v>
      </c>
      <c r="G59" s="230"/>
      <c r="H59" s="231"/>
      <c r="I59" s="232"/>
      <c r="J59" s="233">
        <f t="shared" si="4"/>
        <v>0</v>
      </c>
      <c r="K59" s="234">
        <f t="shared" si="2"/>
        <v>0</v>
      </c>
      <c r="L59" s="235"/>
    </row>
    <row r="60" spans="1:12" ht="15.75" thickBot="1">
      <c r="A60" s="387" t="s">
        <v>117</v>
      </c>
      <c r="B60" s="387"/>
      <c r="C60" s="387"/>
      <c r="D60" s="236">
        <v>68165</v>
      </c>
      <c r="E60" s="237">
        <f>SUM(E28+E34+E41+E42+E43+E44+E48+E53+E54+E55+E57+E58)</f>
        <v>71495</v>
      </c>
      <c r="F60" s="238">
        <f t="shared" si="0"/>
        <v>3330</v>
      </c>
      <c r="G60" s="239">
        <f t="shared" si="1"/>
        <v>1.048852050172376</v>
      </c>
      <c r="H60" s="240">
        <f>SUM(H28+H34+H41+H42+H43+H44+H48+H53+H54+H55+H57+H58)</f>
        <v>69460</v>
      </c>
      <c r="I60" s="241">
        <f>SUM(I28+I34+I41+I42+I43+I44+I48+I53+I54+I55+I57)</f>
        <v>1436</v>
      </c>
      <c r="J60" s="242">
        <f t="shared" si="4"/>
        <v>70896</v>
      </c>
      <c r="K60" s="240">
        <f t="shared" si="2"/>
        <v>-599</v>
      </c>
      <c r="L60" s="243">
        <f t="shared" si="3"/>
        <v>0.9916217917336877</v>
      </c>
    </row>
    <row r="61" spans="1:14" ht="15">
      <c r="A61" s="403" t="s">
        <v>17</v>
      </c>
      <c r="B61" s="403"/>
      <c r="C61" s="403"/>
      <c r="D61" s="96">
        <f>SUM(D27-D60)</f>
        <v>0</v>
      </c>
      <c r="E61" s="96">
        <f>SUM(E27-E60)</f>
        <v>0</v>
      </c>
      <c r="F61" s="96">
        <f>SUM(F27-F60)</f>
        <v>0</v>
      </c>
      <c r="G61" s="96"/>
      <c r="H61" s="96">
        <f>SUM(H27-H60)</f>
        <v>-3548</v>
      </c>
      <c r="I61" s="96">
        <f>SUM(I27-I60)</f>
        <v>293</v>
      </c>
      <c r="J61" s="96">
        <f>SUM(J27-J60)</f>
        <v>-3255</v>
      </c>
      <c r="K61" s="115"/>
      <c r="L61" s="115"/>
      <c r="N61" s="8"/>
    </row>
    <row r="62" spans="1:14" ht="15">
      <c r="A62" s="403" t="s">
        <v>18</v>
      </c>
      <c r="B62" s="403"/>
      <c r="C62" s="403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ht="15.75" thickBot="1">
      <c r="A67" s="382" t="s">
        <v>173</v>
      </c>
      <c r="B67" s="382"/>
      <c r="C67" s="13">
        <v>130</v>
      </c>
      <c r="D67" s="14"/>
      <c r="E67" s="382" t="s">
        <v>178</v>
      </c>
      <c r="F67" s="382"/>
      <c r="G67" s="382"/>
      <c r="H67" s="382"/>
      <c r="I67" s="15">
        <v>650</v>
      </c>
      <c r="J67" s="11"/>
      <c r="K67" s="11"/>
      <c r="L67" s="11"/>
      <c r="M67" s="11"/>
      <c r="N67" s="113" t="s">
        <v>122</v>
      </c>
    </row>
    <row r="68" spans="1:14" ht="15">
      <c r="A68" s="382" t="s">
        <v>174</v>
      </c>
      <c r="B68" s="382"/>
      <c r="C68" s="13">
        <v>100</v>
      </c>
      <c r="D68" s="14"/>
      <c r="E68" s="380" t="s">
        <v>179</v>
      </c>
      <c r="F68" s="380"/>
      <c r="G68" s="380"/>
      <c r="H68" s="380"/>
      <c r="I68" s="16">
        <v>135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ht="15">
      <c r="A69" s="382" t="s">
        <v>175</v>
      </c>
      <c r="B69" s="382"/>
      <c r="C69" s="13">
        <v>160</v>
      </c>
      <c r="D69" s="14"/>
      <c r="E69" s="380" t="s">
        <v>214</v>
      </c>
      <c r="F69" s="380"/>
      <c r="G69" s="380"/>
      <c r="H69" s="380"/>
      <c r="I69" s="16">
        <v>646</v>
      </c>
      <c r="J69" s="11"/>
      <c r="K69" s="21" t="s">
        <v>45</v>
      </c>
      <c r="L69" s="22"/>
      <c r="M69" s="23"/>
      <c r="N69" s="24"/>
    </row>
    <row r="70" spans="1:14" ht="15">
      <c r="A70" s="382" t="s">
        <v>176</v>
      </c>
      <c r="B70" s="382"/>
      <c r="C70" s="13">
        <v>150</v>
      </c>
      <c r="D70" s="14"/>
      <c r="E70" s="380"/>
      <c r="F70" s="380"/>
      <c r="G70" s="380"/>
      <c r="H70" s="380"/>
      <c r="I70" s="16"/>
      <c r="J70" s="11"/>
      <c r="K70" s="21" t="s">
        <v>21</v>
      </c>
      <c r="L70" s="25"/>
      <c r="M70" s="26">
        <v>0</v>
      </c>
      <c r="N70" s="27">
        <v>0</v>
      </c>
    </row>
    <row r="71" spans="1:14" ht="15.75" thickBot="1">
      <c r="A71" s="383" t="s">
        <v>177</v>
      </c>
      <c r="B71" s="384"/>
      <c r="C71" s="15">
        <v>1486</v>
      </c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ht="15.75" thickBot="1">
      <c r="A75" s="405" t="s">
        <v>12</v>
      </c>
      <c r="B75" s="406"/>
      <c r="C75" s="35">
        <f>SUM(C67:C73)</f>
        <v>2026</v>
      </c>
      <c r="D75" s="36"/>
      <c r="E75" s="404" t="s">
        <v>12</v>
      </c>
      <c r="F75" s="404"/>
      <c r="G75" s="404"/>
      <c r="H75" s="404"/>
      <c r="I75" s="37">
        <f>SUM(I67:I74)</f>
        <v>1431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6">
        <f>'[1]odpisy 2011'!$B$15/1000</f>
        <v>149846.0289</v>
      </c>
      <c r="B81" s="46">
        <f>'[1]odpisy 2011'!$D$15/1000</f>
        <v>39755.52547</v>
      </c>
      <c r="C81" s="47">
        <f>'[1]odpisy 2011'!$E$15/1000</f>
        <v>2430.182</v>
      </c>
      <c r="D81" s="48">
        <f>'[1]odpisy 2011'!$E$9/1000</f>
        <v>195.768</v>
      </c>
      <c r="E81" s="48">
        <f>'[1]odpisy 2011'!$E$10/1000</f>
        <v>643.034</v>
      </c>
      <c r="F81" s="48">
        <f>'[1]odpisy 2011'!$E$11/1000</f>
        <v>103.704</v>
      </c>
      <c r="G81" s="48">
        <f>'[1]odpisy 2011'!$E$12/1000</f>
        <v>346.212</v>
      </c>
      <c r="H81" s="49">
        <f>'[1]odpisy 2011'!$E$13/1000</f>
        <v>1141.464</v>
      </c>
      <c r="I81" s="50"/>
      <c r="J81" s="51">
        <f>'[1]odpisy 2011'!$F$15/1000</f>
        <v>107660.32115999999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12940.33</v>
      </c>
      <c r="C86" s="61" t="s">
        <v>38</v>
      </c>
      <c r="D86" s="62" t="s">
        <v>38</v>
      </c>
      <c r="E86" s="62" t="s">
        <v>38</v>
      </c>
      <c r="F86" s="63"/>
      <c r="G86" s="64">
        <v>10097.77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342.18</v>
      </c>
      <c r="C87" s="71">
        <f>342</f>
        <v>342</v>
      </c>
      <c r="D87" s="72">
        <v>0</v>
      </c>
      <c r="E87" s="72">
        <v>13</v>
      </c>
      <c r="F87" s="73">
        <f>C87-E87</f>
        <v>329</v>
      </c>
      <c r="G87" s="74">
        <v>328.69</v>
      </c>
      <c r="H87" s="75">
        <f>+G87-F87</f>
        <v>-0.3100000000000023</v>
      </c>
      <c r="I87" s="71">
        <v>329</v>
      </c>
      <c r="J87" s="72">
        <v>0</v>
      </c>
      <c r="K87" s="72">
        <v>0</v>
      </c>
      <c r="L87" s="73">
        <f>I87-K87</f>
        <v>329</v>
      </c>
      <c r="M87" s="76"/>
    </row>
    <row r="88" spans="1:13" s="10" customFormat="1" ht="15">
      <c r="A88" s="69" t="s">
        <v>40</v>
      </c>
      <c r="B88" s="70">
        <v>2611.6</v>
      </c>
      <c r="C88" s="71">
        <f>1833+779</f>
        <v>2612</v>
      </c>
      <c r="D88" s="72">
        <v>16</v>
      </c>
      <c r="E88" s="72">
        <f>106+150</f>
        <v>256</v>
      </c>
      <c r="F88" s="73">
        <f>C88+D88-E88</f>
        <v>2372</v>
      </c>
      <c r="G88" s="74">
        <v>2372.06</v>
      </c>
      <c r="H88" s="75">
        <f>+G88-F88</f>
        <v>0.05999999999994543</v>
      </c>
      <c r="I88" s="71">
        <f>1727+645</f>
        <v>2372</v>
      </c>
      <c r="J88" s="72">
        <v>10</v>
      </c>
      <c r="K88" s="72">
        <v>149</v>
      </c>
      <c r="L88" s="73">
        <f>I88+J88-K88</f>
        <v>2233</v>
      </c>
      <c r="M88" s="76"/>
    </row>
    <row r="89" spans="1:13" s="10" customFormat="1" ht="15">
      <c r="A89" s="69" t="s">
        <v>44</v>
      </c>
      <c r="B89" s="70">
        <v>5100.13</v>
      </c>
      <c r="C89" s="71">
        <v>5100</v>
      </c>
      <c r="D89" s="72">
        <v>2507</v>
      </c>
      <c r="E89" s="72">
        <v>4322</v>
      </c>
      <c r="F89" s="73">
        <f>C89+D89-E89</f>
        <v>3285</v>
      </c>
      <c r="G89" s="74">
        <v>3284.84</v>
      </c>
      <c r="H89" s="75">
        <f>+G89-F89</f>
        <v>-0.15999999999985448</v>
      </c>
      <c r="I89" s="77">
        <v>3285</v>
      </c>
      <c r="J89" s="78">
        <v>2430</v>
      </c>
      <c r="K89" s="78">
        <v>2026</v>
      </c>
      <c r="L89" s="73">
        <f>I89+J89-K89</f>
        <v>3689</v>
      </c>
      <c r="M89" s="76"/>
    </row>
    <row r="90" spans="1:13" s="10" customFormat="1" ht="15">
      <c r="A90" s="69" t="s">
        <v>41</v>
      </c>
      <c r="B90" s="70">
        <v>4886.42</v>
      </c>
      <c r="C90" s="79" t="s">
        <v>38</v>
      </c>
      <c r="D90" s="62" t="s">
        <v>38</v>
      </c>
      <c r="E90" s="80" t="s">
        <v>38</v>
      </c>
      <c r="F90" s="73"/>
      <c r="G90" s="74">
        <v>4112.18</v>
      </c>
      <c r="H90" s="81" t="s">
        <v>38</v>
      </c>
      <c r="I90" s="79" t="s">
        <v>38</v>
      </c>
      <c r="J90" s="62" t="s">
        <v>38</v>
      </c>
      <c r="K90" s="80" t="s">
        <v>38</v>
      </c>
      <c r="L90" s="107" t="s">
        <v>38</v>
      </c>
      <c r="M90" s="76"/>
    </row>
    <row r="91" spans="1:13" s="10" customFormat="1" ht="15.75" thickBot="1">
      <c r="A91" s="82" t="s">
        <v>42</v>
      </c>
      <c r="B91" s="83">
        <v>314.3</v>
      </c>
      <c r="C91" s="84">
        <v>356</v>
      </c>
      <c r="D91" s="85">
        <v>774</v>
      </c>
      <c r="E91" s="85">
        <v>824</v>
      </c>
      <c r="F91" s="106">
        <v>306</v>
      </c>
      <c r="G91" s="109">
        <v>258.55</v>
      </c>
      <c r="H91" s="110">
        <f>+G91-F91</f>
        <v>-47.44999999999999</v>
      </c>
      <c r="I91" s="111">
        <v>306</v>
      </c>
      <c r="J91" s="112">
        <v>387</v>
      </c>
      <c r="K91" s="112">
        <v>423</v>
      </c>
      <c r="L91" s="106">
        <f>I91+J91-K91</f>
        <v>270</v>
      </c>
      <c r="M91" s="76"/>
    </row>
    <row r="94" spans="1:11" ht="15.75" thickBot="1">
      <c r="A94" s="5" t="s">
        <v>146</v>
      </c>
      <c r="K94" s="40" t="s">
        <v>46</v>
      </c>
    </row>
    <row r="95" spans="1:1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ht="15">
      <c r="A97" s="89">
        <v>2010</v>
      </c>
      <c r="B97" s="90">
        <v>144</v>
      </c>
      <c r="C97" s="91">
        <v>142</v>
      </c>
      <c r="D97" s="149"/>
      <c r="E97" s="89">
        <v>2010</v>
      </c>
      <c r="F97" s="418">
        <v>172</v>
      </c>
      <c r="G97" s="418"/>
      <c r="I97" s="89">
        <v>2010</v>
      </c>
      <c r="J97" s="90">
        <v>38675</v>
      </c>
      <c r="K97" s="91">
        <v>38688</v>
      </c>
    </row>
    <row r="98" spans="1:11" ht="15.75" thickBot="1">
      <c r="A98" s="92">
        <v>2011</v>
      </c>
      <c r="B98" s="93">
        <v>144</v>
      </c>
      <c r="C98" s="108" t="s">
        <v>62</v>
      </c>
      <c r="D98" s="149"/>
      <c r="E98" s="92">
        <v>2011</v>
      </c>
      <c r="F98" s="419">
        <v>174</v>
      </c>
      <c r="G98" s="419"/>
      <c r="I98" s="92">
        <v>2011</v>
      </c>
      <c r="J98" s="93">
        <v>38675</v>
      </c>
      <c r="K98" s="108" t="s">
        <v>62</v>
      </c>
    </row>
  </sheetData>
  <mergeCells count="104">
    <mergeCell ref="I84:L84"/>
    <mergeCell ref="B84:B85"/>
    <mergeCell ref="C84:F84"/>
    <mergeCell ref="G84:G85"/>
    <mergeCell ref="H84:H85"/>
    <mergeCell ref="F96:G96"/>
    <mergeCell ref="F97:G97"/>
    <mergeCell ref="F98:G98"/>
    <mergeCell ref="A65:B66"/>
    <mergeCell ref="C65:C66"/>
    <mergeCell ref="E65:H66"/>
    <mergeCell ref="A67:B67"/>
    <mergeCell ref="E67:H67"/>
    <mergeCell ref="A78:A80"/>
    <mergeCell ref="B78:B80"/>
    <mergeCell ref="A62:C62"/>
    <mergeCell ref="A95:C95"/>
    <mergeCell ref="E95:G95"/>
    <mergeCell ref="I95:K95"/>
    <mergeCell ref="I65:I66"/>
    <mergeCell ref="C78:I78"/>
    <mergeCell ref="J78:J80"/>
    <mergeCell ref="C79:C80"/>
    <mergeCell ref="D79:I79"/>
    <mergeCell ref="A84:A85"/>
    <mergeCell ref="A2:N2"/>
    <mergeCell ref="A3:G3"/>
    <mergeCell ref="E73:H73"/>
    <mergeCell ref="A73:B73"/>
    <mergeCell ref="A50:C50"/>
    <mergeCell ref="A51:C51"/>
    <mergeCell ref="A52:C52"/>
    <mergeCell ref="A57:C57"/>
    <mergeCell ref="E71:H71"/>
    <mergeCell ref="E72:H72"/>
    <mergeCell ref="E75:H75"/>
    <mergeCell ref="A72:B72"/>
    <mergeCell ref="A74:B74"/>
    <mergeCell ref="A75:B75"/>
    <mergeCell ref="A58:C58"/>
    <mergeCell ref="A59:C59"/>
    <mergeCell ref="A60:C60"/>
    <mergeCell ref="A61:C61"/>
    <mergeCell ref="H4:J4"/>
    <mergeCell ref="K4:L4"/>
    <mergeCell ref="E4:E6"/>
    <mergeCell ref="F4:G4"/>
    <mergeCell ref="A8:C8"/>
    <mergeCell ref="A9:C9"/>
    <mergeCell ref="A4:C6"/>
    <mergeCell ref="D4:D6"/>
    <mergeCell ref="A7:C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3:C53"/>
    <mergeCell ref="A54:C54"/>
    <mergeCell ref="A55:C55"/>
    <mergeCell ref="A56:C56"/>
    <mergeCell ref="E70:H70"/>
    <mergeCell ref="E74:H74"/>
    <mergeCell ref="A68:B68"/>
    <mergeCell ref="A69:B69"/>
    <mergeCell ref="A70:B70"/>
    <mergeCell ref="A71:B71"/>
    <mergeCell ref="E68:H68"/>
    <mergeCell ref="E69:H69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0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M96" sqref="M96"/>
    </sheetView>
  </sheetViews>
  <sheetFormatPr defaultColWidth="9.00390625" defaultRowHeight="12.75"/>
  <cols>
    <col min="1" max="1" width="27.875" style="138" customWidth="1"/>
    <col min="2" max="2" width="19.875" style="138" customWidth="1"/>
    <col min="3" max="3" width="13.75390625" style="138" customWidth="1"/>
    <col min="4" max="4" width="11.875" style="154" customWidth="1"/>
    <col min="5" max="5" width="11.875" style="147" customWidth="1"/>
    <col min="6" max="6" width="14.75390625" style="138" customWidth="1"/>
    <col min="7" max="12" width="11.87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135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7416</v>
      </c>
      <c r="E7" s="169">
        <v>7526</v>
      </c>
      <c r="F7" s="170">
        <f>E7-D7</f>
        <v>110</v>
      </c>
      <c r="G7" s="171">
        <f>E7/D7</f>
        <v>1.0148327939590076</v>
      </c>
      <c r="H7" s="172">
        <v>7534</v>
      </c>
      <c r="I7" s="173"/>
      <c r="J7" s="174">
        <f>H7+I7</f>
        <v>7534</v>
      </c>
      <c r="K7" s="175">
        <f>J7-E7</f>
        <v>8</v>
      </c>
      <c r="L7" s="176">
        <f>J7/E7</f>
        <v>1.0010629816635663</v>
      </c>
    </row>
    <row r="8" spans="1:12" ht="14.25">
      <c r="A8" s="465" t="s">
        <v>66</v>
      </c>
      <c r="B8" s="465"/>
      <c r="C8" s="465"/>
      <c r="D8" s="143">
        <v>4222</v>
      </c>
      <c r="E8" s="140">
        <v>4380</v>
      </c>
      <c r="F8" s="160">
        <f aca="true" t="shared" si="0" ref="F8:F60">E8-D8</f>
        <v>158</v>
      </c>
      <c r="G8" s="161">
        <f aca="true" t="shared" si="1" ref="G8:G60">E8/D8</f>
        <v>1.0374230222643297</v>
      </c>
      <c r="H8" s="141">
        <v>4500</v>
      </c>
      <c r="I8" s="142"/>
      <c r="J8" s="174">
        <f aca="true" t="shared" si="2" ref="J8:J60">H8+I8</f>
        <v>4500</v>
      </c>
      <c r="K8" s="164">
        <f aca="true" t="shared" si="3" ref="K8:K60">J8-E8</f>
        <v>120</v>
      </c>
      <c r="L8" s="165">
        <f aca="true" t="shared" si="4" ref="L8:L60">J8/E8</f>
        <v>1.0273972602739727</v>
      </c>
    </row>
    <row r="9" spans="1:12" ht="14.25">
      <c r="A9" s="465" t="s">
        <v>67</v>
      </c>
      <c r="B9" s="465"/>
      <c r="C9" s="465"/>
      <c r="D9" s="143">
        <v>3009</v>
      </c>
      <c r="E9" s="140">
        <v>2986</v>
      </c>
      <c r="F9" s="160">
        <f t="shared" si="0"/>
        <v>-23</v>
      </c>
      <c r="G9" s="161">
        <f t="shared" si="1"/>
        <v>0.9923562645397142</v>
      </c>
      <c r="H9" s="141">
        <v>2800</v>
      </c>
      <c r="I9" s="142"/>
      <c r="J9" s="174">
        <f t="shared" si="2"/>
        <v>2800</v>
      </c>
      <c r="K9" s="164">
        <f t="shared" si="3"/>
        <v>-186</v>
      </c>
      <c r="L9" s="165">
        <f t="shared" si="4"/>
        <v>0.9377093101138647</v>
      </c>
    </row>
    <row r="10" spans="1:12" ht="14.25">
      <c r="A10" s="465" t="s">
        <v>68</v>
      </c>
      <c r="B10" s="465"/>
      <c r="C10" s="465"/>
      <c r="D10" s="143"/>
      <c r="E10" s="140">
        <v>17</v>
      </c>
      <c r="F10" s="160">
        <f t="shared" si="0"/>
        <v>17</v>
      </c>
      <c r="G10" s="161"/>
      <c r="H10" s="141">
        <v>34</v>
      </c>
      <c r="I10" s="142"/>
      <c r="J10" s="174">
        <f t="shared" si="2"/>
        <v>34</v>
      </c>
      <c r="K10" s="164">
        <f t="shared" si="3"/>
        <v>17</v>
      </c>
      <c r="L10" s="165">
        <f t="shared" si="4"/>
        <v>2</v>
      </c>
    </row>
    <row r="11" spans="1:12" ht="14.25">
      <c r="A11" s="465" t="s">
        <v>69</v>
      </c>
      <c r="B11" s="465"/>
      <c r="C11" s="465"/>
      <c r="D11" s="143">
        <v>47</v>
      </c>
      <c r="E11" s="140"/>
      <c r="F11" s="160">
        <f t="shared" si="0"/>
        <v>-47</v>
      </c>
      <c r="G11" s="161">
        <f t="shared" si="1"/>
        <v>0</v>
      </c>
      <c r="H11" s="141">
        <v>50</v>
      </c>
      <c r="I11" s="142"/>
      <c r="J11" s="174">
        <f t="shared" si="2"/>
        <v>50</v>
      </c>
      <c r="K11" s="164">
        <f t="shared" si="3"/>
        <v>50</v>
      </c>
      <c r="L11" s="165"/>
    </row>
    <row r="12" spans="1:12" ht="14.25">
      <c r="A12" s="465" t="s">
        <v>70</v>
      </c>
      <c r="B12" s="465"/>
      <c r="C12" s="465"/>
      <c r="D12" s="143">
        <v>138</v>
      </c>
      <c r="E12" s="140">
        <v>143</v>
      </c>
      <c r="F12" s="160">
        <f t="shared" si="0"/>
        <v>5</v>
      </c>
      <c r="G12" s="161">
        <f t="shared" si="1"/>
        <v>1.036231884057971</v>
      </c>
      <c r="H12" s="141">
        <v>150</v>
      </c>
      <c r="I12" s="142"/>
      <c r="J12" s="174">
        <f t="shared" si="2"/>
        <v>150</v>
      </c>
      <c r="K12" s="164">
        <f t="shared" si="3"/>
        <v>7</v>
      </c>
      <c r="L12" s="165">
        <f t="shared" si="4"/>
        <v>1.048951048951049</v>
      </c>
    </row>
    <row r="13" spans="1:12" ht="14.25">
      <c r="A13" s="465" t="s">
        <v>71</v>
      </c>
      <c r="B13" s="465"/>
      <c r="C13" s="465"/>
      <c r="D13" s="143"/>
      <c r="E13" s="140"/>
      <c r="F13" s="160">
        <f t="shared" si="0"/>
        <v>0</v>
      </c>
      <c r="G13" s="161"/>
      <c r="H13" s="141"/>
      <c r="I13" s="142"/>
      <c r="J13" s="174">
        <f t="shared" si="2"/>
        <v>0</v>
      </c>
      <c r="K13" s="164">
        <f t="shared" si="3"/>
        <v>0</v>
      </c>
      <c r="L13" s="165"/>
    </row>
    <row r="14" spans="1:20" ht="15">
      <c r="A14" s="456" t="s">
        <v>72</v>
      </c>
      <c r="B14" s="456"/>
      <c r="C14" s="456"/>
      <c r="D14" s="143"/>
      <c r="E14" s="177"/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/>
      <c r="E15" s="140"/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/>
      <c r="E16" s="140">
        <v>207</v>
      </c>
      <c r="F16" s="160">
        <f t="shared" si="0"/>
        <v>207</v>
      </c>
      <c r="G16" s="161"/>
      <c r="H16" s="141">
        <v>200</v>
      </c>
      <c r="I16" s="142"/>
      <c r="J16" s="174">
        <f t="shared" si="2"/>
        <v>200</v>
      </c>
      <c r="K16" s="164">
        <f t="shared" si="3"/>
        <v>-7</v>
      </c>
      <c r="L16" s="165">
        <f t="shared" si="4"/>
        <v>0.966183574879227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/>
      <c r="E17" s="140">
        <v>207</v>
      </c>
      <c r="F17" s="160">
        <f t="shared" si="0"/>
        <v>207</v>
      </c>
      <c r="G17" s="161"/>
      <c r="H17" s="141">
        <v>200</v>
      </c>
      <c r="I17" s="142"/>
      <c r="J17" s="174">
        <f t="shared" si="2"/>
        <v>200</v>
      </c>
      <c r="K17" s="164">
        <f t="shared" si="3"/>
        <v>-7</v>
      </c>
      <c r="L17" s="165">
        <f t="shared" si="4"/>
        <v>0.966183574879227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/>
      <c r="E20" s="140"/>
      <c r="F20" s="160">
        <f t="shared" si="0"/>
        <v>0</v>
      </c>
      <c r="G20" s="161"/>
      <c r="H20" s="141"/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2902</v>
      </c>
      <c r="E22" s="177">
        <v>3001</v>
      </c>
      <c r="F22" s="160">
        <f t="shared" si="0"/>
        <v>99</v>
      </c>
      <c r="G22" s="161">
        <f t="shared" si="1"/>
        <v>1.0341144038594072</v>
      </c>
      <c r="H22" s="172">
        <v>3261</v>
      </c>
      <c r="I22" s="173"/>
      <c r="J22" s="174">
        <f t="shared" si="2"/>
        <v>3261</v>
      </c>
      <c r="K22" s="164">
        <f t="shared" si="3"/>
        <v>260</v>
      </c>
      <c r="L22" s="165">
        <f t="shared" si="4"/>
        <v>1.0866377874041986</v>
      </c>
    </row>
    <row r="23" spans="1:12" ht="14.25">
      <c r="A23" s="456" t="s">
        <v>81</v>
      </c>
      <c r="B23" s="456"/>
      <c r="C23" s="456"/>
      <c r="D23" s="143">
        <v>612</v>
      </c>
      <c r="E23" s="140">
        <v>711</v>
      </c>
      <c r="F23" s="160">
        <f t="shared" si="0"/>
        <v>99</v>
      </c>
      <c r="G23" s="161">
        <f t="shared" si="1"/>
        <v>1.161764705882353</v>
      </c>
      <c r="H23" s="141">
        <v>711</v>
      </c>
      <c r="I23" s="142"/>
      <c r="J23" s="174">
        <f t="shared" si="2"/>
        <v>711</v>
      </c>
      <c r="K23" s="164">
        <f t="shared" si="3"/>
        <v>0</v>
      </c>
      <c r="L23" s="165">
        <f t="shared" si="4"/>
        <v>1</v>
      </c>
    </row>
    <row r="24" spans="1:12" ht="14.25">
      <c r="A24" s="456" t="s">
        <v>82</v>
      </c>
      <c r="B24" s="456"/>
      <c r="C24" s="456"/>
      <c r="D24" s="143">
        <v>2290</v>
      </c>
      <c r="E24" s="140">
        <v>2290</v>
      </c>
      <c r="F24" s="160">
        <f t="shared" si="0"/>
        <v>0</v>
      </c>
      <c r="G24" s="161">
        <f t="shared" si="1"/>
        <v>1</v>
      </c>
      <c r="H24" s="141">
        <v>2550</v>
      </c>
      <c r="I24" s="142"/>
      <c r="J24" s="174">
        <f t="shared" si="2"/>
        <v>2550</v>
      </c>
      <c r="K24" s="164">
        <f t="shared" si="3"/>
        <v>260</v>
      </c>
      <c r="L24" s="165">
        <f t="shared" si="4"/>
        <v>1.1135371179039302</v>
      </c>
    </row>
    <row r="25" spans="1:12" ht="14.25">
      <c r="A25" s="456" t="s">
        <v>83</v>
      </c>
      <c r="B25" s="456"/>
      <c r="C25" s="456"/>
      <c r="D25" s="143"/>
      <c r="E25" s="140"/>
      <c r="F25" s="160">
        <f t="shared" si="0"/>
        <v>0</v>
      </c>
      <c r="G25" s="161"/>
      <c r="H25" s="141"/>
      <c r="I25" s="142"/>
      <c r="J25" s="174">
        <f t="shared" si="2"/>
        <v>0</v>
      </c>
      <c r="K25" s="164">
        <f t="shared" si="3"/>
        <v>0</v>
      </c>
      <c r="L25" s="165"/>
    </row>
    <row r="26" spans="1:12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10318</v>
      </c>
      <c r="E27" s="180">
        <v>10734</v>
      </c>
      <c r="F27" s="181">
        <f t="shared" si="0"/>
        <v>416</v>
      </c>
      <c r="G27" s="182">
        <f t="shared" si="1"/>
        <v>1.0403178910641597</v>
      </c>
      <c r="H27" s="183">
        <v>10995</v>
      </c>
      <c r="I27" s="184"/>
      <c r="J27" s="185">
        <f t="shared" si="2"/>
        <v>10995</v>
      </c>
      <c r="K27" s="183">
        <f t="shared" si="3"/>
        <v>261</v>
      </c>
      <c r="L27" s="186">
        <f t="shared" si="4"/>
        <v>1.024315259921744</v>
      </c>
    </row>
    <row r="28" spans="1:12" ht="14.25">
      <c r="A28" s="495" t="s">
        <v>85</v>
      </c>
      <c r="B28" s="495"/>
      <c r="C28" s="495"/>
      <c r="D28" s="187">
        <v>1968</v>
      </c>
      <c r="E28" s="188">
        <v>2429</v>
      </c>
      <c r="F28" s="189">
        <f t="shared" si="0"/>
        <v>461</v>
      </c>
      <c r="G28" s="190">
        <f t="shared" si="1"/>
        <v>1.2342479674796747</v>
      </c>
      <c r="H28" s="191">
        <v>2280</v>
      </c>
      <c r="I28" s="192"/>
      <c r="J28" s="193">
        <f t="shared" si="2"/>
        <v>2280</v>
      </c>
      <c r="K28" s="194">
        <f t="shared" si="3"/>
        <v>-149</v>
      </c>
      <c r="L28" s="195">
        <f t="shared" si="4"/>
        <v>0.9386578839028407</v>
      </c>
    </row>
    <row r="29" spans="1:12" ht="14.25">
      <c r="A29" s="441" t="s">
        <v>86</v>
      </c>
      <c r="B29" s="441"/>
      <c r="C29" s="441"/>
      <c r="D29" s="143">
        <v>1113</v>
      </c>
      <c r="E29" s="140">
        <v>1278</v>
      </c>
      <c r="F29" s="160">
        <f t="shared" si="0"/>
        <v>165</v>
      </c>
      <c r="G29" s="161">
        <f t="shared" si="1"/>
        <v>1.1482479784366577</v>
      </c>
      <c r="H29" s="141">
        <v>1400</v>
      </c>
      <c r="I29" s="142"/>
      <c r="J29" s="174">
        <f t="shared" si="2"/>
        <v>1400</v>
      </c>
      <c r="K29" s="164">
        <f t="shared" si="3"/>
        <v>122</v>
      </c>
      <c r="L29" s="165">
        <f t="shared" si="4"/>
        <v>1.0954616588419406</v>
      </c>
    </row>
    <row r="30" spans="1:12" ht="14.25">
      <c r="A30" s="441" t="s">
        <v>87</v>
      </c>
      <c r="B30" s="441"/>
      <c r="C30" s="441"/>
      <c r="D30" s="143">
        <v>63</v>
      </c>
      <c r="E30" s="140">
        <v>78</v>
      </c>
      <c r="F30" s="160">
        <f t="shared" si="0"/>
        <v>15</v>
      </c>
      <c r="G30" s="161">
        <f t="shared" si="1"/>
        <v>1.2380952380952381</v>
      </c>
      <c r="H30" s="141">
        <v>80</v>
      </c>
      <c r="I30" s="142"/>
      <c r="J30" s="174">
        <f t="shared" si="2"/>
        <v>80</v>
      </c>
      <c r="K30" s="164">
        <f t="shared" si="3"/>
        <v>2</v>
      </c>
      <c r="L30" s="165">
        <f t="shared" si="4"/>
        <v>1.0256410256410255</v>
      </c>
    </row>
    <row r="31" spans="1:12" ht="14.25">
      <c r="A31" s="441" t="s">
        <v>88</v>
      </c>
      <c r="B31" s="441"/>
      <c r="C31" s="441"/>
      <c r="D31" s="143">
        <v>274</v>
      </c>
      <c r="E31" s="140">
        <v>419</v>
      </c>
      <c r="F31" s="160">
        <f t="shared" si="0"/>
        <v>145</v>
      </c>
      <c r="G31" s="161">
        <f t="shared" si="1"/>
        <v>1.5291970802919708</v>
      </c>
      <c r="H31" s="141">
        <v>200</v>
      </c>
      <c r="I31" s="142"/>
      <c r="J31" s="174">
        <f t="shared" si="2"/>
        <v>200</v>
      </c>
      <c r="K31" s="164">
        <f t="shared" si="3"/>
        <v>-219</v>
      </c>
      <c r="L31" s="165">
        <f t="shared" si="4"/>
        <v>0.477326968973747</v>
      </c>
    </row>
    <row r="32" spans="1:12" ht="14.25">
      <c r="A32" s="441" t="s">
        <v>89</v>
      </c>
      <c r="B32" s="441"/>
      <c r="C32" s="441"/>
      <c r="D32" s="143">
        <v>164</v>
      </c>
      <c r="E32" s="140">
        <v>557</v>
      </c>
      <c r="F32" s="160">
        <f t="shared" si="0"/>
        <v>393</v>
      </c>
      <c r="G32" s="161">
        <f t="shared" si="1"/>
        <v>3.3963414634146343</v>
      </c>
      <c r="H32" s="141">
        <v>500</v>
      </c>
      <c r="I32" s="142"/>
      <c r="J32" s="174">
        <f t="shared" si="2"/>
        <v>500</v>
      </c>
      <c r="K32" s="164">
        <f t="shared" si="3"/>
        <v>-57</v>
      </c>
      <c r="L32" s="165">
        <f t="shared" si="4"/>
        <v>0.8976660682226212</v>
      </c>
    </row>
    <row r="33" spans="1:12" ht="14.25">
      <c r="A33" s="441" t="s">
        <v>90</v>
      </c>
      <c r="B33" s="441"/>
      <c r="C33" s="441"/>
      <c r="D33" s="143">
        <v>354</v>
      </c>
      <c r="E33" s="140">
        <v>97</v>
      </c>
      <c r="F33" s="160">
        <f t="shared" si="0"/>
        <v>-257</v>
      </c>
      <c r="G33" s="161">
        <f t="shared" si="1"/>
        <v>0.2740112994350282</v>
      </c>
      <c r="H33" s="141">
        <v>100</v>
      </c>
      <c r="I33" s="142"/>
      <c r="J33" s="174">
        <f t="shared" si="2"/>
        <v>100</v>
      </c>
      <c r="K33" s="164">
        <f t="shared" si="3"/>
        <v>3</v>
      </c>
      <c r="L33" s="165">
        <f t="shared" si="4"/>
        <v>1.0309278350515463</v>
      </c>
    </row>
    <row r="34" spans="1:12" ht="14.25">
      <c r="A34" s="441" t="s">
        <v>91</v>
      </c>
      <c r="B34" s="441"/>
      <c r="C34" s="441"/>
      <c r="D34" s="196">
        <v>1259</v>
      </c>
      <c r="E34" s="177">
        <v>886</v>
      </c>
      <c r="F34" s="197">
        <f t="shared" si="0"/>
        <v>-373</v>
      </c>
      <c r="G34" s="198">
        <f t="shared" si="1"/>
        <v>0.7037331215250199</v>
      </c>
      <c r="H34" s="172">
        <v>900</v>
      </c>
      <c r="I34" s="173"/>
      <c r="J34" s="174">
        <f t="shared" si="2"/>
        <v>900</v>
      </c>
      <c r="K34" s="199">
        <f t="shared" si="3"/>
        <v>14</v>
      </c>
      <c r="L34" s="200">
        <f t="shared" si="4"/>
        <v>1.0158013544018059</v>
      </c>
    </row>
    <row r="35" spans="1:12" ht="14.25">
      <c r="A35" s="441" t="s">
        <v>92</v>
      </c>
      <c r="B35" s="441"/>
      <c r="C35" s="441"/>
      <c r="D35" s="143">
        <v>1166</v>
      </c>
      <c r="E35" s="140">
        <v>789</v>
      </c>
      <c r="F35" s="160">
        <f t="shared" si="0"/>
        <v>-377</v>
      </c>
      <c r="G35" s="161">
        <f t="shared" si="1"/>
        <v>0.676672384219554</v>
      </c>
      <c r="H35" s="141">
        <v>800</v>
      </c>
      <c r="I35" s="142"/>
      <c r="J35" s="174">
        <f t="shared" si="2"/>
        <v>800</v>
      </c>
      <c r="K35" s="164">
        <f t="shared" si="3"/>
        <v>11</v>
      </c>
      <c r="L35" s="165">
        <f t="shared" si="4"/>
        <v>1.0139416983523448</v>
      </c>
    </row>
    <row r="36" spans="1:12" ht="14.25">
      <c r="A36" s="441" t="s">
        <v>93</v>
      </c>
      <c r="B36" s="441"/>
      <c r="C36" s="441"/>
      <c r="D36" s="143"/>
      <c r="E36" s="140"/>
      <c r="F36" s="160">
        <f t="shared" si="0"/>
        <v>0</v>
      </c>
      <c r="G36" s="161"/>
      <c r="H36" s="141"/>
      <c r="I36" s="142"/>
      <c r="J36" s="174">
        <f t="shared" si="2"/>
        <v>0</v>
      </c>
      <c r="K36" s="164">
        <f t="shared" si="3"/>
        <v>0</v>
      </c>
      <c r="L36" s="165"/>
    </row>
    <row r="37" spans="1:12" ht="14.25">
      <c r="A37" s="441" t="s">
        <v>94</v>
      </c>
      <c r="B37" s="441"/>
      <c r="C37" s="441"/>
      <c r="D37" s="143"/>
      <c r="E37" s="140"/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93</v>
      </c>
      <c r="E39" s="140">
        <v>97</v>
      </c>
      <c r="F39" s="160">
        <f t="shared" si="0"/>
        <v>4</v>
      </c>
      <c r="G39" s="161">
        <f t="shared" si="1"/>
        <v>1.043010752688172</v>
      </c>
      <c r="H39" s="141">
        <v>100</v>
      </c>
      <c r="I39" s="142"/>
      <c r="J39" s="174">
        <f t="shared" si="2"/>
        <v>100</v>
      </c>
      <c r="K39" s="164">
        <f t="shared" si="3"/>
        <v>3</v>
      </c>
      <c r="L39" s="165">
        <f t="shared" si="4"/>
        <v>1.0309278350515463</v>
      </c>
    </row>
    <row r="40" spans="1:12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333</v>
      </c>
      <c r="E41" s="140">
        <v>207</v>
      </c>
      <c r="F41" s="160">
        <f t="shared" si="0"/>
        <v>-126</v>
      </c>
      <c r="G41" s="161">
        <f t="shared" si="1"/>
        <v>0.6216216216216216</v>
      </c>
      <c r="H41" s="141">
        <v>520</v>
      </c>
      <c r="I41" s="142"/>
      <c r="J41" s="174">
        <f t="shared" si="2"/>
        <v>520</v>
      </c>
      <c r="K41" s="164">
        <f t="shared" si="3"/>
        <v>313</v>
      </c>
      <c r="L41" s="165">
        <f t="shared" si="4"/>
        <v>2.5120772946859904</v>
      </c>
    </row>
    <row r="42" spans="1:12" ht="14.25">
      <c r="A42" s="441" t="s">
        <v>99</v>
      </c>
      <c r="B42" s="441"/>
      <c r="C42" s="441"/>
      <c r="D42" s="143">
        <v>13</v>
      </c>
      <c r="E42" s="140">
        <v>11</v>
      </c>
      <c r="F42" s="160">
        <f t="shared" si="0"/>
        <v>-2</v>
      </c>
      <c r="G42" s="161">
        <f t="shared" si="1"/>
        <v>0.8461538461538461</v>
      </c>
      <c r="H42" s="141">
        <v>20</v>
      </c>
      <c r="I42" s="142"/>
      <c r="J42" s="174">
        <f t="shared" si="2"/>
        <v>20</v>
      </c>
      <c r="K42" s="164">
        <f t="shared" si="3"/>
        <v>9</v>
      </c>
      <c r="L42" s="165">
        <f t="shared" si="4"/>
        <v>1.8181818181818181</v>
      </c>
    </row>
    <row r="43" spans="1:12" ht="14.25">
      <c r="A43" s="441" t="s">
        <v>100</v>
      </c>
      <c r="B43" s="441"/>
      <c r="C43" s="441"/>
      <c r="D43" s="143">
        <v>21</v>
      </c>
      <c r="E43" s="140">
        <v>6</v>
      </c>
      <c r="F43" s="160">
        <f t="shared" si="0"/>
        <v>-15</v>
      </c>
      <c r="G43" s="161">
        <f t="shared" si="1"/>
        <v>0.2857142857142857</v>
      </c>
      <c r="H43" s="141">
        <v>20</v>
      </c>
      <c r="I43" s="142"/>
      <c r="J43" s="174">
        <f t="shared" si="2"/>
        <v>20</v>
      </c>
      <c r="K43" s="164">
        <f t="shared" si="3"/>
        <v>14</v>
      </c>
      <c r="L43" s="165">
        <f t="shared" si="4"/>
        <v>3.3333333333333335</v>
      </c>
    </row>
    <row r="44" spans="1:12" ht="14.25">
      <c r="A44" s="441" t="s">
        <v>101</v>
      </c>
      <c r="B44" s="441"/>
      <c r="C44" s="441"/>
      <c r="D44" s="143">
        <v>472</v>
      </c>
      <c r="E44" s="140">
        <v>448</v>
      </c>
      <c r="F44" s="160">
        <f t="shared" si="0"/>
        <v>-24</v>
      </c>
      <c r="G44" s="161">
        <f t="shared" si="1"/>
        <v>0.9491525423728814</v>
      </c>
      <c r="H44" s="141">
        <v>500</v>
      </c>
      <c r="I44" s="142"/>
      <c r="J44" s="174">
        <f t="shared" si="2"/>
        <v>500</v>
      </c>
      <c r="K44" s="164">
        <f t="shared" si="3"/>
        <v>52</v>
      </c>
      <c r="L44" s="165">
        <f t="shared" si="4"/>
        <v>1.1160714285714286</v>
      </c>
    </row>
    <row r="45" spans="1:15" ht="14.25">
      <c r="A45" s="441" t="s">
        <v>102</v>
      </c>
      <c r="B45" s="441"/>
      <c r="C45" s="441"/>
      <c r="D45" s="143">
        <v>120</v>
      </c>
      <c r="E45" s="140">
        <v>136</v>
      </c>
      <c r="F45" s="160">
        <f t="shared" si="0"/>
        <v>16</v>
      </c>
      <c r="G45" s="161">
        <f t="shared" si="1"/>
        <v>1.1333333333333333</v>
      </c>
      <c r="H45" s="141">
        <v>130</v>
      </c>
      <c r="I45" s="142"/>
      <c r="J45" s="174">
        <f t="shared" si="2"/>
        <v>130</v>
      </c>
      <c r="K45" s="164">
        <f t="shared" si="3"/>
        <v>-6</v>
      </c>
      <c r="L45" s="165">
        <f t="shared" si="4"/>
        <v>0.9558823529411765</v>
      </c>
      <c r="O45" s="147"/>
    </row>
    <row r="46" spans="1:12" ht="14.25">
      <c r="A46" s="441" t="s">
        <v>103</v>
      </c>
      <c r="B46" s="441"/>
      <c r="C46" s="441"/>
      <c r="D46" s="143"/>
      <c r="E46" s="140"/>
      <c r="F46" s="160">
        <f t="shared" si="0"/>
        <v>0</v>
      </c>
      <c r="G46" s="161"/>
      <c r="H46" s="141"/>
      <c r="I46" s="142"/>
      <c r="J46" s="174">
        <f t="shared" si="2"/>
        <v>0</v>
      </c>
      <c r="K46" s="164">
        <f t="shared" si="3"/>
        <v>0</v>
      </c>
      <c r="L46" s="165"/>
    </row>
    <row r="47" spans="1:12" ht="14.25">
      <c r="A47" s="441" t="s">
        <v>104</v>
      </c>
      <c r="B47" s="441"/>
      <c r="C47" s="441"/>
      <c r="D47" s="143">
        <v>352</v>
      </c>
      <c r="E47" s="140">
        <v>312</v>
      </c>
      <c r="F47" s="160">
        <f t="shared" si="0"/>
        <v>-40</v>
      </c>
      <c r="G47" s="161">
        <f t="shared" si="1"/>
        <v>0.8863636363636364</v>
      </c>
      <c r="H47" s="141">
        <v>370</v>
      </c>
      <c r="I47" s="142"/>
      <c r="J47" s="174">
        <f t="shared" si="2"/>
        <v>370</v>
      </c>
      <c r="K47" s="164">
        <f t="shared" si="3"/>
        <v>58</v>
      </c>
      <c r="L47" s="165">
        <f t="shared" si="4"/>
        <v>1.185897435897436</v>
      </c>
    </row>
    <row r="48" spans="1:12" ht="14.25">
      <c r="A48" s="441" t="s">
        <v>105</v>
      </c>
      <c r="B48" s="441"/>
      <c r="C48" s="441"/>
      <c r="D48" s="196">
        <v>5813</v>
      </c>
      <c r="E48" s="177">
        <v>6283</v>
      </c>
      <c r="F48" s="197">
        <f t="shared" si="0"/>
        <v>470</v>
      </c>
      <c r="G48" s="198">
        <f t="shared" si="1"/>
        <v>1.0808532599346292</v>
      </c>
      <c r="H48" s="172">
        <v>6280</v>
      </c>
      <c r="I48" s="173"/>
      <c r="J48" s="174">
        <f t="shared" si="2"/>
        <v>6280</v>
      </c>
      <c r="K48" s="199">
        <f t="shared" si="3"/>
        <v>-3</v>
      </c>
      <c r="L48" s="200">
        <f t="shared" si="4"/>
        <v>0.9995225210886519</v>
      </c>
    </row>
    <row r="49" spans="1:12" ht="14.25">
      <c r="A49" s="441" t="s">
        <v>106</v>
      </c>
      <c r="B49" s="441"/>
      <c r="C49" s="441"/>
      <c r="D49" s="143">
        <v>4384</v>
      </c>
      <c r="E49" s="140">
        <v>4651</v>
      </c>
      <c r="F49" s="160">
        <f t="shared" si="0"/>
        <v>267</v>
      </c>
      <c r="G49" s="161">
        <f t="shared" si="1"/>
        <v>1.060903284671533</v>
      </c>
      <c r="H49" s="141">
        <v>4630</v>
      </c>
      <c r="I49" s="142"/>
      <c r="J49" s="174">
        <f t="shared" si="2"/>
        <v>4630</v>
      </c>
      <c r="K49" s="164">
        <f t="shared" si="3"/>
        <v>-21</v>
      </c>
      <c r="L49" s="165">
        <f t="shared" si="4"/>
        <v>0.995484841969469</v>
      </c>
    </row>
    <row r="50" spans="1:12" ht="14.25">
      <c r="A50" s="441" t="s">
        <v>107</v>
      </c>
      <c r="B50" s="441"/>
      <c r="C50" s="441"/>
      <c r="D50" s="143">
        <v>4225</v>
      </c>
      <c r="E50" s="140">
        <v>4545</v>
      </c>
      <c r="F50" s="160">
        <f t="shared" si="0"/>
        <v>320</v>
      </c>
      <c r="G50" s="161">
        <f t="shared" si="1"/>
        <v>1.0757396449704142</v>
      </c>
      <c r="H50" s="141">
        <v>4530</v>
      </c>
      <c r="I50" s="142"/>
      <c r="J50" s="174">
        <f t="shared" si="2"/>
        <v>4530</v>
      </c>
      <c r="K50" s="164">
        <f t="shared" si="3"/>
        <v>-15</v>
      </c>
      <c r="L50" s="165">
        <f t="shared" si="4"/>
        <v>0.9966996699669967</v>
      </c>
    </row>
    <row r="51" spans="1:12" ht="14.25">
      <c r="A51" s="441" t="s">
        <v>108</v>
      </c>
      <c r="B51" s="441"/>
      <c r="C51" s="441"/>
      <c r="D51" s="143">
        <v>159</v>
      </c>
      <c r="E51" s="140">
        <v>106</v>
      </c>
      <c r="F51" s="160">
        <f t="shared" si="0"/>
        <v>-53</v>
      </c>
      <c r="G51" s="161">
        <f t="shared" si="1"/>
        <v>0.6666666666666666</v>
      </c>
      <c r="H51" s="141">
        <v>100</v>
      </c>
      <c r="I51" s="142"/>
      <c r="J51" s="174">
        <f t="shared" si="2"/>
        <v>100</v>
      </c>
      <c r="K51" s="164">
        <f t="shared" si="3"/>
        <v>-6</v>
      </c>
      <c r="L51" s="165">
        <f t="shared" si="4"/>
        <v>0.9433962264150944</v>
      </c>
    </row>
    <row r="52" spans="1:12" ht="14.25">
      <c r="A52" s="441" t="s">
        <v>109</v>
      </c>
      <c r="B52" s="441"/>
      <c r="C52" s="441"/>
      <c r="D52" s="143">
        <v>1429</v>
      </c>
      <c r="E52" s="140">
        <v>1632</v>
      </c>
      <c r="F52" s="160">
        <f t="shared" si="0"/>
        <v>203</v>
      </c>
      <c r="G52" s="161">
        <f t="shared" si="1"/>
        <v>1.1420573827851646</v>
      </c>
      <c r="H52" s="141">
        <v>1650</v>
      </c>
      <c r="I52" s="142"/>
      <c r="J52" s="174">
        <f t="shared" si="2"/>
        <v>1650</v>
      </c>
      <c r="K52" s="164">
        <f t="shared" si="3"/>
        <v>18</v>
      </c>
      <c r="L52" s="165">
        <f t="shared" si="4"/>
        <v>1.0110294117647058</v>
      </c>
    </row>
    <row r="53" spans="1:12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/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/>
      <c r="E54" s="140"/>
      <c r="F54" s="160">
        <f t="shared" si="0"/>
        <v>0</v>
      </c>
      <c r="G54" s="161"/>
      <c r="H54" s="141"/>
      <c r="I54" s="142"/>
      <c r="J54" s="174">
        <f t="shared" si="2"/>
        <v>0</v>
      </c>
      <c r="K54" s="164">
        <f t="shared" si="3"/>
        <v>0</v>
      </c>
      <c r="L54" s="165"/>
    </row>
    <row r="55" spans="1:12" ht="14.25">
      <c r="A55" s="441" t="s">
        <v>112</v>
      </c>
      <c r="B55" s="441"/>
      <c r="C55" s="441"/>
      <c r="D55" s="143">
        <v>64</v>
      </c>
      <c r="E55" s="140">
        <v>60</v>
      </c>
      <c r="F55" s="160">
        <f t="shared" si="0"/>
        <v>-4</v>
      </c>
      <c r="G55" s="161">
        <f t="shared" si="1"/>
        <v>0.9375</v>
      </c>
      <c r="H55" s="141">
        <v>60</v>
      </c>
      <c r="I55" s="142"/>
      <c r="J55" s="174">
        <f t="shared" si="2"/>
        <v>60</v>
      </c>
      <c r="K55" s="164">
        <f t="shared" si="3"/>
        <v>0</v>
      </c>
      <c r="L55" s="165">
        <f t="shared" si="4"/>
        <v>1</v>
      </c>
    </row>
    <row r="56" spans="1:12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/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331</v>
      </c>
      <c r="E57" s="140">
        <v>388</v>
      </c>
      <c r="F57" s="160">
        <f t="shared" si="0"/>
        <v>57</v>
      </c>
      <c r="G57" s="161">
        <f t="shared" si="1"/>
        <v>1.1722054380664653</v>
      </c>
      <c r="H57" s="141">
        <v>400</v>
      </c>
      <c r="I57" s="142"/>
      <c r="J57" s="174">
        <f t="shared" si="2"/>
        <v>400</v>
      </c>
      <c r="K57" s="164">
        <f t="shared" si="3"/>
        <v>12</v>
      </c>
      <c r="L57" s="165">
        <f t="shared" si="4"/>
        <v>1.0309278350515463</v>
      </c>
    </row>
    <row r="58" spans="1:12" ht="14.25">
      <c r="A58" s="441" t="s">
        <v>149</v>
      </c>
      <c r="B58" s="441"/>
      <c r="C58" s="441"/>
      <c r="D58" s="143"/>
      <c r="E58" s="140">
        <v>14</v>
      </c>
      <c r="F58" s="160">
        <f t="shared" si="0"/>
        <v>14</v>
      </c>
      <c r="G58" s="161"/>
      <c r="H58" s="141">
        <v>15</v>
      </c>
      <c r="I58" s="142"/>
      <c r="J58" s="174">
        <f t="shared" si="2"/>
        <v>15</v>
      </c>
      <c r="K58" s="164">
        <f t="shared" si="3"/>
        <v>1</v>
      </c>
      <c r="L58" s="165">
        <f t="shared" si="4"/>
        <v>1.0714285714285714</v>
      </c>
    </row>
    <row r="59" spans="1:12" ht="15" thickBot="1">
      <c r="A59" s="493" t="s">
        <v>116</v>
      </c>
      <c r="B59" s="493"/>
      <c r="C59" s="493"/>
      <c r="D59" s="159"/>
      <c r="E59" s="148"/>
      <c r="F59" s="162">
        <f t="shared" si="0"/>
        <v>0</v>
      </c>
      <c r="G59" s="163"/>
      <c r="H59" s="145"/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10274</v>
      </c>
      <c r="E60" s="180">
        <v>10732</v>
      </c>
      <c r="F60" s="181">
        <f t="shared" si="0"/>
        <v>458</v>
      </c>
      <c r="G60" s="182">
        <f t="shared" si="1"/>
        <v>1.0445785477905392</v>
      </c>
      <c r="H60" s="183">
        <v>10995</v>
      </c>
      <c r="I60" s="184"/>
      <c r="J60" s="185">
        <f t="shared" si="2"/>
        <v>10995</v>
      </c>
      <c r="K60" s="183">
        <f t="shared" si="3"/>
        <v>263</v>
      </c>
      <c r="L60" s="186">
        <f t="shared" si="4"/>
        <v>1.0245061498322774</v>
      </c>
    </row>
    <row r="61" spans="1:14" s="6" customFormat="1" ht="15">
      <c r="A61" s="447" t="s">
        <v>17</v>
      </c>
      <c r="B61" s="447"/>
      <c r="C61" s="447"/>
      <c r="D61" s="96">
        <f>D27-D60</f>
        <v>44</v>
      </c>
      <c r="E61" s="96">
        <f>E27-E60</f>
        <v>2</v>
      </c>
      <c r="F61" s="96"/>
      <c r="G61" s="96"/>
      <c r="H61" s="96"/>
      <c r="I61" s="96"/>
      <c r="J61" s="96">
        <f>J27-J60</f>
        <v>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293</v>
      </c>
      <c r="B67" s="382"/>
      <c r="C67" s="13">
        <v>150</v>
      </c>
      <c r="D67" s="14"/>
      <c r="E67" s="382" t="s">
        <v>295</v>
      </c>
      <c r="F67" s="382"/>
      <c r="G67" s="382"/>
      <c r="H67" s="382"/>
      <c r="I67" s="15">
        <v>150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294</v>
      </c>
      <c r="B68" s="382"/>
      <c r="C68" s="13">
        <v>200</v>
      </c>
      <c r="D68" s="14"/>
      <c r="E68" s="380" t="s">
        <v>329</v>
      </c>
      <c r="F68" s="380"/>
      <c r="G68" s="380"/>
      <c r="H68" s="380"/>
      <c r="I68" s="16">
        <v>70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177</v>
      </c>
      <c r="B69" s="382"/>
      <c r="C69" s="13">
        <v>161</v>
      </c>
      <c r="D69" s="14"/>
      <c r="E69" s="380" t="s">
        <v>296</v>
      </c>
      <c r="F69" s="380"/>
      <c r="G69" s="380"/>
      <c r="H69" s="380"/>
      <c r="I69" s="16">
        <v>200</v>
      </c>
      <c r="J69" s="11"/>
      <c r="K69" s="21" t="s">
        <v>45</v>
      </c>
      <c r="L69" s="22"/>
      <c r="M69" s="23"/>
      <c r="N69" s="24"/>
    </row>
    <row r="70" spans="1:14" s="6" customFormat="1" ht="15">
      <c r="A70" s="382"/>
      <c r="B70" s="382"/>
      <c r="C70" s="13"/>
      <c r="D70" s="14"/>
      <c r="E70" s="380" t="s">
        <v>297</v>
      </c>
      <c r="F70" s="380"/>
      <c r="G70" s="380"/>
      <c r="H70" s="380"/>
      <c r="I70" s="16">
        <v>100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511</v>
      </c>
      <c r="D75" s="36"/>
      <c r="E75" s="404" t="s">
        <v>12</v>
      </c>
      <c r="F75" s="404"/>
      <c r="G75" s="404"/>
      <c r="H75" s="404"/>
      <c r="I75" s="37">
        <f>SUM(I67:I74)</f>
        <v>520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19749</v>
      </c>
      <c r="B81" s="46">
        <v>2317</v>
      </c>
      <c r="C81" s="47">
        <v>400</v>
      </c>
      <c r="D81" s="48">
        <v>119</v>
      </c>
      <c r="E81" s="48">
        <v>90</v>
      </c>
      <c r="F81" s="48">
        <v>30</v>
      </c>
      <c r="G81" s="48"/>
      <c r="H81" s="49"/>
      <c r="I81" s="50">
        <v>161</v>
      </c>
      <c r="J81" s="51">
        <v>17032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985.16</v>
      </c>
      <c r="C86" s="61" t="s">
        <v>38</v>
      </c>
      <c r="D86" s="62" t="s">
        <v>38</v>
      </c>
      <c r="E86" s="62" t="s">
        <v>38</v>
      </c>
      <c r="F86" s="63"/>
      <c r="G86" s="64">
        <v>977.04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/>
      <c r="C87" s="71">
        <v>16</v>
      </c>
      <c r="D87" s="72">
        <v>0</v>
      </c>
      <c r="E87" s="72">
        <v>16</v>
      </c>
      <c r="F87" s="73">
        <f>C87+D87-E87</f>
        <v>0</v>
      </c>
      <c r="G87" s="74"/>
      <c r="H87" s="75">
        <f>+G87-F87</f>
        <v>0</v>
      </c>
      <c r="I87" s="71">
        <v>0</v>
      </c>
      <c r="J87" s="72">
        <v>0</v>
      </c>
      <c r="K87" s="72">
        <v>0</v>
      </c>
      <c r="L87" s="73">
        <f>I87+J87-K87</f>
        <v>0</v>
      </c>
      <c r="M87" s="76"/>
    </row>
    <row r="88" spans="1:13" s="10" customFormat="1" ht="15">
      <c r="A88" s="69" t="s">
        <v>40</v>
      </c>
      <c r="B88" s="70"/>
      <c r="C88" s="71">
        <v>139</v>
      </c>
      <c r="D88" s="72">
        <v>44</v>
      </c>
      <c r="E88" s="72">
        <f>139+27</f>
        <v>166</v>
      </c>
      <c r="F88" s="73">
        <f>C88+D88-E88</f>
        <v>17</v>
      </c>
      <c r="G88" s="74"/>
      <c r="H88" s="75">
        <f>+G88-F88</f>
        <v>-17</v>
      </c>
      <c r="I88" s="71">
        <v>17</v>
      </c>
      <c r="J88" s="72">
        <v>2</v>
      </c>
      <c r="K88" s="72">
        <v>0</v>
      </c>
      <c r="L88" s="73">
        <f>I88+J88-K88</f>
        <v>19</v>
      </c>
      <c r="M88" s="76"/>
    </row>
    <row r="89" spans="1:13" s="10" customFormat="1" ht="15">
      <c r="A89" s="69" t="s">
        <v>44</v>
      </c>
      <c r="B89" s="70"/>
      <c r="C89" s="71">
        <v>493</v>
      </c>
      <c r="D89" s="72">
        <v>388</v>
      </c>
      <c r="E89" s="72">
        <v>360</v>
      </c>
      <c r="F89" s="73">
        <f>C89+D89-E89</f>
        <v>521</v>
      </c>
      <c r="G89" s="74"/>
      <c r="H89" s="75">
        <f>+G89-F89</f>
        <v>-521</v>
      </c>
      <c r="I89" s="77">
        <v>521</v>
      </c>
      <c r="J89" s="78">
        <v>400</v>
      </c>
      <c r="K89" s="78">
        <v>511</v>
      </c>
      <c r="L89" s="73">
        <f>I89+J89-K89</f>
        <v>410</v>
      </c>
      <c r="M89" s="76"/>
    </row>
    <row r="90" spans="1:13" s="10" customFormat="1" ht="15">
      <c r="A90" s="69" t="s">
        <v>41</v>
      </c>
      <c r="B90" s="70">
        <v>985.16</v>
      </c>
      <c r="C90" s="79" t="s">
        <v>38</v>
      </c>
      <c r="D90" s="62" t="s">
        <v>38</v>
      </c>
      <c r="E90" s="80" t="s">
        <v>38</v>
      </c>
      <c r="F90" s="73"/>
      <c r="G90" s="74">
        <v>977.04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132.08</v>
      </c>
      <c r="C91" s="84">
        <v>129</v>
      </c>
      <c r="D91" s="85">
        <v>91</v>
      </c>
      <c r="E91" s="85">
        <v>94</v>
      </c>
      <c r="F91" s="73">
        <f>C91+D91-E91</f>
        <v>126</v>
      </c>
      <c r="G91" s="109">
        <v>113.79</v>
      </c>
      <c r="H91" s="110">
        <f>+G91-F91</f>
        <v>-12.209999999999994</v>
      </c>
      <c r="I91" s="111">
        <v>126</v>
      </c>
      <c r="J91" s="112">
        <v>46</v>
      </c>
      <c r="K91" s="112">
        <v>90</v>
      </c>
      <c r="L91" s="73">
        <f>I91+J91-K91</f>
        <v>82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24</v>
      </c>
      <c r="C97" s="91">
        <v>23</v>
      </c>
      <c r="D97" s="149"/>
      <c r="E97" s="89">
        <v>2010</v>
      </c>
      <c r="F97" s="418">
        <v>48</v>
      </c>
      <c r="G97" s="418"/>
      <c r="I97" s="89">
        <v>2010</v>
      </c>
      <c r="J97" s="90">
        <v>4601</v>
      </c>
      <c r="K97" s="91">
        <v>4545</v>
      </c>
    </row>
    <row r="98" spans="1:11" s="6" customFormat="1" ht="15.75" thickBot="1">
      <c r="A98" s="92">
        <v>2011</v>
      </c>
      <c r="B98" s="93">
        <v>23</v>
      </c>
      <c r="C98" s="108" t="s">
        <v>62</v>
      </c>
      <c r="D98" s="149"/>
      <c r="E98" s="92">
        <v>2011</v>
      </c>
      <c r="F98" s="419">
        <v>48</v>
      </c>
      <c r="G98" s="419"/>
      <c r="I98" s="92">
        <v>2011</v>
      </c>
      <c r="J98" s="93">
        <v>4530</v>
      </c>
      <c r="K98" s="108" t="s">
        <v>62</v>
      </c>
    </row>
  </sheetData>
  <mergeCells count="104">
    <mergeCell ref="F96:G96"/>
    <mergeCell ref="F97:G97"/>
    <mergeCell ref="F98:G98"/>
    <mergeCell ref="A65:B66"/>
    <mergeCell ref="C65:C66"/>
    <mergeCell ref="E65:H66"/>
    <mergeCell ref="A67:B67"/>
    <mergeCell ref="E67:H67"/>
    <mergeCell ref="A68:B68"/>
    <mergeCell ref="E68:H68"/>
    <mergeCell ref="A62:C62"/>
    <mergeCell ref="A95:C95"/>
    <mergeCell ref="E95:G95"/>
    <mergeCell ref="I95:K95"/>
    <mergeCell ref="I65:I66"/>
    <mergeCell ref="A69:B69"/>
    <mergeCell ref="E69:H69"/>
    <mergeCell ref="A70:B70"/>
    <mergeCell ref="E70:H70"/>
    <mergeCell ref="A71:B71"/>
    <mergeCell ref="F4:G4"/>
    <mergeCell ref="H4:J4"/>
    <mergeCell ref="K4:L4"/>
    <mergeCell ref="A7:C7"/>
    <mergeCell ref="D4:D6"/>
    <mergeCell ref="E4:E6"/>
    <mergeCell ref="E71:H71"/>
    <mergeCell ref="A72:B72"/>
    <mergeCell ref="E72:H72"/>
    <mergeCell ref="A73:B73"/>
    <mergeCell ref="E73:H73"/>
    <mergeCell ref="A74:B74"/>
    <mergeCell ref="E74:H74"/>
    <mergeCell ref="A75:B75"/>
    <mergeCell ref="E75:H75"/>
    <mergeCell ref="A78:A80"/>
    <mergeCell ref="B78:B80"/>
    <mergeCell ref="C78:I78"/>
    <mergeCell ref="J78:J80"/>
    <mergeCell ref="C79:C80"/>
    <mergeCell ref="D79:I79"/>
    <mergeCell ref="A84:A85"/>
    <mergeCell ref="B84:B85"/>
    <mergeCell ref="C84:F84"/>
    <mergeCell ref="G84:G85"/>
    <mergeCell ref="H84:H85"/>
    <mergeCell ref="I84:L84"/>
    <mergeCell ref="A3:G3"/>
    <mergeCell ref="A2:N2"/>
    <mergeCell ref="A59:C59"/>
    <mergeCell ref="A60:C60"/>
    <mergeCell ref="A61:C61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8:C8"/>
    <mergeCell ref="A9:C9"/>
    <mergeCell ref="A10:C10"/>
    <mergeCell ref="A32:C32"/>
    <mergeCell ref="A18:C18"/>
    <mergeCell ref="A19:C19"/>
    <mergeCell ref="A20:C20"/>
    <mergeCell ref="A21:C21"/>
    <mergeCell ref="A22:C22"/>
    <mergeCell ref="A23:C23"/>
    <mergeCell ref="A33:C33"/>
    <mergeCell ref="A34:C34"/>
    <mergeCell ref="A11:C11"/>
    <mergeCell ref="A4:C6"/>
    <mergeCell ref="A12:C12"/>
    <mergeCell ref="A13:C13"/>
    <mergeCell ref="A14:C14"/>
    <mergeCell ref="A15:C15"/>
    <mergeCell ref="A16:C16"/>
    <mergeCell ref="A17:C17"/>
    <mergeCell ref="A24:C24"/>
    <mergeCell ref="A25:C25"/>
    <mergeCell ref="A26:C26"/>
    <mergeCell ref="A27:C27"/>
    <mergeCell ref="A28:C28"/>
    <mergeCell ref="A29:C29"/>
    <mergeCell ref="A30:C30"/>
    <mergeCell ref="A31:C3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M64" sqref="M64"/>
    </sheetView>
  </sheetViews>
  <sheetFormatPr defaultColWidth="9.00390625" defaultRowHeight="12.75"/>
  <cols>
    <col min="1" max="1" width="27.875" style="138" customWidth="1"/>
    <col min="2" max="2" width="21.00390625" style="138" customWidth="1"/>
    <col min="3" max="3" width="13.00390625" style="138" customWidth="1"/>
    <col min="4" max="4" width="12.00390625" style="154" customWidth="1"/>
    <col min="5" max="5" width="12.00390625" style="147" customWidth="1"/>
    <col min="6" max="12" width="12.003906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136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11474</v>
      </c>
      <c r="E7" s="169">
        <v>11525</v>
      </c>
      <c r="F7" s="170">
        <f>E7-D7</f>
        <v>51</v>
      </c>
      <c r="G7" s="171">
        <f>E7/D7</f>
        <v>1.0044448317936203</v>
      </c>
      <c r="H7" s="172">
        <f>SUM(H8:H13)</f>
        <v>11286</v>
      </c>
      <c r="I7" s="173">
        <v>0</v>
      </c>
      <c r="J7" s="174">
        <f>H7+I7</f>
        <v>11286</v>
      </c>
      <c r="K7" s="175">
        <f>J7-E7</f>
        <v>-239</v>
      </c>
      <c r="L7" s="176">
        <f>J7/E7</f>
        <v>0.9792624728850325</v>
      </c>
    </row>
    <row r="8" spans="1:12" ht="14.25">
      <c r="A8" s="465" t="s">
        <v>66</v>
      </c>
      <c r="B8" s="465"/>
      <c r="C8" s="465"/>
      <c r="D8" s="143">
        <v>6116</v>
      </c>
      <c r="E8" s="140">
        <v>5987</v>
      </c>
      <c r="F8" s="160">
        <f aca="true" t="shared" si="0" ref="F8:F60">E8-D8</f>
        <v>-129</v>
      </c>
      <c r="G8" s="161">
        <f aca="true" t="shared" si="1" ref="G8:G60">E8/D8</f>
        <v>0.9789077828646174</v>
      </c>
      <c r="H8" s="141">
        <v>6088</v>
      </c>
      <c r="I8" s="142">
        <v>0</v>
      </c>
      <c r="J8" s="174">
        <f aca="true" t="shared" si="2" ref="J8:J61">H8+I8</f>
        <v>6088</v>
      </c>
      <c r="K8" s="164">
        <f aca="true" t="shared" si="3" ref="K8:K60">J8-E8</f>
        <v>101</v>
      </c>
      <c r="L8" s="165">
        <f aca="true" t="shared" si="4" ref="L8:L60">J8/E8</f>
        <v>1.0168698847502924</v>
      </c>
    </row>
    <row r="9" spans="1:12" ht="14.25">
      <c r="A9" s="465" t="s">
        <v>67</v>
      </c>
      <c r="B9" s="465"/>
      <c r="C9" s="465"/>
      <c r="D9" s="143">
        <v>4525</v>
      </c>
      <c r="E9" s="140">
        <v>4558</v>
      </c>
      <c r="F9" s="160">
        <f t="shared" si="0"/>
        <v>33</v>
      </c>
      <c r="G9" s="161">
        <f t="shared" si="1"/>
        <v>1.007292817679558</v>
      </c>
      <c r="H9" s="141">
        <v>4208</v>
      </c>
      <c r="I9" s="142">
        <v>0</v>
      </c>
      <c r="J9" s="174">
        <f t="shared" si="2"/>
        <v>4208</v>
      </c>
      <c r="K9" s="164">
        <f t="shared" si="3"/>
        <v>-350</v>
      </c>
      <c r="L9" s="165">
        <f t="shared" si="4"/>
        <v>0.9232119350592365</v>
      </c>
    </row>
    <row r="10" spans="1:12" ht="14.25">
      <c r="A10" s="465" t="s">
        <v>68</v>
      </c>
      <c r="B10" s="465"/>
      <c r="C10" s="465"/>
      <c r="D10" s="143">
        <v>63</v>
      </c>
      <c r="E10" s="140">
        <v>66</v>
      </c>
      <c r="F10" s="160">
        <f t="shared" si="0"/>
        <v>3</v>
      </c>
      <c r="G10" s="161">
        <f t="shared" si="1"/>
        <v>1.0476190476190477</v>
      </c>
      <c r="H10" s="141">
        <v>70</v>
      </c>
      <c r="I10" s="142">
        <v>0</v>
      </c>
      <c r="J10" s="174">
        <f t="shared" si="2"/>
        <v>70</v>
      </c>
      <c r="K10" s="164">
        <f t="shared" si="3"/>
        <v>4</v>
      </c>
      <c r="L10" s="165">
        <f t="shared" si="4"/>
        <v>1.0606060606060606</v>
      </c>
    </row>
    <row r="11" spans="1:12" ht="14.25">
      <c r="A11" s="465" t="s">
        <v>69</v>
      </c>
      <c r="B11" s="465"/>
      <c r="C11" s="465"/>
      <c r="D11" s="143">
        <v>589</v>
      </c>
      <c r="E11" s="140">
        <v>713</v>
      </c>
      <c r="F11" s="160">
        <f t="shared" si="0"/>
        <v>124</v>
      </c>
      <c r="G11" s="161">
        <f t="shared" si="1"/>
        <v>1.2105263157894737</v>
      </c>
      <c r="H11" s="141">
        <v>700</v>
      </c>
      <c r="I11" s="142">
        <v>0</v>
      </c>
      <c r="J11" s="174">
        <f t="shared" si="2"/>
        <v>700</v>
      </c>
      <c r="K11" s="164">
        <f t="shared" si="3"/>
        <v>-13</v>
      </c>
      <c r="L11" s="165">
        <f t="shared" si="4"/>
        <v>0.9817671809256662</v>
      </c>
    </row>
    <row r="12" spans="1:12" ht="14.25">
      <c r="A12" s="465" t="s">
        <v>70</v>
      </c>
      <c r="B12" s="465"/>
      <c r="C12" s="465"/>
      <c r="D12" s="143">
        <v>171</v>
      </c>
      <c r="E12" s="140">
        <v>192</v>
      </c>
      <c r="F12" s="160">
        <f t="shared" si="0"/>
        <v>21</v>
      </c>
      <c r="G12" s="161">
        <f t="shared" si="1"/>
        <v>1.1228070175438596</v>
      </c>
      <c r="H12" s="141">
        <v>210</v>
      </c>
      <c r="I12" s="142">
        <v>0</v>
      </c>
      <c r="J12" s="174">
        <f t="shared" si="2"/>
        <v>210</v>
      </c>
      <c r="K12" s="164">
        <f t="shared" si="3"/>
        <v>18</v>
      </c>
      <c r="L12" s="165">
        <f t="shared" si="4"/>
        <v>1.09375</v>
      </c>
    </row>
    <row r="13" spans="1:12" ht="14.25">
      <c r="A13" s="465" t="s">
        <v>71</v>
      </c>
      <c r="B13" s="465"/>
      <c r="C13" s="465"/>
      <c r="D13" s="143">
        <v>10</v>
      </c>
      <c r="E13" s="140">
        <v>9</v>
      </c>
      <c r="F13" s="160">
        <f t="shared" si="0"/>
        <v>-1</v>
      </c>
      <c r="G13" s="161">
        <f t="shared" si="1"/>
        <v>0.9</v>
      </c>
      <c r="H13" s="141">
        <v>10</v>
      </c>
      <c r="I13" s="142">
        <v>0</v>
      </c>
      <c r="J13" s="174">
        <f t="shared" si="2"/>
        <v>10</v>
      </c>
      <c r="K13" s="164">
        <f t="shared" si="3"/>
        <v>1</v>
      </c>
      <c r="L13" s="165">
        <f t="shared" si="4"/>
        <v>1.1111111111111112</v>
      </c>
    </row>
    <row r="14" spans="1:20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>
        <v>0</v>
      </c>
      <c r="I14" s="173">
        <v>0</v>
      </c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>
        <v>0</v>
      </c>
      <c r="I15" s="142">
        <v>0</v>
      </c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16</v>
      </c>
      <c r="E16" s="140">
        <v>8</v>
      </c>
      <c r="F16" s="160">
        <f t="shared" si="0"/>
        <v>-8</v>
      </c>
      <c r="G16" s="161">
        <f t="shared" si="1"/>
        <v>0.5</v>
      </c>
      <c r="H16" s="141">
        <v>282</v>
      </c>
      <c r="I16" s="142">
        <v>0</v>
      </c>
      <c r="J16" s="174">
        <f t="shared" si="2"/>
        <v>282</v>
      </c>
      <c r="K16" s="164">
        <f t="shared" si="3"/>
        <v>274</v>
      </c>
      <c r="L16" s="165">
        <f t="shared" si="4"/>
        <v>35.25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0</v>
      </c>
      <c r="E17" s="140">
        <v>0</v>
      </c>
      <c r="F17" s="160">
        <f t="shared" si="0"/>
        <v>0</v>
      </c>
      <c r="G17" s="161"/>
      <c r="H17" s="141">
        <v>274</v>
      </c>
      <c r="I17" s="142">
        <v>0</v>
      </c>
      <c r="J17" s="174">
        <f t="shared" si="2"/>
        <v>274</v>
      </c>
      <c r="K17" s="164">
        <f t="shared" si="3"/>
        <v>274</v>
      </c>
      <c r="L17" s="165"/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>
        <v>0</v>
      </c>
      <c r="E18" s="140">
        <v>0</v>
      </c>
      <c r="F18" s="160">
        <f t="shared" si="0"/>
        <v>0</v>
      </c>
      <c r="G18" s="161"/>
      <c r="H18" s="141">
        <v>0</v>
      </c>
      <c r="I18" s="142">
        <v>0</v>
      </c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>
        <v>0</v>
      </c>
      <c r="E19" s="140">
        <v>0</v>
      </c>
      <c r="F19" s="160">
        <f t="shared" si="0"/>
        <v>0</v>
      </c>
      <c r="G19" s="161"/>
      <c r="H19" s="141">
        <v>0</v>
      </c>
      <c r="I19" s="142">
        <v>0</v>
      </c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>
        <v>0</v>
      </c>
      <c r="E20" s="140">
        <v>0</v>
      </c>
      <c r="F20" s="160">
        <f t="shared" si="0"/>
        <v>0</v>
      </c>
      <c r="G20" s="161"/>
      <c r="H20" s="141">
        <v>0</v>
      </c>
      <c r="I20" s="142">
        <v>0</v>
      </c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>
        <v>0</v>
      </c>
      <c r="E21" s="140">
        <v>0</v>
      </c>
      <c r="F21" s="160">
        <f t="shared" si="0"/>
        <v>0</v>
      </c>
      <c r="G21" s="161"/>
      <c r="H21" s="141">
        <v>0</v>
      </c>
      <c r="I21" s="142">
        <v>0</v>
      </c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5071</v>
      </c>
      <c r="E22" s="177">
        <v>5534</v>
      </c>
      <c r="F22" s="160">
        <f t="shared" si="0"/>
        <v>463</v>
      </c>
      <c r="G22" s="161">
        <f t="shared" si="1"/>
        <v>1.0913034904358114</v>
      </c>
      <c r="H22" s="172">
        <v>4836</v>
      </c>
      <c r="I22" s="173">
        <v>0</v>
      </c>
      <c r="J22" s="174">
        <f t="shared" si="2"/>
        <v>4836</v>
      </c>
      <c r="K22" s="164">
        <f t="shared" si="3"/>
        <v>-698</v>
      </c>
      <c r="L22" s="165">
        <f t="shared" si="4"/>
        <v>0.8738706179978316</v>
      </c>
    </row>
    <row r="23" spans="1:12" ht="14.25">
      <c r="A23" s="456" t="s">
        <v>81</v>
      </c>
      <c r="B23" s="456"/>
      <c r="C23" s="456"/>
      <c r="D23" s="143">
        <v>1140</v>
      </c>
      <c r="E23" s="140">
        <v>1036</v>
      </c>
      <c r="F23" s="160">
        <f t="shared" si="0"/>
        <v>-104</v>
      </c>
      <c r="G23" s="161">
        <f t="shared" si="1"/>
        <v>0.9087719298245615</v>
      </c>
      <c r="H23" s="141">
        <v>1036</v>
      </c>
      <c r="I23" s="142">
        <v>0</v>
      </c>
      <c r="J23" s="174">
        <f t="shared" si="2"/>
        <v>1036</v>
      </c>
      <c r="K23" s="164">
        <f t="shared" si="3"/>
        <v>0</v>
      </c>
      <c r="L23" s="165">
        <f t="shared" si="4"/>
        <v>1</v>
      </c>
    </row>
    <row r="24" spans="1:12" ht="14.25">
      <c r="A24" s="456" t="s">
        <v>82</v>
      </c>
      <c r="B24" s="456"/>
      <c r="C24" s="456"/>
      <c r="D24" s="143">
        <v>3825</v>
      </c>
      <c r="E24" s="140">
        <v>4400</v>
      </c>
      <c r="F24" s="160">
        <f t="shared" si="0"/>
        <v>575</v>
      </c>
      <c r="G24" s="161">
        <f t="shared" si="1"/>
        <v>1.1503267973856208</v>
      </c>
      <c r="H24" s="141">
        <v>3800</v>
      </c>
      <c r="I24" s="142">
        <v>0</v>
      </c>
      <c r="J24" s="174">
        <f t="shared" si="2"/>
        <v>3800</v>
      </c>
      <c r="K24" s="164">
        <f t="shared" si="3"/>
        <v>-600</v>
      </c>
      <c r="L24" s="165">
        <f t="shared" si="4"/>
        <v>0.8636363636363636</v>
      </c>
    </row>
    <row r="25" spans="1:12" ht="14.25">
      <c r="A25" s="456" t="s">
        <v>83</v>
      </c>
      <c r="B25" s="456"/>
      <c r="C25" s="456"/>
      <c r="D25" s="143">
        <v>106</v>
      </c>
      <c r="E25" s="140">
        <v>98</v>
      </c>
      <c r="F25" s="160">
        <f t="shared" si="0"/>
        <v>-8</v>
      </c>
      <c r="G25" s="161">
        <f t="shared" si="1"/>
        <v>0.9245283018867925</v>
      </c>
      <c r="H25" s="141">
        <v>0</v>
      </c>
      <c r="I25" s="142"/>
      <c r="J25" s="174">
        <f t="shared" si="2"/>
        <v>0</v>
      </c>
      <c r="K25" s="164">
        <f t="shared" si="3"/>
        <v>-98</v>
      </c>
      <c r="L25" s="165">
        <f t="shared" si="4"/>
        <v>0</v>
      </c>
    </row>
    <row r="26" spans="1:12" ht="15" thickBot="1">
      <c r="A26" s="494" t="s">
        <v>118</v>
      </c>
      <c r="B26" s="494"/>
      <c r="C26" s="494"/>
      <c r="D26" s="159">
        <v>0</v>
      </c>
      <c r="E26" s="148">
        <v>0</v>
      </c>
      <c r="F26" s="162">
        <f t="shared" si="0"/>
        <v>0</v>
      </c>
      <c r="G26" s="163"/>
      <c r="H26" s="145">
        <v>0</v>
      </c>
      <c r="I26" s="146">
        <v>0</v>
      </c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16561</v>
      </c>
      <c r="E27" s="180">
        <v>17069</v>
      </c>
      <c r="F27" s="181">
        <f t="shared" si="0"/>
        <v>508</v>
      </c>
      <c r="G27" s="182">
        <f t="shared" si="1"/>
        <v>1.0306744761789748</v>
      </c>
      <c r="H27" s="183">
        <f>SUM(H7,H14:H16,H18:H22)</f>
        <v>16404</v>
      </c>
      <c r="I27" s="184">
        <v>0</v>
      </c>
      <c r="J27" s="185">
        <f t="shared" si="2"/>
        <v>16404</v>
      </c>
      <c r="K27" s="183">
        <f t="shared" si="3"/>
        <v>-665</v>
      </c>
      <c r="L27" s="186">
        <f t="shared" si="4"/>
        <v>0.9610404827464994</v>
      </c>
    </row>
    <row r="28" spans="1:12" ht="14.25">
      <c r="A28" s="495" t="s">
        <v>85</v>
      </c>
      <c r="B28" s="495"/>
      <c r="C28" s="495"/>
      <c r="D28" s="187">
        <v>2708</v>
      </c>
      <c r="E28" s="188">
        <v>2534</v>
      </c>
      <c r="F28" s="189">
        <f t="shared" si="0"/>
        <v>-174</v>
      </c>
      <c r="G28" s="190">
        <f t="shared" si="1"/>
        <v>0.9357459379615952</v>
      </c>
      <c r="H28" s="191">
        <f>SUM(H29:H33)</f>
        <v>2800</v>
      </c>
      <c r="I28" s="192">
        <v>0</v>
      </c>
      <c r="J28" s="193">
        <f t="shared" si="2"/>
        <v>2800</v>
      </c>
      <c r="K28" s="194">
        <f t="shared" si="3"/>
        <v>266</v>
      </c>
      <c r="L28" s="195">
        <f t="shared" si="4"/>
        <v>1.1049723756906078</v>
      </c>
    </row>
    <row r="29" spans="1:12" ht="14.25">
      <c r="A29" s="441" t="s">
        <v>86</v>
      </c>
      <c r="B29" s="441"/>
      <c r="C29" s="441"/>
      <c r="D29" s="143">
        <v>1813</v>
      </c>
      <c r="E29" s="140">
        <v>1778</v>
      </c>
      <c r="F29" s="160">
        <f t="shared" si="0"/>
        <v>-35</v>
      </c>
      <c r="G29" s="161">
        <f t="shared" si="1"/>
        <v>0.9806949806949807</v>
      </c>
      <c r="H29" s="141">
        <v>1980</v>
      </c>
      <c r="I29" s="142">
        <v>0</v>
      </c>
      <c r="J29" s="174">
        <f t="shared" si="2"/>
        <v>1980</v>
      </c>
      <c r="K29" s="164">
        <f t="shared" si="3"/>
        <v>202</v>
      </c>
      <c r="L29" s="165">
        <f t="shared" si="4"/>
        <v>1.1136107986501687</v>
      </c>
    </row>
    <row r="30" spans="1:12" ht="14.25">
      <c r="A30" s="441" t="s">
        <v>87</v>
      </c>
      <c r="B30" s="441"/>
      <c r="C30" s="441"/>
      <c r="D30" s="143">
        <v>46</v>
      </c>
      <c r="E30" s="140">
        <v>56</v>
      </c>
      <c r="F30" s="160">
        <f t="shared" si="0"/>
        <v>10</v>
      </c>
      <c r="G30" s="161">
        <f t="shared" si="1"/>
        <v>1.2173913043478262</v>
      </c>
      <c r="H30" s="141">
        <v>60</v>
      </c>
      <c r="I30" s="142">
        <v>0</v>
      </c>
      <c r="J30" s="174">
        <f t="shared" si="2"/>
        <v>60</v>
      </c>
      <c r="K30" s="164">
        <f t="shared" si="3"/>
        <v>4</v>
      </c>
      <c r="L30" s="165">
        <f t="shared" si="4"/>
        <v>1.0714285714285714</v>
      </c>
    </row>
    <row r="31" spans="1:12" ht="14.25">
      <c r="A31" s="441" t="s">
        <v>88</v>
      </c>
      <c r="B31" s="441"/>
      <c r="C31" s="441"/>
      <c r="D31" s="143">
        <v>126</v>
      </c>
      <c r="E31" s="140">
        <v>141</v>
      </c>
      <c r="F31" s="160">
        <f t="shared" si="0"/>
        <v>15</v>
      </c>
      <c r="G31" s="161">
        <f t="shared" si="1"/>
        <v>1.119047619047619</v>
      </c>
      <c r="H31" s="141">
        <v>200</v>
      </c>
      <c r="I31" s="142">
        <v>0</v>
      </c>
      <c r="J31" s="174">
        <f t="shared" si="2"/>
        <v>200</v>
      </c>
      <c r="K31" s="164">
        <f t="shared" si="3"/>
        <v>59</v>
      </c>
      <c r="L31" s="165">
        <f t="shared" si="4"/>
        <v>1.4184397163120568</v>
      </c>
    </row>
    <row r="32" spans="1:12" ht="14.25">
      <c r="A32" s="441" t="s">
        <v>89</v>
      </c>
      <c r="B32" s="441"/>
      <c r="C32" s="441"/>
      <c r="D32" s="143">
        <v>87</v>
      </c>
      <c r="E32" s="140">
        <v>35</v>
      </c>
      <c r="F32" s="160">
        <f t="shared" si="0"/>
        <v>-52</v>
      </c>
      <c r="G32" s="161">
        <f t="shared" si="1"/>
        <v>0.40229885057471265</v>
      </c>
      <c r="H32" s="141">
        <v>35</v>
      </c>
      <c r="I32" s="142">
        <v>0</v>
      </c>
      <c r="J32" s="174">
        <f t="shared" si="2"/>
        <v>35</v>
      </c>
      <c r="K32" s="164">
        <f t="shared" si="3"/>
        <v>0</v>
      </c>
      <c r="L32" s="165">
        <f t="shared" si="4"/>
        <v>1</v>
      </c>
    </row>
    <row r="33" spans="1:12" ht="14.25">
      <c r="A33" s="441" t="s">
        <v>90</v>
      </c>
      <c r="B33" s="441"/>
      <c r="C33" s="441"/>
      <c r="D33" s="143">
        <v>636</v>
      </c>
      <c r="E33" s="140">
        <v>524</v>
      </c>
      <c r="F33" s="160">
        <f t="shared" si="0"/>
        <v>-112</v>
      </c>
      <c r="G33" s="161">
        <f t="shared" si="1"/>
        <v>0.8238993710691824</v>
      </c>
      <c r="H33" s="141">
        <v>525</v>
      </c>
      <c r="I33" s="142">
        <v>0</v>
      </c>
      <c r="J33" s="174">
        <f t="shared" si="2"/>
        <v>525</v>
      </c>
      <c r="K33" s="164">
        <f t="shared" si="3"/>
        <v>1</v>
      </c>
      <c r="L33" s="165">
        <f t="shared" si="4"/>
        <v>1.001908396946565</v>
      </c>
    </row>
    <row r="34" spans="1:12" ht="14.25">
      <c r="A34" s="441" t="s">
        <v>91</v>
      </c>
      <c r="B34" s="441"/>
      <c r="C34" s="441"/>
      <c r="D34" s="196">
        <v>1362</v>
      </c>
      <c r="E34" s="177">
        <v>1298</v>
      </c>
      <c r="F34" s="197">
        <f t="shared" si="0"/>
        <v>-64</v>
      </c>
      <c r="G34" s="198">
        <f t="shared" si="1"/>
        <v>0.9530102790014684</v>
      </c>
      <c r="H34" s="172">
        <f>SUM(H35:H39)</f>
        <v>1293</v>
      </c>
      <c r="I34" s="173">
        <v>0</v>
      </c>
      <c r="J34" s="174">
        <f t="shared" si="2"/>
        <v>1293</v>
      </c>
      <c r="K34" s="199">
        <f t="shared" si="3"/>
        <v>-5</v>
      </c>
      <c r="L34" s="200">
        <f t="shared" si="4"/>
        <v>0.9961479198767335</v>
      </c>
    </row>
    <row r="35" spans="1:12" ht="14.25">
      <c r="A35" s="441" t="s">
        <v>92</v>
      </c>
      <c r="B35" s="441"/>
      <c r="C35" s="441"/>
      <c r="D35" s="143">
        <v>474</v>
      </c>
      <c r="E35" s="140">
        <v>423</v>
      </c>
      <c r="F35" s="160">
        <f t="shared" si="0"/>
        <v>-51</v>
      </c>
      <c r="G35" s="161">
        <f t="shared" si="1"/>
        <v>0.8924050632911392</v>
      </c>
      <c r="H35" s="141">
        <v>373</v>
      </c>
      <c r="I35" s="142">
        <v>0</v>
      </c>
      <c r="J35" s="174">
        <f t="shared" si="2"/>
        <v>373</v>
      </c>
      <c r="K35" s="164">
        <f t="shared" si="3"/>
        <v>-50</v>
      </c>
      <c r="L35" s="165">
        <f t="shared" si="4"/>
        <v>0.8817966903073287</v>
      </c>
    </row>
    <row r="36" spans="1:12" ht="14.25">
      <c r="A36" s="441" t="s">
        <v>93</v>
      </c>
      <c r="B36" s="441"/>
      <c r="C36" s="441"/>
      <c r="D36" s="143">
        <v>833</v>
      </c>
      <c r="E36" s="140">
        <v>809</v>
      </c>
      <c r="F36" s="160">
        <f t="shared" si="0"/>
        <v>-24</v>
      </c>
      <c r="G36" s="161">
        <f t="shared" si="1"/>
        <v>0.9711884753901561</v>
      </c>
      <c r="H36" s="141">
        <v>850</v>
      </c>
      <c r="I36" s="142">
        <v>0</v>
      </c>
      <c r="J36" s="174">
        <f t="shared" si="2"/>
        <v>850</v>
      </c>
      <c r="K36" s="164">
        <f t="shared" si="3"/>
        <v>41</v>
      </c>
      <c r="L36" s="165">
        <f t="shared" si="4"/>
        <v>1.0506798516687268</v>
      </c>
    </row>
    <row r="37" spans="1:12" ht="14.25">
      <c r="A37" s="441" t="s">
        <v>94</v>
      </c>
      <c r="B37" s="441"/>
      <c r="C37" s="441"/>
      <c r="D37" s="143">
        <v>0</v>
      </c>
      <c r="E37" s="140">
        <v>0</v>
      </c>
      <c r="F37" s="160">
        <f t="shared" si="0"/>
        <v>0</v>
      </c>
      <c r="G37" s="161"/>
      <c r="H37" s="141">
        <v>0</v>
      </c>
      <c r="I37" s="142">
        <v>0</v>
      </c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>
        <v>0</v>
      </c>
      <c r="E38" s="140">
        <v>0</v>
      </c>
      <c r="F38" s="160">
        <f t="shared" si="0"/>
        <v>0</v>
      </c>
      <c r="G38" s="161"/>
      <c r="H38" s="141">
        <v>0</v>
      </c>
      <c r="I38" s="142">
        <v>0</v>
      </c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55</v>
      </c>
      <c r="E39" s="140">
        <v>66</v>
      </c>
      <c r="F39" s="160">
        <f t="shared" si="0"/>
        <v>11</v>
      </c>
      <c r="G39" s="161">
        <f t="shared" si="1"/>
        <v>1.2</v>
      </c>
      <c r="H39" s="141">
        <v>70</v>
      </c>
      <c r="I39" s="142">
        <v>0</v>
      </c>
      <c r="J39" s="174">
        <f t="shared" si="2"/>
        <v>70</v>
      </c>
      <c r="K39" s="164">
        <f t="shared" si="3"/>
        <v>4</v>
      </c>
      <c r="L39" s="165">
        <f t="shared" si="4"/>
        <v>1.0606060606060606</v>
      </c>
    </row>
    <row r="40" spans="1:12" ht="14.25">
      <c r="A40" s="441" t="s">
        <v>97</v>
      </c>
      <c r="B40" s="441"/>
      <c r="C40" s="441"/>
      <c r="D40" s="143">
        <v>0</v>
      </c>
      <c r="E40" s="140">
        <v>0</v>
      </c>
      <c r="F40" s="160">
        <f t="shared" si="0"/>
        <v>0</v>
      </c>
      <c r="G40" s="161"/>
      <c r="H40" s="141">
        <v>0</v>
      </c>
      <c r="I40" s="142">
        <v>0</v>
      </c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670</v>
      </c>
      <c r="E41" s="140">
        <v>974</v>
      </c>
      <c r="F41" s="160">
        <f t="shared" si="0"/>
        <v>304</v>
      </c>
      <c r="G41" s="161">
        <f t="shared" si="1"/>
        <v>1.4537313432835821</v>
      </c>
      <c r="H41" s="141">
        <v>372</v>
      </c>
      <c r="I41" s="142">
        <v>0</v>
      </c>
      <c r="J41" s="174">
        <f t="shared" si="2"/>
        <v>372</v>
      </c>
      <c r="K41" s="164">
        <f t="shared" si="3"/>
        <v>-602</v>
      </c>
      <c r="L41" s="165">
        <f t="shared" si="4"/>
        <v>0.38193018480492813</v>
      </c>
    </row>
    <row r="42" spans="1:12" ht="14.25">
      <c r="A42" s="441" t="s">
        <v>99</v>
      </c>
      <c r="B42" s="441"/>
      <c r="C42" s="441"/>
      <c r="D42" s="143">
        <v>46</v>
      </c>
      <c r="E42" s="140">
        <v>59</v>
      </c>
      <c r="F42" s="160">
        <f t="shared" si="0"/>
        <v>13</v>
      </c>
      <c r="G42" s="161">
        <f t="shared" si="1"/>
        <v>1.2826086956521738</v>
      </c>
      <c r="H42" s="141">
        <v>60</v>
      </c>
      <c r="I42" s="142">
        <v>0</v>
      </c>
      <c r="J42" s="174">
        <f t="shared" si="2"/>
        <v>60</v>
      </c>
      <c r="K42" s="164">
        <f t="shared" si="3"/>
        <v>1</v>
      </c>
      <c r="L42" s="165">
        <f t="shared" si="4"/>
        <v>1.0169491525423728</v>
      </c>
    </row>
    <row r="43" spans="1:12" ht="14.25">
      <c r="A43" s="441" t="s">
        <v>100</v>
      </c>
      <c r="B43" s="441"/>
      <c r="C43" s="441"/>
      <c r="D43" s="143">
        <v>0</v>
      </c>
      <c r="E43" s="140">
        <v>5</v>
      </c>
      <c r="F43" s="160">
        <f t="shared" si="0"/>
        <v>5</v>
      </c>
      <c r="G43" s="161"/>
      <c r="H43" s="141">
        <v>5</v>
      </c>
      <c r="I43" s="142">
        <v>0</v>
      </c>
      <c r="J43" s="174">
        <f t="shared" si="2"/>
        <v>5</v>
      </c>
      <c r="K43" s="164">
        <f t="shared" si="3"/>
        <v>0</v>
      </c>
      <c r="L43" s="165">
        <f t="shared" si="4"/>
        <v>1</v>
      </c>
    </row>
    <row r="44" spans="1:12" ht="14.25">
      <c r="A44" s="441" t="s">
        <v>101</v>
      </c>
      <c r="B44" s="441"/>
      <c r="C44" s="441"/>
      <c r="D44" s="143">
        <v>542</v>
      </c>
      <c r="E44" s="140">
        <v>522</v>
      </c>
      <c r="F44" s="160">
        <f t="shared" si="0"/>
        <v>-20</v>
      </c>
      <c r="G44" s="161">
        <f t="shared" si="1"/>
        <v>0.9630996309963099</v>
      </c>
      <c r="H44" s="141">
        <f>SUM(H45:H47)</f>
        <v>525</v>
      </c>
      <c r="I44" s="142">
        <v>0</v>
      </c>
      <c r="J44" s="174">
        <f t="shared" si="2"/>
        <v>525</v>
      </c>
      <c r="K44" s="164">
        <f t="shared" si="3"/>
        <v>3</v>
      </c>
      <c r="L44" s="165">
        <f t="shared" si="4"/>
        <v>1.0057471264367817</v>
      </c>
    </row>
    <row r="45" spans="1:15" ht="14.25">
      <c r="A45" s="441" t="s">
        <v>102</v>
      </c>
      <c r="B45" s="441"/>
      <c r="C45" s="441"/>
      <c r="D45" s="143">
        <v>4</v>
      </c>
      <c r="E45" s="140">
        <v>1</v>
      </c>
      <c r="F45" s="160">
        <f t="shared" si="0"/>
        <v>-3</v>
      </c>
      <c r="G45" s="161">
        <f t="shared" si="1"/>
        <v>0.25</v>
      </c>
      <c r="H45" s="141">
        <v>1</v>
      </c>
      <c r="I45" s="142">
        <v>0</v>
      </c>
      <c r="J45" s="174">
        <f t="shared" si="2"/>
        <v>1</v>
      </c>
      <c r="K45" s="164">
        <f t="shared" si="3"/>
        <v>0</v>
      </c>
      <c r="L45" s="165">
        <f t="shared" si="4"/>
        <v>1</v>
      </c>
      <c r="O45" s="147"/>
    </row>
    <row r="46" spans="1:12" ht="14.25">
      <c r="A46" s="441" t="s">
        <v>103</v>
      </c>
      <c r="B46" s="441"/>
      <c r="C46" s="441"/>
      <c r="D46" s="143">
        <v>0</v>
      </c>
      <c r="E46" s="140">
        <v>0</v>
      </c>
      <c r="F46" s="160">
        <f t="shared" si="0"/>
        <v>0</v>
      </c>
      <c r="G46" s="161"/>
      <c r="H46" s="141">
        <v>0</v>
      </c>
      <c r="I46" s="142">
        <v>0</v>
      </c>
      <c r="J46" s="174">
        <f t="shared" si="2"/>
        <v>0</v>
      </c>
      <c r="K46" s="164">
        <f t="shared" si="3"/>
        <v>0</v>
      </c>
      <c r="L46" s="165"/>
    </row>
    <row r="47" spans="1:12" ht="14.25">
      <c r="A47" s="441" t="s">
        <v>104</v>
      </c>
      <c r="B47" s="441"/>
      <c r="C47" s="441"/>
      <c r="D47" s="143">
        <v>538</v>
      </c>
      <c r="E47" s="140">
        <v>521</v>
      </c>
      <c r="F47" s="160">
        <f t="shared" si="0"/>
        <v>-17</v>
      </c>
      <c r="G47" s="161">
        <f t="shared" si="1"/>
        <v>0.9684014869888475</v>
      </c>
      <c r="H47" s="141">
        <v>524</v>
      </c>
      <c r="I47" s="142">
        <v>0</v>
      </c>
      <c r="J47" s="174">
        <f t="shared" si="2"/>
        <v>524</v>
      </c>
      <c r="K47" s="164">
        <f t="shared" si="3"/>
        <v>3</v>
      </c>
      <c r="L47" s="165">
        <f t="shared" si="4"/>
        <v>1.0057581573896353</v>
      </c>
    </row>
    <row r="48" spans="1:12" ht="14.25">
      <c r="A48" s="441" t="s">
        <v>105</v>
      </c>
      <c r="B48" s="441"/>
      <c r="C48" s="441"/>
      <c r="D48" s="196">
        <v>10372</v>
      </c>
      <c r="E48" s="177">
        <v>10920</v>
      </c>
      <c r="F48" s="197">
        <f t="shared" si="0"/>
        <v>548</v>
      </c>
      <c r="G48" s="198">
        <f t="shared" si="1"/>
        <v>1.0528345545699962</v>
      </c>
      <c r="H48" s="172">
        <f>H49+H52</f>
        <v>10764</v>
      </c>
      <c r="I48" s="173">
        <v>0</v>
      </c>
      <c r="J48" s="174">
        <f t="shared" si="2"/>
        <v>10764</v>
      </c>
      <c r="K48" s="199">
        <f t="shared" si="3"/>
        <v>-156</v>
      </c>
      <c r="L48" s="200">
        <f t="shared" si="4"/>
        <v>0.9857142857142858</v>
      </c>
    </row>
    <row r="49" spans="1:12" ht="14.25">
      <c r="A49" s="441" t="s">
        <v>106</v>
      </c>
      <c r="B49" s="441"/>
      <c r="C49" s="441"/>
      <c r="D49" s="143">
        <v>7718</v>
      </c>
      <c r="E49" s="140">
        <v>8022</v>
      </c>
      <c r="F49" s="160">
        <f t="shared" si="0"/>
        <v>304</v>
      </c>
      <c r="G49" s="161">
        <f t="shared" si="1"/>
        <v>1.0393884426017104</v>
      </c>
      <c r="H49" s="141">
        <f>H50+H51</f>
        <v>7944</v>
      </c>
      <c r="I49" s="142">
        <v>0</v>
      </c>
      <c r="J49" s="174">
        <f t="shared" si="2"/>
        <v>7944</v>
      </c>
      <c r="K49" s="164">
        <f t="shared" si="3"/>
        <v>-78</v>
      </c>
      <c r="L49" s="165">
        <f t="shared" si="4"/>
        <v>0.9902767389678384</v>
      </c>
    </row>
    <row r="50" spans="1:12" ht="14.25">
      <c r="A50" s="441" t="s">
        <v>107</v>
      </c>
      <c r="B50" s="441"/>
      <c r="C50" s="441"/>
      <c r="D50" s="143">
        <v>7653</v>
      </c>
      <c r="E50" s="140">
        <v>7995</v>
      </c>
      <c r="F50" s="160">
        <f t="shared" si="0"/>
        <v>342</v>
      </c>
      <c r="G50" s="161">
        <f t="shared" si="1"/>
        <v>1.04468835750686</v>
      </c>
      <c r="H50" s="141">
        <v>7914</v>
      </c>
      <c r="I50" s="142">
        <v>0</v>
      </c>
      <c r="J50" s="174">
        <f t="shared" si="2"/>
        <v>7914</v>
      </c>
      <c r="K50" s="164">
        <f t="shared" si="3"/>
        <v>-81</v>
      </c>
      <c r="L50" s="165">
        <f t="shared" si="4"/>
        <v>0.9898686679174484</v>
      </c>
    </row>
    <row r="51" spans="1:12" ht="14.25">
      <c r="A51" s="441" t="s">
        <v>108</v>
      </c>
      <c r="B51" s="441"/>
      <c r="C51" s="441"/>
      <c r="D51" s="143">
        <v>65</v>
      </c>
      <c r="E51" s="140">
        <v>27</v>
      </c>
      <c r="F51" s="160">
        <f t="shared" si="0"/>
        <v>-38</v>
      </c>
      <c r="G51" s="161">
        <f t="shared" si="1"/>
        <v>0.4153846153846154</v>
      </c>
      <c r="H51" s="141">
        <v>30</v>
      </c>
      <c r="I51" s="142">
        <v>0</v>
      </c>
      <c r="J51" s="174">
        <f t="shared" si="2"/>
        <v>30</v>
      </c>
      <c r="K51" s="164">
        <f t="shared" si="3"/>
        <v>3</v>
      </c>
      <c r="L51" s="165">
        <f t="shared" si="4"/>
        <v>1.1111111111111112</v>
      </c>
    </row>
    <row r="52" spans="1:12" ht="14.25">
      <c r="A52" s="441" t="s">
        <v>109</v>
      </c>
      <c r="B52" s="441"/>
      <c r="C52" s="441"/>
      <c r="D52" s="143">
        <v>2654</v>
      </c>
      <c r="E52" s="140">
        <v>2898</v>
      </c>
      <c r="F52" s="160">
        <f t="shared" si="0"/>
        <v>244</v>
      </c>
      <c r="G52" s="161">
        <f t="shared" si="1"/>
        <v>1.0919366993217785</v>
      </c>
      <c r="H52" s="141">
        <v>2820</v>
      </c>
      <c r="I52" s="142">
        <v>0</v>
      </c>
      <c r="J52" s="174">
        <f t="shared" si="2"/>
        <v>2820</v>
      </c>
      <c r="K52" s="164">
        <f t="shared" si="3"/>
        <v>-78</v>
      </c>
      <c r="L52" s="165">
        <f t="shared" si="4"/>
        <v>0.9730848861283644</v>
      </c>
    </row>
    <row r="53" spans="1:12" ht="14.25">
      <c r="A53" s="441" t="s">
        <v>110</v>
      </c>
      <c r="B53" s="441"/>
      <c r="C53" s="441"/>
      <c r="D53" s="143">
        <v>0</v>
      </c>
      <c r="E53" s="140">
        <v>0</v>
      </c>
      <c r="F53" s="160">
        <f t="shared" si="0"/>
        <v>0</v>
      </c>
      <c r="G53" s="161"/>
      <c r="H53" s="141">
        <v>0</v>
      </c>
      <c r="I53" s="142">
        <v>0</v>
      </c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>
        <v>0</v>
      </c>
      <c r="E54" s="140">
        <v>0</v>
      </c>
      <c r="F54" s="160">
        <f t="shared" si="0"/>
        <v>0</v>
      </c>
      <c r="G54" s="161"/>
      <c r="H54" s="141">
        <v>0</v>
      </c>
      <c r="I54" s="142">
        <v>0</v>
      </c>
      <c r="J54" s="174">
        <f t="shared" si="2"/>
        <v>0</v>
      </c>
      <c r="K54" s="164">
        <f t="shared" si="3"/>
        <v>0</v>
      </c>
      <c r="L54" s="165"/>
    </row>
    <row r="55" spans="1:12" ht="14.25">
      <c r="A55" s="441" t="s">
        <v>112</v>
      </c>
      <c r="B55" s="441"/>
      <c r="C55" s="441"/>
      <c r="D55" s="143">
        <v>124</v>
      </c>
      <c r="E55" s="140">
        <v>117</v>
      </c>
      <c r="F55" s="160">
        <f t="shared" si="0"/>
        <v>-7</v>
      </c>
      <c r="G55" s="161">
        <f t="shared" si="1"/>
        <v>0.9435483870967742</v>
      </c>
      <c r="H55" s="141">
        <v>120</v>
      </c>
      <c r="I55" s="142">
        <v>0</v>
      </c>
      <c r="J55" s="174">
        <f t="shared" si="2"/>
        <v>120</v>
      </c>
      <c r="K55" s="164">
        <f t="shared" si="3"/>
        <v>3</v>
      </c>
      <c r="L55" s="165">
        <f t="shared" si="4"/>
        <v>1.0256410256410255</v>
      </c>
    </row>
    <row r="56" spans="1:12" ht="14.25">
      <c r="A56" s="441" t="s">
        <v>113</v>
      </c>
      <c r="B56" s="441"/>
      <c r="C56" s="441"/>
      <c r="D56" s="143">
        <v>0</v>
      </c>
      <c r="E56" s="140">
        <v>0</v>
      </c>
      <c r="F56" s="160">
        <f t="shared" si="0"/>
        <v>0</v>
      </c>
      <c r="G56" s="161"/>
      <c r="H56" s="141">
        <v>0</v>
      </c>
      <c r="I56" s="142">
        <v>0</v>
      </c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581</v>
      </c>
      <c r="E57" s="140">
        <v>599</v>
      </c>
      <c r="F57" s="160">
        <f t="shared" si="0"/>
        <v>18</v>
      </c>
      <c r="G57" s="161">
        <f t="shared" si="1"/>
        <v>1.0309810671256454</v>
      </c>
      <c r="H57" s="141">
        <v>465</v>
      </c>
      <c r="I57" s="142">
        <v>0</v>
      </c>
      <c r="J57" s="174">
        <f t="shared" si="2"/>
        <v>465</v>
      </c>
      <c r="K57" s="164">
        <f t="shared" si="3"/>
        <v>-134</v>
      </c>
      <c r="L57" s="165">
        <f t="shared" si="4"/>
        <v>0.7762938230383973</v>
      </c>
    </row>
    <row r="58" spans="1:12" ht="14.25">
      <c r="A58" s="441" t="s">
        <v>115</v>
      </c>
      <c r="B58" s="441"/>
      <c r="C58" s="441"/>
      <c r="D58" s="143">
        <v>0</v>
      </c>
      <c r="E58" s="140">
        <v>0</v>
      </c>
      <c r="F58" s="160">
        <f t="shared" si="0"/>
        <v>0</v>
      </c>
      <c r="G58" s="161"/>
      <c r="H58" s="141">
        <v>0</v>
      </c>
      <c r="I58" s="142">
        <v>0</v>
      </c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>
        <v>0</v>
      </c>
      <c r="E59" s="148">
        <v>0</v>
      </c>
      <c r="F59" s="162">
        <f t="shared" si="0"/>
        <v>0</v>
      </c>
      <c r="G59" s="163"/>
      <c r="H59" s="145">
        <v>0</v>
      </c>
      <c r="I59" s="146">
        <v>0</v>
      </c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16403</v>
      </c>
      <c r="E60" s="180">
        <v>17050</v>
      </c>
      <c r="F60" s="181">
        <f t="shared" si="0"/>
        <v>647</v>
      </c>
      <c r="G60" s="182">
        <f t="shared" si="1"/>
        <v>1.039444004145583</v>
      </c>
      <c r="H60" s="183">
        <f>SUM(H28,H34,H40:H44,H48,H53:H55,H57:H59)</f>
        <v>16404</v>
      </c>
      <c r="I60" s="184">
        <v>0</v>
      </c>
      <c r="J60" s="185">
        <f t="shared" si="2"/>
        <v>16404</v>
      </c>
      <c r="K60" s="183">
        <f t="shared" si="3"/>
        <v>-646</v>
      </c>
      <c r="L60" s="186">
        <f t="shared" si="4"/>
        <v>0.9621114369501467</v>
      </c>
    </row>
    <row r="61" spans="1:14" s="6" customFormat="1" ht="15">
      <c r="A61" s="447" t="s">
        <v>17</v>
      </c>
      <c r="B61" s="447"/>
      <c r="C61" s="447"/>
      <c r="D61" s="96">
        <v>158</v>
      </c>
      <c r="E61" s="96">
        <v>19</v>
      </c>
      <c r="F61" s="96"/>
      <c r="G61" s="96"/>
      <c r="H61" s="96">
        <f>H27-H60</f>
        <v>0</v>
      </c>
      <c r="I61" s="96">
        <v>0</v>
      </c>
      <c r="J61" s="96">
        <f t="shared" si="2"/>
        <v>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>
        <v>0</v>
      </c>
      <c r="E62" s="97">
        <v>0</v>
      </c>
      <c r="F62" s="98"/>
      <c r="G62" s="116"/>
      <c r="H62" s="10"/>
      <c r="I62" s="76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298</v>
      </c>
      <c r="B67" s="382"/>
      <c r="C67" s="13">
        <v>100</v>
      </c>
      <c r="D67" s="14"/>
      <c r="E67" s="382" t="s">
        <v>330</v>
      </c>
      <c r="F67" s="382"/>
      <c r="G67" s="382"/>
      <c r="H67" s="382"/>
      <c r="I67" s="15">
        <v>80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299</v>
      </c>
      <c r="B68" s="382"/>
      <c r="C68" s="13">
        <v>280</v>
      </c>
      <c r="D68" s="14"/>
      <c r="E68" s="380" t="s">
        <v>302</v>
      </c>
      <c r="F68" s="380"/>
      <c r="G68" s="380"/>
      <c r="H68" s="380"/>
      <c r="I68" s="16">
        <v>192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300</v>
      </c>
      <c r="B69" s="382"/>
      <c r="C69" s="13">
        <v>100</v>
      </c>
      <c r="D69" s="14"/>
      <c r="E69" s="380" t="s">
        <v>303</v>
      </c>
      <c r="F69" s="380"/>
      <c r="G69" s="380"/>
      <c r="H69" s="380"/>
      <c r="I69" s="16">
        <v>100</v>
      </c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301</v>
      </c>
      <c r="B70" s="382"/>
      <c r="C70" s="13">
        <v>250</v>
      </c>
      <c r="D70" s="14"/>
      <c r="E70" s="380"/>
      <c r="F70" s="380"/>
      <c r="G70" s="380"/>
      <c r="H70" s="380"/>
      <c r="I70" s="16"/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 t="s">
        <v>177</v>
      </c>
      <c r="B71" s="384"/>
      <c r="C71" s="15">
        <v>166</v>
      </c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896</v>
      </c>
      <c r="D75" s="36"/>
      <c r="E75" s="404" t="s">
        <v>12</v>
      </c>
      <c r="F75" s="404"/>
      <c r="G75" s="404"/>
      <c r="H75" s="404"/>
      <c r="I75" s="37">
        <f>SUM(I67:I74)</f>
        <v>372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22502</v>
      </c>
      <c r="B81" s="46">
        <v>5527</v>
      </c>
      <c r="C81" s="47">
        <v>465</v>
      </c>
      <c r="D81" s="48">
        <v>34</v>
      </c>
      <c r="E81" s="48">
        <v>243</v>
      </c>
      <c r="F81" s="48">
        <v>22</v>
      </c>
      <c r="G81" s="48">
        <v>0</v>
      </c>
      <c r="H81" s="49">
        <v>166</v>
      </c>
      <c r="I81" s="50"/>
      <c r="J81" s="261">
        <v>16510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/>
      <c r="C86" s="61" t="s">
        <v>38</v>
      </c>
      <c r="D86" s="62" t="s">
        <v>38</v>
      </c>
      <c r="E86" s="62" t="s">
        <v>38</v>
      </c>
      <c r="F86" s="63"/>
      <c r="G86" s="64">
        <v>1107.3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/>
      <c r="C87" s="71">
        <v>61</v>
      </c>
      <c r="D87" s="72">
        <v>0</v>
      </c>
      <c r="E87" s="72">
        <v>0</v>
      </c>
      <c r="F87" s="73">
        <f>C87+D87-E87</f>
        <v>61</v>
      </c>
      <c r="G87" s="74">
        <v>60.92</v>
      </c>
      <c r="H87" s="75">
        <f>+G87-F87</f>
        <v>-0.0799999999999983</v>
      </c>
      <c r="I87" s="71">
        <v>61</v>
      </c>
      <c r="J87" s="72">
        <v>0</v>
      </c>
      <c r="K87" s="72">
        <v>0</v>
      </c>
      <c r="L87" s="73">
        <f>I87+J87-K87</f>
        <v>61</v>
      </c>
      <c r="M87" s="76"/>
    </row>
    <row r="88" spans="1:13" s="10" customFormat="1" ht="15">
      <c r="A88" s="69" t="s">
        <v>40</v>
      </c>
      <c r="B88" s="70"/>
      <c r="C88" s="71">
        <v>97</v>
      </c>
      <c r="D88" s="72">
        <v>158</v>
      </c>
      <c r="E88" s="72">
        <v>0</v>
      </c>
      <c r="F88" s="73">
        <f>C88+D88-E88</f>
        <v>255</v>
      </c>
      <c r="G88" s="74">
        <v>254.8</v>
      </c>
      <c r="H88" s="75">
        <f>+G88-F88</f>
        <v>-0.19999999999998863</v>
      </c>
      <c r="I88" s="71">
        <v>255</v>
      </c>
      <c r="J88" s="72">
        <v>19</v>
      </c>
      <c r="K88" s="72">
        <v>274</v>
      </c>
      <c r="L88" s="73">
        <f>I88+J88-K88</f>
        <v>0</v>
      </c>
      <c r="M88" s="76"/>
    </row>
    <row r="89" spans="1:13" s="10" customFormat="1" ht="15">
      <c r="A89" s="69" t="s">
        <v>44</v>
      </c>
      <c r="B89" s="70"/>
      <c r="C89" s="71">
        <v>599</v>
      </c>
      <c r="D89" s="72">
        <v>599</v>
      </c>
      <c r="E89" s="72">
        <v>762</v>
      </c>
      <c r="F89" s="73">
        <f>C89+D89-E89</f>
        <v>436</v>
      </c>
      <c r="G89" s="74">
        <v>436.45</v>
      </c>
      <c r="H89" s="75">
        <f>+G89-F89</f>
        <v>0.44999999999998863</v>
      </c>
      <c r="I89" s="77">
        <v>436</v>
      </c>
      <c r="J89" s="78">
        <v>465</v>
      </c>
      <c r="K89" s="78">
        <v>896</v>
      </c>
      <c r="L89" s="73">
        <f>I89+J89-K89</f>
        <v>5</v>
      </c>
      <c r="M89" s="76"/>
    </row>
    <row r="90" spans="1:13" s="10" customFormat="1" ht="15">
      <c r="A90" s="69" t="s">
        <v>41</v>
      </c>
      <c r="B90" s="70"/>
      <c r="C90" s="79" t="s">
        <v>38</v>
      </c>
      <c r="D90" s="62" t="s">
        <v>38</v>
      </c>
      <c r="E90" s="80" t="s">
        <v>38</v>
      </c>
      <c r="F90" s="73"/>
      <c r="G90" s="74">
        <v>355.13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193.19</v>
      </c>
      <c r="C91" s="84">
        <v>204</v>
      </c>
      <c r="D91" s="85">
        <v>160</v>
      </c>
      <c r="E91" s="85">
        <v>196</v>
      </c>
      <c r="F91" s="73">
        <f>C91+D91-E91</f>
        <v>168</v>
      </c>
      <c r="G91" s="109">
        <v>156.86</v>
      </c>
      <c r="H91" s="110">
        <f>+G91-F91</f>
        <v>-11.139999999999986</v>
      </c>
      <c r="I91" s="111">
        <v>168</v>
      </c>
      <c r="J91" s="112">
        <v>79</v>
      </c>
      <c r="K91" s="112">
        <v>161</v>
      </c>
      <c r="L91" s="73">
        <f>I91+J91-K91</f>
        <v>86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34</v>
      </c>
      <c r="C97" s="91">
        <v>34</v>
      </c>
      <c r="D97" s="149"/>
      <c r="E97" s="89">
        <v>2010</v>
      </c>
      <c r="F97" s="418">
        <v>70</v>
      </c>
      <c r="G97" s="418"/>
      <c r="I97" s="89">
        <v>2010</v>
      </c>
      <c r="J97" s="90">
        <v>7914</v>
      </c>
      <c r="K97" s="91">
        <v>7995</v>
      </c>
    </row>
    <row r="98" spans="1:11" s="6" customFormat="1" ht="15.75" thickBot="1">
      <c r="A98" s="92">
        <v>2011</v>
      </c>
      <c r="B98" s="93">
        <v>36</v>
      </c>
      <c r="C98" s="108" t="s">
        <v>62</v>
      </c>
      <c r="D98" s="149"/>
      <c r="E98" s="92">
        <v>2011</v>
      </c>
      <c r="F98" s="419">
        <v>70</v>
      </c>
      <c r="G98" s="419"/>
      <c r="I98" s="92">
        <v>2011</v>
      </c>
      <c r="J98" s="93">
        <v>7914</v>
      </c>
      <c r="K98" s="108" t="s">
        <v>62</v>
      </c>
    </row>
  </sheetData>
  <mergeCells count="104">
    <mergeCell ref="F4:G4"/>
    <mergeCell ref="I95:K95"/>
    <mergeCell ref="F96:G96"/>
    <mergeCell ref="A59:C59"/>
    <mergeCell ref="A60:C60"/>
    <mergeCell ref="A95:C95"/>
    <mergeCell ref="E95:G95"/>
    <mergeCell ref="E65:H66"/>
    <mergeCell ref="I65:I66"/>
    <mergeCell ref="E69:H69"/>
    <mergeCell ref="E70:H70"/>
    <mergeCell ref="A67:B67"/>
    <mergeCell ref="E67:H67"/>
    <mergeCell ref="A68:B68"/>
    <mergeCell ref="E68:H68"/>
    <mergeCell ref="A70:B70"/>
    <mergeCell ref="F97:G97"/>
    <mergeCell ref="F98:G98"/>
    <mergeCell ref="A71:B71"/>
    <mergeCell ref="E71:H71"/>
    <mergeCell ref="A72:B72"/>
    <mergeCell ref="E72:H72"/>
    <mergeCell ref="A73:B73"/>
    <mergeCell ref="E73:H73"/>
    <mergeCell ref="A74:B74"/>
    <mergeCell ref="E74:H74"/>
    <mergeCell ref="A61:C61"/>
    <mergeCell ref="A75:B75"/>
    <mergeCell ref="A55:C55"/>
    <mergeCell ref="A56:C56"/>
    <mergeCell ref="A57:C57"/>
    <mergeCell ref="A58:C58"/>
    <mergeCell ref="A69:B69"/>
    <mergeCell ref="A65:B66"/>
    <mergeCell ref="C65:C66"/>
    <mergeCell ref="A62:C62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E75:H75"/>
    <mergeCell ref="A78:A80"/>
    <mergeCell ref="B78:B80"/>
    <mergeCell ref="C78:I78"/>
    <mergeCell ref="C79:C80"/>
    <mergeCell ref="D79:I79"/>
    <mergeCell ref="J78:J80"/>
    <mergeCell ref="A84:A85"/>
    <mergeCell ref="B84:B85"/>
    <mergeCell ref="C84:F84"/>
    <mergeCell ref="G84:G85"/>
    <mergeCell ref="H84:H85"/>
    <mergeCell ref="I84:L84"/>
    <mergeCell ref="A3:G3"/>
    <mergeCell ref="A2:N2"/>
    <mergeCell ref="A8:C8"/>
    <mergeCell ref="A9:C9"/>
    <mergeCell ref="A7:C7"/>
    <mergeCell ref="A4:C6"/>
    <mergeCell ref="D4:D6"/>
    <mergeCell ref="H4:J4"/>
    <mergeCell ref="K4:L4"/>
    <mergeCell ref="E4:E6"/>
    <mergeCell ref="A10:C10"/>
    <mergeCell ref="A11:C11"/>
    <mergeCell ref="A12:C12"/>
    <mergeCell ref="A13:C13"/>
    <mergeCell ref="A14:C14"/>
    <mergeCell ref="A15:C15"/>
    <mergeCell ref="A16:C16"/>
    <mergeCell ref="A17:C17"/>
    <mergeCell ref="A22:C22"/>
    <mergeCell ref="A18:C18"/>
    <mergeCell ref="A19:C19"/>
    <mergeCell ref="A20:C20"/>
    <mergeCell ref="A21:C2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85" zoomScaleSheetLayoutView="85" workbookViewId="0" topLeftCell="A1">
      <selection activeCell="M65" sqref="M65"/>
    </sheetView>
  </sheetViews>
  <sheetFormatPr defaultColWidth="9.00390625" defaultRowHeight="12.75"/>
  <cols>
    <col min="1" max="1" width="27.875" style="0" customWidth="1"/>
    <col min="2" max="2" width="15.625" style="0" customWidth="1"/>
    <col min="3" max="3" width="9.625" style="0" customWidth="1"/>
    <col min="4" max="4" width="12.75390625" style="117" customWidth="1"/>
    <col min="5" max="5" width="12.75390625" style="118" customWidth="1"/>
    <col min="6" max="12" width="12.75390625" style="0" customWidth="1"/>
    <col min="13" max="13" width="9.75390625" style="0" customWidth="1"/>
    <col min="14" max="14" width="10.25390625" style="0" customWidth="1"/>
    <col min="15" max="15" width="10.75390625" style="0" customWidth="1"/>
  </cols>
  <sheetData>
    <row r="2" spans="1:14" s="6" customFormat="1" ht="15">
      <c r="A2" s="407" t="s">
        <v>137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s="138" customFormat="1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s="138" customFormat="1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s="138" customFormat="1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s="138" customFormat="1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s="138" customFormat="1" ht="14.25">
      <c r="A7" s="483" t="s">
        <v>65</v>
      </c>
      <c r="B7" s="483"/>
      <c r="C7" s="483"/>
      <c r="D7" s="168">
        <v>17144</v>
      </c>
      <c r="E7" s="169">
        <v>16973</v>
      </c>
      <c r="F7" s="170">
        <f>E7-D7</f>
        <v>-171</v>
      </c>
      <c r="G7" s="171">
        <f>E7/D7</f>
        <v>0.9900256649556696</v>
      </c>
      <c r="H7" s="172">
        <v>18764</v>
      </c>
      <c r="I7" s="173"/>
      <c r="J7" s="174">
        <f>H7+I7</f>
        <v>18764</v>
      </c>
      <c r="K7" s="175">
        <f>J7-E7</f>
        <v>1791</v>
      </c>
      <c r="L7" s="176">
        <f>J7/E7</f>
        <v>1.1055205326106168</v>
      </c>
    </row>
    <row r="8" spans="1:12" s="138" customFormat="1" ht="14.25">
      <c r="A8" s="465" t="s">
        <v>66</v>
      </c>
      <c r="B8" s="465"/>
      <c r="C8" s="465"/>
      <c r="D8" s="143">
        <v>9014</v>
      </c>
      <c r="E8" s="140">
        <v>8986</v>
      </c>
      <c r="F8" s="160">
        <f aca="true" t="shared" si="0" ref="F8:F60">E8-D8</f>
        <v>-28</v>
      </c>
      <c r="G8" s="161">
        <f aca="true" t="shared" si="1" ref="G8:G60">E8/D8</f>
        <v>0.9968937208786333</v>
      </c>
      <c r="H8" s="141">
        <v>10632</v>
      </c>
      <c r="I8" s="142"/>
      <c r="J8" s="174">
        <f aca="true" t="shared" si="2" ref="J8:J60">H8+I8</f>
        <v>10632</v>
      </c>
      <c r="K8" s="164">
        <f aca="true" t="shared" si="3" ref="K8:K59">J8-E8</f>
        <v>1646</v>
      </c>
      <c r="L8" s="165">
        <f aca="true" t="shared" si="4" ref="L8:L60">J8/E8</f>
        <v>1.1831738259514801</v>
      </c>
    </row>
    <row r="9" spans="1:12" s="138" customFormat="1" ht="14.25">
      <c r="A9" s="465" t="s">
        <v>67</v>
      </c>
      <c r="B9" s="465"/>
      <c r="C9" s="465"/>
      <c r="D9" s="143">
        <v>7560</v>
      </c>
      <c r="E9" s="140">
        <v>7188</v>
      </c>
      <c r="F9" s="160">
        <f t="shared" si="0"/>
        <v>-372</v>
      </c>
      <c r="G9" s="161">
        <f t="shared" si="1"/>
        <v>0.9507936507936507</v>
      </c>
      <c r="H9" s="141">
        <v>7536</v>
      </c>
      <c r="I9" s="142"/>
      <c r="J9" s="174">
        <f t="shared" si="2"/>
        <v>7536</v>
      </c>
      <c r="K9" s="164">
        <f t="shared" si="3"/>
        <v>348</v>
      </c>
      <c r="L9" s="165">
        <f t="shared" si="4"/>
        <v>1.0484140233722872</v>
      </c>
    </row>
    <row r="10" spans="1:12" s="138" customFormat="1" ht="14.25">
      <c r="A10" s="465" t="s">
        <v>68</v>
      </c>
      <c r="B10" s="465"/>
      <c r="C10" s="465"/>
      <c r="D10" s="143"/>
      <c r="E10" s="140"/>
      <c r="F10" s="160">
        <f t="shared" si="0"/>
        <v>0</v>
      </c>
      <c r="G10" s="161"/>
      <c r="H10" s="141">
        <v>40</v>
      </c>
      <c r="I10" s="142"/>
      <c r="J10" s="174">
        <f t="shared" si="2"/>
        <v>40</v>
      </c>
      <c r="K10" s="164">
        <f t="shared" si="3"/>
        <v>40</v>
      </c>
      <c r="L10" s="165"/>
    </row>
    <row r="11" spans="1:12" s="138" customFormat="1" ht="14.25">
      <c r="A11" s="465" t="s">
        <v>69</v>
      </c>
      <c r="B11" s="465"/>
      <c r="C11" s="465"/>
      <c r="D11" s="143">
        <v>299</v>
      </c>
      <c r="E11" s="140">
        <v>526</v>
      </c>
      <c r="F11" s="160">
        <f t="shared" si="0"/>
        <v>227</v>
      </c>
      <c r="G11" s="161">
        <f t="shared" si="1"/>
        <v>1.7591973244147157</v>
      </c>
      <c r="H11" s="141">
        <v>526</v>
      </c>
      <c r="I11" s="142"/>
      <c r="J11" s="174">
        <f t="shared" si="2"/>
        <v>526</v>
      </c>
      <c r="K11" s="164">
        <f t="shared" si="3"/>
        <v>0</v>
      </c>
      <c r="L11" s="165">
        <f t="shared" si="4"/>
        <v>1</v>
      </c>
    </row>
    <row r="12" spans="1:12" s="138" customFormat="1" ht="14.25">
      <c r="A12" s="465" t="s">
        <v>70</v>
      </c>
      <c r="B12" s="465"/>
      <c r="C12" s="465"/>
      <c r="D12" s="143">
        <v>236</v>
      </c>
      <c r="E12" s="140">
        <v>222</v>
      </c>
      <c r="F12" s="160">
        <f t="shared" si="0"/>
        <v>-14</v>
      </c>
      <c r="G12" s="161">
        <f t="shared" si="1"/>
        <v>0.940677966101695</v>
      </c>
      <c r="H12" s="141">
        <v>0</v>
      </c>
      <c r="I12" s="142"/>
      <c r="J12" s="174">
        <f t="shared" si="2"/>
        <v>0</v>
      </c>
      <c r="K12" s="164">
        <f t="shared" si="3"/>
        <v>-222</v>
      </c>
      <c r="L12" s="165">
        <f t="shared" si="4"/>
        <v>0</v>
      </c>
    </row>
    <row r="13" spans="1:12" s="138" customFormat="1" ht="14.25">
      <c r="A13" s="465" t="s">
        <v>71</v>
      </c>
      <c r="B13" s="465"/>
      <c r="C13" s="465"/>
      <c r="D13" s="143">
        <v>35</v>
      </c>
      <c r="E13" s="140">
        <v>51</v>
      </c>
      <c r="F13" s="160">
        <f t="shared" si="0"/>
        <v>16</v>
      </c>
      <c r="G13" s="161">
        <f t="shared" si="1"/>
        <v>1.457142857142857</v>
      </c>
      <c r="H13" s="141">
        <v>30</v>
      </c>
      <c r="I13" s="142"/>
      <c r="J13" s="174">
        <f t="shared" si="2"/>
        <v>30</v>
      </c>
      <c r="K13" s="164">
        <f t="shared" si="3"/>
        <v>-21</v>
      </c>
      <c r="L13" s="165">
        <f t="shared" si="4"/>
        <v>0.5882352941176471</v>
      </c>
    </row>
    <row r="14" spans="1:20" s="138" customFormat="1" ht="15">
      <c r="A14" s="456" t="s">
        <v>72</v>
      </c>
      <c r="B14" s="456"/>
      <c r="C14" s="456"/>
      <c r="D14" s="143"/>
      <c r="E14" s="177"/>
      <c r="F14" s="160">
        <f t="shared" si="0"/>
        <v>0</v>
      </c>
      <c r="G14" s="161"/>
      <c r="H14" s="172">
        <v>0</v>
      </c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s="138" customFormat="1" ht="14.25">
      <c r="A15" s="456" t="s">
        <v>73</v>
      </c>
      <c r="B15" s="456"/>
      <c r="C15" s="456"/>
      <c r="D15" s="143"/>
      <c r="E15" s="140"/>
      <c r="F15" s="160">
        <f t="shared" si="0"/>
        <v>0</v>
      </c>
      <c r="G15" s="161"/>
      <c r="H15" s="141">
        <v>0</v>
      </c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s="138" customFormat="1" ht="14.25">
      <c r="A16" s="456" t="s">
        <v>74</v>
      </c>
      <c r="B16" s="456"/>
      <c r="C16" s="456"/>
      <c r="D16" s="143">
        <v>127</v>
      </c>
      <c r="E16" s="140">
        <v>1807</v>
      </c>
      <c r="F16" s="160">
        <f t="shared" si="0"/>
        <v>1680</v>
      </c>
      <c r="G16" s="161">
        <f t="shared" si="1"/>
        <v>14.228346456692913</v>
      </c>
      <c r="H16" s="141">
        <v>30</v>
      </c>
      <c r="I16" s="142"/>
      <c r="J16" s="174">
        <f t="shared" si="2"/>
        <v>30</v>
      </c>
      <c r="K16" s="164">
        <f t="shared" si="3"/>
        <v>-1777</v>
      </c>
      <c r="L16" s="165">
        <f t="shared" si="4"/>
        <v>0.016602102933038185</v>
      </c>
      <c r="N16" s="139"/>
      <c r="O16" s="139"/>
      <c r="P16" s="139"/>
      <c r="Q16" s="139"/>
      <c r="R16" s="139"/>
      <c r="S16" s="139"/>
      <c r="T16" s="139"/>
    </row>
    <row r="17" spans="1:20" s="138" customFormat="1" ht="14.25">
      <c r="A17" s="456" t="s">
        <v>75</v>
      </c>
      <c r="B17" s="456"/>
      <c r="C17" s="456"/>
      <c r="D17" s="143"/>
      <c r="E17" s="140">
        <v>1807</v>
      </c>
      <c r="F17" s="160">
        <f t="shared" si="0"/>
        <v>1807</v>
      </c>
      <c r="G17" s="161"/>
      <c r="H17" s="141">
        <v>0</v>
      </c>
      <c r="I17" s="142"/>
      <c r="J17" s="174">
        <f t="shared" si="2"/>
        <v>0</v>
      </c>
      <c r="K17" s="164">
        <f t="shared" si="3"/>
        <v>-1807</v>
      </c>
      <c r="L17" s="165">
        <f t="shared" si="4"/>
        <v>0</v>
      </c>
      <c r="N17" s="144"/>
      <c r="O17" s="144"/>
      <c r="P17" s="144"/>
      <c r="Q17" s="144"/>
      <c r="R17" s="144"/>
      <c r="S17" s="144"/>
      <c r="T17" s="144"/>
    </row>
    <row r="18" spans="1:12" s="138" customFormat="1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>
        <v>0</v>
      </c>
      <c r="I18" s="142"/>
      <c r="J18" s="174">
        <f t="shared" si="2"/>
        <v>0</v>
      </c>
      <c r="K18" s="164">
        <f t="shared" si="3"/>
        <v>0</v>
      </c>
      <c r="L18" s="165"/>
    </row>
    <row r="19" spans="1:12" s="138" customFormat="1" ht="14.25">
      <c r="A19" s="456" t="s">
        <v>77</v>
      </c>
      <c r="B19" s="456"/>
      <c r="C19" s="456"/>
      <c r="D19" s="143"/>
      <c r="E19" s="140">
        <v>5</v>
      </c>
      <c r="F19" s="160">
        <f t="shared" si="0"/>
        <v>5</v>
      </c>
      <c r="G19" s="161"/>
      <c r="H19" s="141">
        <v>0</v>
      </c>
      <c r="I19" s="142"/>
      <c r="J19" s="174">
        <f t="shared" si="2"/>
        <v>0</v>
      </c>
      <c r="K19" s="164">
        <f t="shared" si="3"/>
        <v>-5</v>
      </c>
      <c r="L19" s="165">
        <f t="shared" si="4"/>
        <v>0</v>
      </c>
    </row>
    <row r="20" spans="1:12" s="138" customFormat="1" ht="14.25">
      <c r="A20" s="456" t="s">
        <v>78</v>
      </c>
      <c r="B20" s="456"/>
      <c r="C20" s="456"/>
      <c r="D20" s="143"/>
      <c r="E20" s="140"/>
      <c r="F20" s="160">
        <f t="shared" si="0"/>
        <v>0</v>
      </c>
      <c r="G20" s="161"/>
      <c r="H20" s="141">
        <v>0</v>
      </c>
      <c r="I20" s="142"/>
      <c r="J20" s="174">
        <f t="shared" si="2"/>
        <v>0</v>
      </c>
      <c r="K20" s="164">
        <f t="shared" si="3"/>
        <v>0</v>
      </c>
      <c r="L20" s="165"/>
    </row>
    <row r="21" spans="1:12" s="138" customFormat="1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>
        <v>0</v>
      </c>
      <c r="I21" s="142"/>
      <c r="J21" s="174">
        <f t="shared" si="2"/>
        <v>0</v>
      </c>
      <c r="K21" s="164">
        <f t="shared" si="3"/>
        <v>0</v>
      </c>
      <c r="L21" s="165"/>
    </row>
    <row r="22" spans="1:12" s="138" customFormat="1" ht="14.25">
      <c r="A22" s="456" t="s">
        <v>80</v>
      </c>
      <c r="B22" s="456"/>
      <c r="C22" s="456"/>
      <c r="D22" s="143">
        <v>11682</v>
      </c>
      <c r="E22" s="177">
        <v>12431</v>
      </c>
      <c r="F22" s="160">
        <f t="shared" si="0"/>
        <v>749</v>
      </c>
      <c r="G22" s="161">
        <f t="shared" si="1"/>
        <v>1.064115733607259</v>
      </c>
      <c r="H22" s="172">
        <f>H23+H24</f>
        <v>7176</v>
      </c>
      <c r="I22" s="173"/>
      <c r="J22" s="174">
        <f t="shared" si="2"/>
        <v>7176</v>
      </c>
      <c r="K22" s="164">
        <f t="shared" si="3"/>
        <v>-5255</v>
      </c>
      <c r="L22" s="165">
        <f t="shared" si="4"/>
        <v>0.5772665111415011</v>
      </c>
    </row>
    <row r="23" spans="1:12" s="138" customFormat="1" ht="14.25">
      <c r="A23" s="456" t="s">
        <v>81</v>
      </c>
      <c r="B23" s="456"/>
      <c r="C23" s="456"/>
      <c r="D23" s="143">
        <v>2911</v>
      </c>
      <c r="E23" s="140">
        <v>3681</v>
      </c>
      <c r="F23" s="160">
        <f t="shared" si="0"/>
        <v>770</v>
      </c>
      <c r="G23" s="161">
        <f t="shared" si="1"/>
        <v>1.2645139127447613</v>
      </c>
      <c r="H23" s="141">
        <v>1978</v>
      </c>
      <c r="I23" s="142"/>
      <c r="J23" s="174">
        <f t="shared" si="2"/>
        <v>1978</v>
      </c>
      <c r="K23" s="164">
        <f t="shared" si="3"/>
        <v>-1703</v>
      </c>
      <c r="L23" s="165">
        <f t="shared" si="4"/>
        <v>0.5373539798967671</v>
      </c>
    </row>
    <row r="24" spans="1:12" s="138" customFormat="1" ht="14.25">
      <c r="A24" s="456" t="s">
        <v>82</v>
      </c>
      <c r="B24" s="456"/>
      <c r="C24" s="456"/>
      <c r="D24" s="143">
        <v>8750</v>
      </c>
      <c r="E24" s="140">
        <v>8750</v>
      </c>
      <c r="F24" s="160">
        <f t="shared" si="0"/>
        <v>0</v>
      </c>
      <c r="G24" s="161">
        <f t="shared" si="1"/>
        <v>1</v>
      </c>
      <c r="H24" s="141">
        <v>5198</v>
      </c>
      <c r="I24" s="142"/>
      <c r="J24" s="174">
        <f t="shared" si="2"/>
        <v>5198</v>
      </c>
      <c r="K24" s="164">
        <f t="shared" si="3"/>
        <v>-3552</v>
      </c>
      <c r="L24" s="165">
        <f t="shared" si="4"/>
        <v>0.5940571428571428</v>
      </c>
    </row>
    <row r="25" spans="1:12" s="138" customFormat="1" ht="14.25">
      <c r="A25" s="456" t="s">
        <v>83</v>
      </c>
      <c r="B25" s="456"/>
      <c r="C25" s="456"/>
      <c r="D25" s="143">
        <v>21</v>
      </c>
      <c r="E25" s="140"/>
      <c r="F25" s="160">
        <f t="shared" si="0"/>
        <v>-21</v>
      </c>
      <c r="G25" s="161">
        <f t="shared" si="1"/>
        <v>0</v>
      </c>
      <c r="H25" s="141">
        <v>0</v>
      </c>
      <c r="I25" s="142"/>
      <c r="J25" s="174">
        <f t="shared" si="2"/>
        <v>0</v>
      </c>
      <c r="K25" s="164">
        <f t="shared" si="3"/>
        <v>0</v>
      </c>
      <c r="L25" s="165"/>
    </row>
    <row r="26" spans="1:12" s="138" customFormat="1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>
        <v>0</v>
      </c>
      <c r="I26" s="146"/>
      <c r="J26" s="178">
        <f t="shared" si="2"/>
        <v>0</v>
      </c>
      <c r="K26" s="166">
        <f t="shared" si="3"/>
        <v>0</v>
      </c>
      <c r="L26" s="167"/>
    </row>
    <row r="27" spans="1:12" s="138" customFormat="1" ht="15.75" thickBot="1">
      <c r="A27" s="462" t="s">
        <v>84</v>
      </c>
      <c r="B27" s="462"/>
      <c r="C27" s="462"/>
      <c r="D27" s="179">
        <v>28953</v>
      </c>
      <c r="E27" s="180">
        <v>31216</v>
      </c>
      <c r="F27" s="181">
        <f t="shared" si="0"/>
        <v>2263</v>
      </c>
      <c r="G27" s="182">
        <f t="shared" si="1"/>
        <v>1.0781611577384036</v>
      </c>
      <c r="H27" s="183">
        <f>30455-933-3552</f>
        <v>25970</v>
      </c>
      <c r="I27" s="184"/>
      <c r="J27" s="185">
        <f t="shared" si="2"/>
        <v>25970</v>
      </c>
      <c r="K27" s="183">
        <f t="shared" si="3"/>
        <v>-5246</v>
      </c>
      <c r="L27" s="186">
        <f t="shared" si="4"/>
        <v>0.8319451563300871</v>
      </c>
    </row>
    <row r="28" spans="1:12" s="138" customFormat="1" ht="14.25">
      <c r="A28" s="495" t="s">
        <v>85</v>
      </c>
      <c r="B28" s="495"/>
      <c r="C28" s="495"/>
      <c r="D28" s="187">
        <v>4915</v>
      </c>
      <c r="E28" s="188">
        <v>2570</v>
      </c>
      <c r="F28" s="189">
        <f t="shared" si="0"/>
        <v>-2345</v>
      </c>
      <c r="G28" s="190">
        <f t="shared" si="1"/>
        <v>0.5228891149542217</v>
      </c>
      <c r="H28" s="191">
        <v>760</v>
      </c>
      <c r="I28" s="192"/>
      <c r="J28" s="193">
        <f t="shared" si="2"/>
        <v>760</v>
      </c>
      <c r="K28" s="194">
        <f t="shared" si="3"/>
        <v>-1810</v>
      </c>
      <c r="L28" s="195">
        <f t="shared" si="4"/>
        <v>0.29571984435797666</v>
      </c>
    </row>
    <row r="29" spans="1:12" s="138" customFormat="1" ht="14.25">
      <c r="A29" s="441" t="s">
        <v>86</v>
      </c>
      <c r="B29" s="441"/>
      <c r="C29" s="441"/>
      <c r="D29" s="143">
        <v>2676</v>
      </c>
      <c r="E29" s="140">
        <v>1219</v>
      </c>
      <c r="F29" s="160">
        <f t="shared" si="0"/>
        <v>-1457</v>
      </c>
      <c r="G29" s="161">
        <f t="shared" si="1"/>
        <v>0.4555306427503737</v>
      </c>
      <c r="H29" s="141">
        <v>0</v>
      </c>
      <c r="I29" s="142"/>
      <c r="J29" s="174">
        <f t="shared" si="2"/>
        <v>0</v>
      </c>
      <c r="K29" s="164">
        <f t="shared" si="3"/>
        <v>-1219</v>
      </c>
      <c r="L29" s="165">
        <f t="shared" si="4"/>
        <v>0</v>
      </c>
    </row>
    <row r="30" spans="1:12" s="138" customFormat="1" ht="14.25">
      <c r="A30" s="441" t="s">
        <v>87</v>
      </c>
      <c r="B30" s="441"/>
      <c r="C30" s="441"/>
      <c r="D30" s="143">
        <v>81</v>
      </c>
      <c r="E30" s="140">
        <v>112</v>
      </c>
      <c r="F30" s="160">
        <f t="shared" si="0"/>
        <v>31</v>
      </c>
      <c r="G30" s="161">
        <f t="shared" si="1"/>
        <v>1.382716049382716</v>
      </c>
      <c r="H30" s="141">
        <v>110</v>
      </c>
      <c r="I30" s="142"/>
      <c r="J30" s="174">
        <f t="shared" si="2"/>
        <v>110</v>
      </c>
      <c r="K30" s="164">
        <f t="shared" si="3"/>
        <v>-2</v>
      </c>
      <c r="L30" s="165">
        <f t="shared" si="4"/>
        <v>0.9821428571428571</v>
      </c>
    </row>
    <row r="31" spans="1:12" s="138" customFormat="1" ht="14.25">
      <c r="A31" s="441" t="s">
        <v>88</v>
      </c>
      <c r="B31" s="441"/>
      <c r="C31" s="441"/>
      <c r="D31" s="143">
        <v>778</v>
      </c>
      <c r="E31" s="140">
        <v>68</v>
      </c>
      <c r="F31" s="160">
        <f t="shared" si="0"/>
        <v>-710</v>
      </c>
      <c r="G31" s="161">
        <f t="shared" si="1"/>
        <v>0.08740359897172237</v>
      </c>
      <c r="H31" s="141">
        <v>100</v>
      </c>
      <c r="I31" s="142"/>
      <c r="J31" s="174">
        <f t="shared" si="2"/>
        <v>100</v>
      </c>
      <c r="K31" s="164">
        <f t="shared" si="3"/>
        <v>32</v>
      </c>
      <c r="L31" s="165">
        <f t="shared" si="4"/>
        <v>1.4705882352941178</v>
      </c>
    </row>
    <row r="32" spans="1:12" s="138" customFormat="1" ht="14.25">
      <c r="A32" s="441" t="s">
        <v>89</v>
      </c>
      <c r="B32" s="441"/>
      <c r="C32" s="441"/>
      <c r="D32" s="143">
        <v>328</v>
      </c>
      <c r="E32" s="140">
        <v>624</v>
      </c>
      <c r="F32" s="160">
        <f t="shared" si="0"/>
        <v>296</v>
      </c>
      <c r="G32" s="161">
        <f t="shared" si="1"/>
        <v>1.9024390243902438</v>
      </c>
      <c r="H32" s="141">
        <v>400</v>
      </c>
      <c r="I32" s="142"/>
      <c r="J32" s="174">
        <f t="shared" si="2"/>
        <v>400</v>
      </c>
      <c r="K32" s="164">
        <f t="shared" si="3"/>
        <v>-224</v>
      </c>
      <c r="L32" s="165">
        <f t="shared" si="4"/>
        <v>0.6410256410256411</v>
      </c>
    </row>
    <row r="33" spans="1:12" s="138" customFormat="1" ht="14.25">
      <c r="A33" s="441" t="s">
        <v>90</v>
      </c>
      <c r="B33" s="441"/>
      <c r="C33" s="441"/>
      <c r="D33" s="143">
        <v>1052</v>
      </c>
      <c r="E33" s="140">
        <v>547</v>
      </c>
      <c r="F33" s="160">
        <f t="shared" si="0"/>
        <v>-505</v>
      </c>
      <c r="G33" s="161">
        <f t="shared" si="1"/>
        <v>0.5199619771863118</v>
      </c>
      <c r="H33" s="141">
        <v>150</v>
      </c>
      <c r="I33" s="142"/>
      <c r="J33" s="174">
        <f t="shared" si="2"/>
        <v>150</v>
      </c>
      <c r="K33" s="164">
        <f t="shared" si="3"/>
        <v>-397</v>
      </c>
      <c r="L33" s="165">
        <f t="shared" si="4"/>
        <v>0.2742230347349177</v>
      </c>
    </row>
    <row r="34" spans="1:12" s="138" customFormat="1" ht="14.25">
      <c r="A34" s="441" t="s">
        <v>91</v>
      </c>
      <c r="B34" s="441"/>
      <c r="C34" s="441"/>
      <c r="D34" s="196">
        <v>2369</v>
      </c>
      <c r="E34" s="177">
        <v>2293</v>
      </c>
      <c r="F34" s="197">
        <f t="shared" si="0"/>
        <v>-76</v>
      </c>
      <c r="G34" s="198">
        <f t="shared" si="1"/>
        <v>0.9679189531447868</v>
      </c>
      <c r="H34" s="172">
        <v>2205</v>
      </c>
      <c r="I34" s="173"/>
      <c r="J34" s="174">
        <f t="shared" si="2"/>
        <v>2205</v>
      </c>
      <c r="K34" s="199">
        <f t="shared" si="3"/>
        <v>-88</v>
      </c>
      <c r="L34" s="200">
        <f t="shared" si="4"/>
        <v>0.9616223288268644</v>
      </c>
    </row>
    <row r="35" spans="1:12" s="138" customFormat="1" ht="14.25">
      <c r="A35" s="441" t="s">
        <v>92</v>
      </c>
      <c r="B35" s="441"/>
      <c r="C35" s="441"/>
      <c r="D35" s="143">
        <v>745</v>
      </c>
      <c r="E35" s="140">
        <v>1428</v>
      </c>
      <c r="F35" s="160">
        <f t="shared" si="0"/>
        <v>683</v>
      </c>
      <c r="G35" s="161">
        <f t="shared" si="1"/>
        <v>1.9167785234899328</v>
      </c>
      <c r="H35" s="141">
        <v>390</v>
      </c>
      <c r="I35" s="142"/>
      <c r="J35" s="174">
        <f t="shared" si="2"/>
        <v>390</v>
      </c>
      <c r="K35" s="164">
        <f t="shared" si="3"/>
        <v>-1038</v>
      </c>
      <c r="L35" s="165">
        <f t="shared" si="4"/>
        <v>0.27310924369747897</v>
      </c>
    </row>
    <row r="36" spans="1:12" s="138" customFormat="1" ht="14.25">
      <c r="A36" s="441" t="s">
        <v>93</v>
      </c>
      <c r="B36" s="441"/>
      <c r="C36" s="441"/>
      <c r="D36" s="143">
        <v>1229</v>
      </c>
      <c r="E36" s="140">
        <v>575</v>
      </c>
      <c r="F36" s="160">
        <f t="shared" si="0"/>
        <v>-654</v>
      </c>
      <c r="G36" s="161">
        <f t="shared" si="1"/>
        <v>0.467860048820179</v>
      </c>
      <c r="H36" s="141">
        <v>0</v>
      </c>
      <c r="I36" s="142"/>
      <c r="J36" s="174">
        <f t="shared" si="2"/>
        <v>0</v>
      </c>
      <c r="K36" s="164">
        <f t="shared" si="3"/>
        <v>-575</v>
      </c>
      <c r="L36" s="165">
        <f t="shared" si="4"/>
        <v>0</v>
      </c>
    </row>
    <row r="37" spans="1:12" s="138" customFormat="1" ht="14.25">
      <c r="A37" s="441" t="s">
        <v>94</v>
      </c>
      <c r="B37" s="441"/>
      <c r="C37" s="441"/>
      <c r="D37" s="143"/>
      <c r="E37" s="140"/>
      <c r="F37" s="160">
        <f t="shared" si="0"/>
        <v>0</v>
      </c>
      <c r="G37" s="161"/>
      <c r="H37" s="141">
        <v>0</v>
      </c>
      <c r="I37" s="142"/>
      <c r="J37" s="174">
        <f t="shared" si="2"/>
        <v>0</v>
      </c>
      <c r="K37" s="164">
        <f t="shared" si="3"/>
        <v>0</v>
      </c>
      <c r="L37" s="165"/>
    </row>
    <row r="38" spans="1:12" s="138" customFormat="1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>
        <v>1543</v>
      </c>
      <c r="I38" s="142"/>
      <c r="J38" s="174">
        <f t="shared" si="2"/>
        <v>1543</v>
      </c>
      <c r="K38" s="164">
        <f t="shared" si="3"/>
        <v>1543</v>
      </c>
      <c r="L38" s="165"/>
    </row>
    <row r="39" spans="1:12" s="138" customFormat="1" ht="14.25">
      <c r="A39" s="441" t="s">
        <v>96</v>
      </c>
      <c r="B39" s="441"/>
      <c r="C39" s="441"/>
      <c r="D39" s="143">
        <v>395</v>
      </c>
      <c r="E39" s="140">
        <v>290</v>
      </c>
      <c r="F39" s="160">
        <f t="shared" si="0"/>
        <v>-105</v>
      </c>
      <c r="G39" s="161">
        <f t="shared" si="1"/>
        <v>0.7341772151898734</v>
      </c>
      <c r="H39" s="141">
        <v>272</v>
      </c>
      <c r="I39" s="142"/>
      <c r="J39" s="174">
        <f t="shared" si="2"/>
        <v>272</v>
      </c>
      <c r="K39" s="164">
        <f t="shared" si="3"/>
        <v>-18</v>
      </c>
      <c r="L39" s="165">
        <f t="shared" si="4"/>
        <v>0.9379310344827586</v>
      </c>
    </row>
    <row r="40" spans="1:12" s="138" customFormat="1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>
        <v>0</v>
      </c>
      <c r="I40" s="142"/>
      <c r="J40" s="174">
        <f t="shared" si="2"/>
        <v>0</v>
      </c>
      <c r="K40" s="164">
        <f t="shared" si="3"/>
        <v>0</v>
      </c>
      <c r="L40" s="165"/>
    </row>
    <row r="41" spans="1:12" s="138" customFormat="1" ht="14.25">
      <c r="A41" s="441" t="s">
        <v>98</v>
      </c>
      <c r="B41" s="441"/>
      <c r="C41" s="441"/>
      <c r="D41" s="143">
        <v>96</v>
      </c>
      <c r="E41" s="140">
        <v>146</v>
      </c>
      <c r="F41" s="160">
        <f t="shared" si="0"/>
        <v>50</v>
      </c>
      <c r="G41" s="161">
        <f t="shared" si="1"/>
        <v>1.5208333333333333</v>
      </c>
      <c r="H41" s="141">
        <v>100</v>
      </c>
      <c r="I41" s="142"/>
      <c r="J41" s="174">
        <f t="shared" si="2"/>
        <v>100</v>
      </c>
      <c r="K41" s="164">
        <f t="shared" si="3"/>
        <v>-46</v>
      </c>
      <c r="L41" s="165">
        <f t="shared" si="4"/>
        <v>0.684931506849315</v>
      </c>
    </row>
    <row r="42" spans="1:12" s="138" customFormat="1" ht="14.25">
      <c r="A42" s="441" t="s">
        <v>99</v>
      </c>
      <c r="B42" s="441"/>
      <c r="C42" s="441"/>
      <c r="D42" s="143">
        <v>69</v>
      </c>
      <c r="E42" s="140">
        <v>35</v>
      </c>
      <c r="F42" s="160">
        <f t="shared" si="0"/>
        <v>-34</v>
      </c>
      <c r="G42" s="161">
        <f t="shared" si="1"/>
        <v>0.5072463768115942</v>
      </c>
      <c r="H42" s="141">
        <v>40</v>
      </c>
      <c r="I42" s="142"/>
      <c r="J42" s="174">
        <f t="shared" si="2"/>
        <v>40</v>
      </c>
      <c r="K42" s="164">
        <f t="shared" si="3"/>
        <v>5</v>
      </c>
      <c r="L42" s="165">
        <f t="shared" si="4"/>
        <v>1.1428571428571428</v>
      </c>
    </row>
    <row r="43" spans="1:12" s="138" customFormat="1" ht="14.25">
      <c r="A43" s="441" t="s">
        <v>100</v>
      </c>
      <c r="B43" s="441"/>
      <c r="C43" s="441"/>
      <c r="D43" s="143">
        <v>2</v>
      </c>
      <c r="E43" s="140">
        <v>2</v>
      </c>
      <c r="F43" s="160">
        <f t="shared" si="0"/>
        <v>0</v>
      </c>
      <c r="G43" s="161">
        <f t="shared" si="1"/>
        <v>1</v>
      </c>
      <c r="H43" s="141">
        <v>10</v>
      </c>
      <c r="I43" s="142"/>
      <c r="J43" s="174">
        <f t="shared" si="2"/>
        <v>10</v>
      </c>
      <c r="K43" s="164">
        <f t="shared" si="3"/>
        <v>8</v>
      </c>
      <c r="L43" s="165">
        <f t="shared" si="4"/>
        <v>5</v>
      </c>
    </row>
    <row r="44" spans="1:12" s="138" customFormat="1" ht="14.25">
      <c r="A44" s="441" t="s">
        <v>101</v>
      </c>
      <c r="B44" s="441"/>
      <c r="C44" s="441"/>
      <c r="D44" s="143">
        <v>1070</v>
      </c>
      <c r="E44" s="140">
        <v>4700</v>
      </c>
      <c r="F44" s="160">
        <f t="shared" si="0"/>
        <v>3630</v>
      </c>
      <c r="G44" s="161">
        <f t="shared" si="1"/>
        <v>4.392523364485982</v>
      </c>
      <c r="H44" s="141">
        <v>6427</v>
      </c>
      <c r="I44" s="142"/>
      <c r="J44" s="174">
        <f t="shared" si="2"/>
        <v>6427</v>
      </c>
      <c r="K44" s="164">
        <f t="shared" si="3"/>
        <v>1727</v>
      </c>
      <c r="L44" s="165">
        <f t="shared" si="4"/>
        <v>1.3674468085106384</v>
      </c>
    </row>
    <row r="45" spans="1:15" s="138" customFormat="1" ht="14.25">
      <c r="A45" s="441" t="s">
        <v>102</v>
      </c>
      <c r="B45" s="441"/>
      <c r="C45" s="441"/>
      <c r="D45" s="143">
        <v>93</v>
      </c>
      <c r="E45" s="140">
        <v>77</v>
      </c>
      <c r="F45" s="160">
        <f t="shared" si="0"/>
        <v>-16</v>
      </c>
      <c r="G45" s="161">
        <f t="shared" si="1"/>
        <v>0.8279569892473119</v>
      </c>
      <c r="H45" s="141">
        <v>90</v>
      </c>
      <c r="I45" s="142"/>
      <c r="J45" s="174">
        <f t="shared" si="2"/>
        <v>90</v>
      </c>
      <c r="K45" s="164">
        <f t="shared" si="3"/>
        <v>13</v>
      </c>
      <c r="L45" s="165">
        <f t="shared" si="4"/>
        <v>1.1688311688311688</v>
      </c>
      <c r="O45" s="147"/>
    </row>
    <row r="46" spans="1:12" s="138" customFormat="1" ht="14.25">
      <c r="A46" s="441" t="s">
        <v>103</v>
      </c>
      <c r="B46" s="441"/>
      <c r="C46" s="441"/>
      <c r="D46" s="143"/>
      <c r="E46" s="140"/>
      <c r="F46" s="160">
        <f t="shared" si="0"/>
        <v>0</v>
      </c>
      <c r="G46" s="161"/>
      <c r="H46" s="141">
        <v>0</v>
      </c>
      <c r="I46" s="142"/>
      <c r="J46" s="174">
        <f t="shared" si="2"/>
        <v>0</v>
      </c>
      <c r="K46" s="164">
        <f t="shared" si="3"/>
        <v>0</v>
      </c>
      <c r="L46" s="165"/>
    </row>
    <row r="47" spans="1:12" s="138" customFormat="1" ht="14.25">
      <c r="A47" s="441" t="s">
        <v>104</v>
      </c>
      <c r="B47" s="441"/>
      <c r="C47" s="441"/>
      <c r="D47" s="143">
        <v>977</v>
      </c>
      <c r="E47" s="140">
        <v>4623</v>
      </c>
      <c r="F47" s="160">
        <f t="shared" si="0"/>
        <v>3646</v>
      </c>
      <c r="G47" s="161">
        <f t="shared" si="1"/>
        <v>4.731832139201638</v>
      </c>
      <c r="H47" s="141">
        <v>6337</v>
      </c>
      <c r="I47" s="142"/>
      <c r="J47" s="174">
        <f t="shared" si="2"/>
        <v>6337</v>
      </c>
      <c r="K47" s="164">
        <f t="shared" si="3"/>
        <v>1714</v>
      </c>
      <c r="L47" s="165">
        <f t="shared" si="4"/>
        <v>1.3707549210469392</v>
      </c>
    </row>
    <row r="48" spans="1:12" s="138" customFormat="1" ht="14.25">
      <c r="A48" s="441" t="s">
        <v>105</v>
      </c>
      <c r="B48" s="441"/>
      <c r="C48" s="441"/>
      <c r="D48" s="196">
        <v>19512</v>
      </c>
      <c r="E48" s="177">
        <v>21010</v>
      </c>
      <c r="F48" s="197">
        <f t="shared" si="0"/>
        <v>1498</v>
      </c>
      <c r="G48" s="198">
        <f t="shared" si="1"/>
        <v>1.0767732677326773</v>
      </c>
      <c r="H48" s="172">
        <v>19707</v>
      </c>
      <c r="I48" s="173"/>
      <c r="J48" s="174">
        <f t="shared" si="2"/>
        <v>19707</v>
      </c>
      <c r="K48" s="199">
        <f t="shared" si="3"/>
        <v>-1303</v>
      </c>
      <c r="L48" s="200">
        <f t="shared" si="4"/>
        <v>0.9379819133745836</v>
      </c>
    </row>
    <row r="49" spans="1:12" s="138" customFormat="1" ht="14.25">
      <c r="A49" s="441" t="s">
        <v>106</v>
      </c>
      <c r="B49" s="441"/>
      <c r="C49" s="441"/>
      <c r="D49" s="143">
        <v>14498</v>
      </c>
      <c r="E49" s="140">
        <v>15352</v>
      </c>
      <c r="F49" s="160">
        <f t="shared" si="0"/>
        <v>854</v>
      </c>
      <c r="G49" s="161">
        <f t="shared" si="1"/>
        <v>1.0589046765071044</v>
      </c>
      <c r="H49" s="141">
        <v>14216</v>
      </c>
      <c r="I49" s="142"/>
      <c r="J49" s="174">
        <f t="shared" si="2"/>
        <v>14216</v>
      </c>
      <c r="K49" s="164">
        <f t="shared" si="3"/>
        <v>-1136</v>
      </c>
      <c r="L49" s="165">
        <f t="shared" si="4"/>
        <v>0.9260031266284523</v>
      </c>
    </row>
    <row r="50" spans="1:12" s="138" customFormat="1" ht="14.25">
      <c r="A50" s="441" t="s">
        <v>107</v>
      </c>
      <c r="B50" s="441"/>
      <c r="C50" s="441"/>
      <c r="D50" s="143">
        <v>14413</v>
      </c>
      <c r="E50" s="140">
        <v>14868</v>
      </c>
      <c r="F50" s="160">
        <f t="shared" si="0"/>
        <v>455</v>
      </c>
      <c r="G50" s="161">
        <f t="shared" si="1"/>
        <v>1.0315687226809132</v>
      </c>
      <c r="H50" s="141">
        <v>13926</v>
      </c>
      <c r="I50" s="142"/>
      <c r="J50" s="174">
        <f t="shared" si="2"/>
        <v>13926</v>
      </c>
      <c r="K50" s="164">
        <f t="shared" si="3"/>
        <v>-942</v>
      </c>
      <c r="L50" s="165">
        <f t="shared" si="4"/>
        <v>0.9366424535916061</v>
      </c>
    </row>
    <row r="51" spans="1:12" s="138" customFormat="1" ht="14.25">
      <c r="A51" s="441" t="s">
        <v>108</v>
      </c>
      <c r="B51" s="441"/>
      <c r="C51" s="441"/>
      <c r="D51" s="143">
        <v>85</v>
      </c>
      <c r="E51" s="140">
        <v>484</v>
      </c>
      <c r="F51" s="160">
        <f t="shared" si="0"/>
        <v>399</v>
      </c>
      <c r="G51" s="161">
        <f t="shared" si="1"/>
        <v>5.694117647058824</v>
      </c>
      <c r="H51" s="141">
        <v>290</v>
      </c>
      <c r="I51" s="142"/>
      <c r="J51" s="174">
        <f t="shared" si="2"/>
        <v>290</v>
      </c>
      <c r="K51" s="164">
        <f t="shared" si="3"/>
        <v>-194</v>
      </c>
      <c r="L51" s="165">
        <f t="shared" si="4"/>
        <v>0.5991735537190083</v>
      </c>
    </row>
    <row r="52" spans="1:12" s="138" customFormat="1" ht="14.25">
      <c r="A52" s="441" t="s">
        <v>109</v>
      </c>
      <c r="B52" s="441"/>
      <c r="C52" s="441"/>
      <c r="D52" s="143">
        <v>5014</v>
      </c>
      <c r="E52" s="140">
        <v>5658</v>
      </c>
      <c r="F52" s="160">
        <f t="shared" si="0"/>
        <v>644</v>
      </c>
      <c r="G52" s="161">
        <f t="shared" si="1"/>
        <v>1.128440366972477</v>
      </c>
      <c r="H52" s="141">
        <v>5491</v>
      </c>
      <c r="I52" s="142"/>
      <c r="J52" s="174">
        <f t="shared" si="2"/>
        <v>5491</v>
      </c>
      <c r="K52" s="164">
        <f t="shared" si="3"/>
        <v>-167</v>
      </c>
      <c r="L52" s="165">
        <f t="shared" si="4"/>
        <v>0.9704842700600919</v>
      </c>
    </row>
    <row r="53" spans="1:12" s="138" customFormat="1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>
        <v>0</v>
      </c>
      <c r="I53" s="142"/>
      <c r="J53" s="174">
        <f t="shared" si="2"/>
        <v>0</v>
      </c>
      <c r="K53" s="164">
        <f t="shared" si="3"/>
        <v>0</v>
      </c>
      <c r="L53" s="165"/>
    </row>
    <row r="54" spans="1:12" s="138" customFormat="1" ht="14.25">
      <c r="A54" s="441" t="s">
        <v>111</v>
      </c>
      <c r="B54" s="441"/>
      <c r="C54" s="441"/>
      <c r="D54" s="143"/>
      <c r="E54" s="140"/>
      <c r="F54" s="160">
        <f t="shared" si="0"/>
        <v>0</v>
      </c>
      <c r="G54" s="161"/>
      <c r="H54" s="141">
        <v>0</v>
      </c>
      <c r="I54" s="142"/>
      <c r="J54" s="174">
        <f t="shared" si="2"/>
        <v>0</v>
      </c>
      <c r="K54" s="164">
        <f t="shared" si="3"/>
        <v>0</v>
      </c>
      <c r="L54" s="165"/>
    </row>
    <row r="55" spans="1:12" s="138" customFormat="1" ht="14.25">
      <c r="A55" s="441" t="s">
        <v>112</v>
      </c>
      <c r="B55" s="441"/>
      <c r="C55" s="441"/>
      <c r="D55" s="143">
        <v>178</v>
      </c>
      <c r="E55" s="140">
        <v>147</v>
      </c>
      <c r="F55" s="160">
        <f t="shared" si="0"/>
        <v>-31</v>
      </c>
      <c r="G55" s="161">
        <f t="shared" si="1"/>
        <v>0.8258426966292135</v>
      </c>
      <c r="H55" s="141">
        <v>150</v>
      </c>
      <c r="I55" s="142"/>
      <c r="J55" s="174">
        <f t="shared" si="2"/>
        <v>150</v>
      </c>
      <c r="K55" s="164">
        <f t="shared" si="3"/>
        <v>3</v>
      </c>
      <c r="L55" s="165">
        <f t="shared" si="4"/>
        <v>1.0204081632653061</v>
      </c>
    </row>
    <row r="56" spans="1:12" s="138" customFormat="1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>
        <v>0</v>
      </c>
      <c r="I56" s="142"/>
      <c r="J56" s="174">
        <f t="shared" si="2"/>
        <v>0</v>
      </c>
      <c r="K56" s="164">
        <f t="shared" si="3"/>
        <v>0</v>
      </c>
      <c r="L56" s="165"/>
    </row>
    <row r="57" spans="1:12" s="138" customFormat="1" ht="14.25">
      <c r="A57" s="441" t="s">
        <v>114</v>
      </c>
      <c r="B57" s="441"/>
      <c r="C57" s="441"/>
      <c r="D57" s="143">
        <v>719</v>
      </c>
      <c r="E57" s="140">
        <v>1666</v>
      </c>
      <c r="F57" s="160">
        <f t="shared" si="0"/>
        <v>947</v>
      </c>
      <c r="G57" s="161">
        <f t="shared" si="1"/>
        <v>2.3171070931849793</v>
      </c>
      <c r="H57" s="141">
        <v>1881</v>
      </c>
      <c r="I57" s="142"/>
      <c r="J57" s="174">
        <f t="shared" si="2"/>
        <v>1881</v>
      </c>
      <c r="K57" s="164">
        <f t="shared" si="3"/>
        <v>215</v>
      </c>
      <c r="L57" s="165">
        <f t="shared" si="4"/>
        <v>1.1290516206482593</v>
      </c>
    </row>
    <row r="58" spans="1:12" s="138" customFormat="1" ht="14.25">
      <c r="A58" s="441" t="s">
        <v>115</v>
      </c>
      <c r="B58" s="441"/>
      <c r="C58" s="441"/>
      <c r="D58" s="143">
        <v>0</v>
      </c>
      <c r="E58" s="140"/>
      <c r="F58" s="160">
        <f t="shared" si="0"/>
        <v>0</v>
      </c>
      <c r="G58" s="161"/>
      <c r="H58" s="141">
        <v>0</v>
      </c>
      <c r="I58" s="142"/>
      <c r="J58" s="174">
        <f t="shared" si="2"/>
        <v>0</v>
      </c>
      <c r="K58" s="164">
        <f t="shared" si="3"/>
        <v>0</v>
      </c>
      <c r="L58" s="165"/>
    </row>
    <row r="59" spans="1:12" s="138" customFormat="1" ht="15" thickBot="1">
      <c r="A59" s="493" t="s">
        <v>116</v>
      </c>
      <c r="B59" s="493"/>
      <c r="C59" s="493"/>
      <c r="D59" s="159">
        <v>0</v>
      </c>
      <c r="E59" s="148"/>
      <c r="F59" s="162">
        <f t="shared" si="0"/>
        <v>0</v>
      </c>
      <c r="G59" s="163"/>
      <c r="H59" s="145">
        <v>0</v>
      </c>
      <c r="I59" s="146"/>
      <c r="J59" s="178">
        <f t="shared" si="2"/>
        <v>0</v>
      </c>
      <c r="K59" s="166">
        <f t="shared" si="3"/>
        <v>0</v>
      </c>
      <c r="L59" s="167"/>
    </row>
    <row r="60" spans="1:12" s="138" customFormat="1" ht="15.75" thickBot="1">
      <c r="A60" s="462" t="s">
        <v>117</v>
      </c>
      <c r="B60" s="462"/>
      <c r="C60" s="462"/>
      <c r="D60" s="179">
        <v>28930</v>
      </c>
      <c r="E60" s="180">
        <v>32569</v>
      </c>
      <c r="F60" s="181">
        <f t="shared" si="0"/>
        <v>3639</v>
      </c>
      <c r="G60" s="182">
        <f t="shared" si="1"/>
        <v>1.1257863809194608</v>
      </c>
      <c r="H60" s="183">
        <v>31280</v>
      </c>
      <c r="I60" s="184"/>
      <c r="J60" s="185">
        <f t="shared" si="2"/>
        <v>31280</v>
      </c>
      <c r="K60" s="183">
        <f>J60-E60</f>
        <v>-1289</v>
      </c>
      <c r="L60" s="186">
        <f t="shared" si="4"/>
        <v>0.9604224876416224</v>
      </c>
    </row>
    <row r="61" spans="1:14" s="6" customFormat="1" ht="15">
      <c r="A61" s="447" t="s">
        <v>17</v>
      </c>
      <c r="B61" s="447"/>
      <c r="C61" s="447"/>
      <c r="D61" s="96">
        <v>23</v>
      </c>
      <c r="E61" s="96">
        <v>-1353</v>
      </c>
      <c r="F61" s="96"/>
      <c r="G61" s="96"/>
      <c r="H61" s="96">
        <f>H27-H60</f>
        <v>-5310</v>
      </c>
      <c r="I61" s="96"/>
      <c r="J61" s="96">
        <f>J27-J60</f>
        <v>-5310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76"/>
      <c r="K62" s="10"/>
      <c r="L62" s="10"/>
      <c r="N62" s="8"/>
    </row>
    <row r="63" spans="1:15" s="3" customFormat="1" ht="11.25">
      <c r="A63" s="119"/>
      <c r="B63" s="4"/>
      <c r="C63" s="4"/>
      <c r="D63" s="120"/>
      <c r="E63" s="121"/>
      <c r="F63" s="4"/>
      <c r="G63" s="4"/>
      <c r="H63" s="2"/>
      <c r="I63" s="122"/>
      <c r="J63" s="123"/>
      <c r="K63" s="119"/>
      <c r="L63" s="4"/>
      <c r="M63" s="4"/>
      <c r="N63" s="4"/>
      <c r="O63" s="2"/>
    </row>
    <row r="64" ht="13.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177</v>
      </c>
      <c r="B67" s="382"/>
      <c r="C67" s="13">
        <v>306</v>
      </c>
      <c r="D67" s="14"/>
      <c r="E67" s="382" t="s">
        <v>304</v>
      </c>
      <c r="F67" s="382"/>
      <c r="G67" s="382"/>
      <c r="H67" s="382"/>
      <c r="I67" s="15">
        <v>100</v>
      </c>
      <c r="J67" s="11"/>
      <c r="K67" s="11"/>
      <c r="L67" s="11"/>
      <c r="M67" s="11"/>
      <c r="N67" s="113" t="s">
        <v>122</v>
      </c>
    </row>
    <row r="68" spans="1:14" s="6" customFormat="1" ht="15">
      <c r="A68" s="382"/>
      <c r="B68" s="382"/>
      <c r="C68" s="13"/>
      <c r="D68" s="14"/>
      <c r="E68" s="380"/>
      <c r="F68" s="380"/>
      <c r="G68" s="380"/>
      <c r="H68" s="380"/>
      <c r="I68" s="16"/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/>
      <c r="B69" s="382"/>
      <c r="C69" s="13"/>
      <c r="D69" s="14"/>
      <c r="E69" s="380"/>
      <c r="F69" s="380"/>
      <c r="G69" s="380"/>
      <c r="H69" s="380"/>
      <c r="I69" s="16"/>
      <c r="J69" s="11"/>
      <c r="K69" s="21" t="s">
        <v>45</v>
      </c>
      <c r="L69" s="22"/>
      <c r="M69" s="23"/>
      <c r="N69" s="24"/>
    </row>
    <row r="70" spans="1:14" s="6" customFormat="1" ht="15">
      <c r="A70" s="382"/>
      <c r="B70" s="382"/>
      <c r="C70" s="13"/>
      <c r="D70" s="14"/>
      <c r="E70" s="380"/>
      <c r="F70" s="380"/>
      <c r="G70" s="380"/>
      <c r="H70" s="380"/>
      <c r="I70" s="16"/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306</v>
      </c>
      <c r="D75" s="36"/>
      <c r="E75" s="404" t="s">
        <v>12</v>
      </c>
      <c r="F75" s="404"/>
      <c r="G75" s="404"/>
      <c r="H75" s="404"/>
      <c r="I75" s="37">
        <f>SUM(I67:I74)</f>
        <v>100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126860</v>
      </c>
      <c r="B81" s="46">
        <v>5432</v>
      </c>
      <c r="C81" s="47">
        <v>1881</v>
      </c>
      <c r="D81" s="48">
        <v>148</v>
      </c>
      <c r="E81" s="48">
        <v>538</v>
      </c>
      <c r="F81" s="48">
        <v>6</v>
      </c>
      <c r="G81" s="48">
        <v>0</v>
      </c>
      <c r="H81" s="49">
        <v>1189</v>
      </c>
      <c r="I81" s="50"/>
      <c r="J81" s="51">
        <v>119547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/>
      <c r="C86" s="61" t="s">
        <v>38</v>
      </c>
      <c r="D86" s="62" t="s">
        <v>38</v>
      </c>
      <c r="E86" s="62" t="s">
        <v>38</v>
      </c>
      <c r="F86" s="63"/>
      <c r="G86" s="64"/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/>
      <c r="C87" s="71">
        <v>79</v>
      </c>
      <c r="D87" s="72">
        <v>0</v>
      </c>
      <c r="E87" s="72">
        <v>79</v>
      </c>
      <c r="F87" s="73">
        <f>C87+D87-E87</f>
        <v>0</v>
      </c>
      <c r="G87" s="74"/>
      <c r="H87" s="75">
        <f>+G87-F87</f>
        <v>0</v>
      </c>
      <c r="I87" s="71">
        <v>0</v>
      </c>
      <c r="J87" s="72">
        <v>0</v>
      </c>
      <c r="K87" s="72">
        <v>0</v>
      </c>
      <c r="L87" s="73">
        <f>I87+J87-K87</f>
        <v>0</v>
      </c>
      <c r="M87" s="76"/>
    </row>
    <row r="88" spans="1:13" s="10" customFormat="1" ht="15">
      <c r="A88" s="69" t="s">
        <v>40</v>
      </c>
      <c r="B88" s="70"/>
      <c r="C88" s="71">
        <f>333+35</f>
        <v>368</v>
      </c>
      <c r="D88" s="72">
        <f>23+21</f>
        <v>44</v>
      </c>
      <c r="E88" s="72">
        <f>356+21+35</f>
        <v>412</v>
      </c>
      <c r="F88" s="73">
        <f>C88+D88-E88</f>
        <v>0</v>
      </c>
      <c r="G88" s="74"/>
      <c r="H88" s="75">
        <f>+G88-F88</f>
        <v>0</v>
      </c>
      <c r="I88" s="71">
        <v>0</v>
      </c>
      <c r="J88" s="72">
        <v>30</v>
      </c>
      <c r="K88" s="72">
        <v>30</v>
      </c>
      <c r="L88" s="73">
        <f>I88+J88-K88</f>
        <v>0</v>
      </c>
      <c r="M88" s="76"/>
    </row>
    <row r="89" spans="1:13" s="10" customFormat="1" ht="15">
      <c r="A89" s="69" t="s">
        <v>44</v>
      </c>
      <c r="B89" s="70"/>
      <c r="C89" s="71">
        <v>508</v>
      </c>
      <c r="D89" s="72">
        <v>1665</v>
      </c>
      <c r="E89" s="72">
        <v>2173</v>
      </c>
      <c r="F89" s="73">
        <f>C89+D89-E89</f>
        <v>0</v>
      </c>
      <c r="G89" s="74"/>
      <c r="H89" s="75">
        <f>+G89-F89</f>
        <v>0</v>
      </c>
      <c r="I89" s="77">
        <v>0</v>
      </c>
      <c r="J89" s="78">
        <v>1881</v>
      </c>
      <c r="K89" s="78">
        <v>306</v>
      </c>
      <c r="L89" s="73">
        <f>I89+J89-K89</f>
        <v>1575</v>
      </c>
      <c r="M89" s="76"/>
    </row>
    <row r="90" spans="1:13" s="10" customFormat="1" ht="15">
      <c r="A90" s="69" t="s">
        <v>41</v>
      </c>
      <c r="B90" s="70"/>
      <c r="C90" s="79" t="s">
        <v>38</v>
      </c>
      <c r="D90" s="62" t="s">
        <v>38</v>
      </c>
      <c r="E90" s="80" t="s">
        <v>38</v>
      </c>
      <c r="F90" s="73"/>
      <c r="G90" s="74"/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/>
      <c r="C91" s="84">
        <v>292</v>
      </c>
      <c r="D91" s="85">
        <v>351</v>
      </c>
      <c r="E91" s="85">
        <v>353</v>
      </c>
      <c r="F91" s="73">
        <f>C91+D91-E91</f>
        <v>290</v>
      </c>
      <c r="G91" s="109"/>
      <c r="H91" s="110">
        <f>+G91-F91</f>
        <v>-290</v>
      </c>
      <c r="I91" s="111">
        <v>290</v>
      </c>
      <c r="J91" s="112">
        <v>150</v>
      </c>
      <c r="K91" s="112">
        <v>250</v>
      </c>
      <c r="L91" s="73">
        <f>I91+J91-K91</f>
        <v>190</v>
      </c>
      <c r="M91" s="76"/>
    </row>
    <row r="94" spans="1:11" s="1" customFormat="1" ht="15.75" thickBot="1">
      <c r="A94" s="5" t="s">
        <v>146</v>
      </c>
      <c r="D94" s="124"/>
      <c r="E94" s="125"/>
      <c r="K94" s="4" t="s">
        <v>46</v>
      </c>
    </row>
    <row r="95" spans="1:11" s="1" customFormat="1" ht="11.25">
      <c r="A95" s="500" t="s">
        <v>26</v>
      </c>
      <c r="B95" s="500"/>
      <c r="C95" s="500"/>
      <c r="D95" s="126"/>
      <c r="E95" s="500" t="s">
        <v>27</v>
      </c>
      <c r="F95" s="500"/>
      <c r="G95" s="500"/>
      <c r="I95" s="500" t="s">
        <v>23</v>
      </c>
      <c r="J95" s="500"/>
      <c r="K95" s="500"/>
    </row>
    <row r="96" spans="1:11" s="1" customFormat="1" ht="12" thickBot="1">
      <c r="A96" s="127" t="s">
        <v>28</v>
      </c>
      <c r="B96" s="128" t="s">
        <v>29</v>
      </c>
      <c r="C96" s="129" t="s">
        <v>25</v>
      </c>
      <c r="D96" s="126"/>
      <c r="E96" s="130"/>
      <c r="F96" s="501" t="s">
        <v>30</v>
      </c>
      <c r="G96" s="501"/>
      <c r="I96" s="127"/>
      <c r="J96" s="128" t="s">
        <v>24</v>
      </c>
      <c r="K96" s="129" t="s">
        <v>25</v>
      </c>
    </row>
    <row r="97" spans="1:11" s="1" customFormat="1" ht="11.25">
      <c r="A97" s="131">
        <v>2010</v>
      </c>
      <c r="B97" s="132">
        <v>65</v>
      </c>
      <c r="C97" s="133">
        <v>56.8</v>
      </c>
      <c r="D97" s="120"/>
      <c r="E97" s="131">
        <v>2010</v>
      </c>
      <c r="F97" s="502">
        <v>104</v>
      </c>
      <c r="G97" s="502"/>
      <c r="I97" s="131">
        <v>2010</v>
      </c>
      <c r="J97" s="132">
        <v>14868</v>
      </c>
      <c r="K97" s="133">
        <v>14868</v>
      </c>
    </row>
    <row r="98" spans="1:11" s="1" customFormat="1" ht="12" thickBot="1">
      <c r="A98" s="134">
        <v>2011</v>
      </c>
      <c r="B98" s="135">
        <v>52.5</v>
      </c>
      <c r="C98" s="136" t="s">
        <v>62</v>
      </c>
      <c r="D98" s="120"/>
      <c r="E98" s="134">
        <v>2011</v>
      </c>
      <c r="F98" s="503">
        <v>113</v>
      </c>
      <c r="G98" s="503"/>
      <c r="I98" s="134">
        <v>2011</v>
      </c>
      <c r="J98" s="135">
        <v>13926</v>
      </c>
      <c r="K98" s="136" t="s">
        <v>62</v>
      </c>
    </row>
  </sheetData>
  <mergeCells count="104">
    <mergeCell ref="F4:G4"/>
    <mergeCell ref="I95:K95"/>
    <mergeCell ref="F96:G96"/>
    <mergeCell ref="A59:C59"/>
    <mergeCell ref="A60:C60"/>
    <mergeCell ref="A95:C95"/>
    <mergeCell ref="E95:G95"/>
    <mergeCell ref="E65:H66"/>
    <mergeCell ref="I65:I66"/>
    <mergeCell ref="E69:H69"/>
    <mergeCell ref="E70:H70"/>
    <mergeCell ref="A67:B67"/>
    <mergeCell ref="E67:H67"/>
    <mergeCell ref="A68:B68"/>
    <mergeCell ref="E68:H68"/>
    <mergeCell ref="A70:B70"/>
    <mergeCell ref="F97:G97"/>
    <mergeCell ref="F98:G98"/>
    <mergeCell ref="A71:B71"/>
    <mergeCell ref="E71:H71"/>
    <mergeCell ref="A72:B72"/>
    <mergeCell ref="E72:H72"/>
    <mergeCell ref="A73:B73"/>
    <mergeCell ref="E73:H73"/>
    <mergeCell ref="A74:B74"/>
    <mergeCell ref="E74:H74"/>
    <mergeCell ref="A61:C61"/>
    <mergeCell ref="A75:B75"/>
    <mergeCell ref="A55:C55"/>
    <mergeCell ref="A56:C56"/>
    <mergeCell ref="A57:C57"/>
    <mergeCell ref="A58:C58"/>
    <mergeCell ref="A69:B69"/>
    <mergeCell ref="A65:B66"/>
    <mergeCell ref="C65:C66"/>
    <mergeCell ref="A62:C62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E75:H75"/>
    <mergeCell ref="A78:A80"/>
    <mergeCell ref="B78:B80"/>
    <mergeCell ref="C78:I78"/>
    <mergeCell ref="C79:C80"/>
    <mergeCell ref="D79:I79"/>
    <mergeCell ref="J78:J80"/>
    <mergeCell ref="A84:A85"/>
    <mergeCell ref="B84:B85"/>
    <mergeCell ref="C84:F84"/>
    <mergeCell ref="G84:G85"/>
    <mergeCell ref="H84:H85"/>
    <mergeCell ref="I84:L84"/>
    <mergeCell ref="A2:N2"/>
    <mergeCell ref="A3:G3"/>
    <mergeCell ref="A8:C8"/>
    <mergeCell ref="A9:C9"/>
    <mergeCell ref="A7:C7"/>
    <mergeCell ref="A4:C6"/>
    <mergeCell ref="D4:D6"/>
    <mergeCell ref="H4:J4"/>
    <mergeCell ref="K4:L4"/>
    <mergeCell ref="E4:E6"/>
    <mergeCell ref="A10:C10"/>
    <mergeCell ref="A11:C11"/>
    <mergeCell ref="A12:C12"/>
    <mergeCell ref="A13:C13"/>
    <mergeCell ref="A14:C14"/>
    <mergeCell ref="A15:C15"/>
    <mergeCell ref="A16:C16"/>
    <mergeCell ref="A17:C17"/>
    <mergeCell ref="A22:C22"/>
    <mergeCell ref="A18:C18"/>
    <mergeCell ref="A19:C19"/>
    <mergeCell ref="A20:C20"/>
    <mergeCell ref="A21:C2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03"/>
  <sheetViews>
    <sheetView view="pageBreakPreview" zoomScale="70" zoomScaleSheetLayoutView="70" workbookViewId="0" topLeftCell="A70">
      <selection activeCell="K76" sqref="K76"/>
    </sheetView>
  </sheetViews>
  <sheetFormatPr defaultColWidth="9.00390625" defaultRowHeight="12.75"/>
  <cols>
    <col min="1" max="1" width="27.875" style="138" customWidth="1"/>
    <col min="2" max="2" width="18.625" style="138" customWidth="1"/>
    <col min="3" max="3" width="10.875" style="138" customWidth="1"/>
    <col min="4" max="4" width="12.625" style="154" customWidth="1"/>
    <col min="5" max="5" width="12.625" style="147" customWidth="1"/>
    <col min="6" max="12" width="12.6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124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s="6" customFormat="1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212"/>
      <c r="N4" s="212"/>
      <c r="O4" s="212"/>
    </row>
    <row r="5" spans="1:15" s="6" customFormat="1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213"/>
      <c r="N5" s="213"/>
      <c r="O5" s="213"/>
    </row>
    <row r="6" spans="1:15" s="6" customFormat="1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213"/>
      <c r="N6" s="213"/>
      <c r="O6" s="213"/>
    </row>
    <row r="7" spans="1:12" s="6" customFormat="1" ht="14.25">
      <c r="A7" s="397" t="s">
        <v>65</v>
      </c>
      <c r="B7" s="397"/>
      <c r="C7" s="397"/>
      <c r="D7" s="214">
        <v>10647</v>
      </c>
      <c r="E7" s="215">
        <v>10956</v>
      </c>
      <c r="F7" s="216">
        <f>E7-D7</f>
        <v>309</v>
      </c>
      <c r="G7" s="217">
        <f>E7/D7</f>
        <v>1.0290222597914906</v>
      </c>
      <c r="H7" s="218">
        <v>11109</v>
      </c>
      <c r="I7" s="72"/>
      <c r="J7" s="219">
        <f>H7+I7</f>
        <v>11109</v>
      </c>
      <c r="K7" s="220">
        <f>J7-E7</f>
        <v>153</v>
      </c>
      <c r="L7" s="221">
        <f>J7/E7</f>
        <v>1.0139649507119386</v>
      </c>
    </row>
    <row r="8" spans="1:12" s="6" customFormat="1" ht="14.25">
      <c r="A8" s="389" t="s">
        <v>66</v>
      </c>
      <c r="B8" s="389"/>
      <c r="C8" s="389"/>
      <c r="D8" s="77">
        <v>5231</v>
      </c>
      <c r="E8" s="222">
        <v>5186.8</v>
      </c>
      <c r="F8" s="223">
        <f aca="true" t="shared" si="0" ref="F8:F60">E8-D8</f>
        <v>-44.19999999999982</v>
      </c>
      <c r="G8" s="224">
        <f aca="true" t="shared" si="1" ref="G8:G61">E8/D8</f>
        <v>0.9915503727776717</v>
      </c>
      <c r="H8" s="218">
        <v>5282</v>
      </c>
      <c r="I8" s="72"/>
      <c r="J8" s="219">
        <f aca="true" t="shared" si="2" ref="J8:J59">H8+I8</f>
        <v>5282</v>
      </c>
      <c r="K8" s="225">
        <f aca="true" t="shared" si="3" ref="K8:K61">J8-E8</f>
        <v>95.19999999999982</v>
      </c>
      <c r="L8" s="226">
        <f aca="true" t="shared" si="4" ref="L8:L61">J8/E8</f>
        <v>1.0183542839515694</v>
      </c>
    </row>
    <row r="9" spans="1:12" s="6" customFormat="1" ht="14.25">
      <c r="A9" s="389" t="s">
        <v>67</v>
      </c>
      <c r="B9" s="389"/>
      <c r="C9" s="389"/>
      <c r="D9" s="77">
        <v>4851</v>
      </c>
      <c r="E9" s="222">
        <v>5069.9</v>
      </c>
      <c r="F9" s="223">
        <f t="shared" si="0"/>
        <v>218.89999999999964</v>
      </c>
      <c r="G9" s="224">
        <f t="shared" si="1"/>
        <v>1.045124716553288</v>
      </c>
      <c r="H9" s="218">
        <v>5127</v>
      </c>
      <c r="I9" s="72"/>
      <c r="J9" s="219">
        <f t="shared" si="2"/>
        <v>5127</v>
      </c>
      <c r="K9" s="225">
        <f t="shared" si="3"/>
        <v>57.100000000000364</v>
      </c>
      <c r="L9" s="226">
        <f t="shared" si="4"/>
        <v>1.0112625495571905</v>
      </c>
    </row>
    <row r="10" spans="1:12" s="6" customFormat="1" ht="14.25">
      <c r="A10" s="389" t="s">
        <v>68</v>
      </c>
      <c r="B10" s="389"/>
      <c r="C10" s="389"/>
      <c r="D10" s="77"/>
      <c r="E10" s="222">
        <v>0</v>
      </c>
      <c r="F10" s="223">
        <f t="shared" si="0"/>
        <v>0</v>
      </c>
      <c r="G10" s="224"/>
      <c r="H10" s="218">
        <v>0</v>
      </c>
      <c r="I10" s="72"/>
      <c r="J10" s="219">
        <f t="shared" si="2"/>
        <v>0</v>
      </c>
      <c r="K10" s="225">
        <f t="shared" si="3"/>
        <v>0</v>
      </c>
      <c r="L10" s="226"/>
    </row>
    <row r="11" spans="1:12" s="6" customFormat="1" ht="14.25">
      <c r="A11" s="389" t="s">
        <v>69</v>
      </c>
      <c r="B11" s="389"/>
      <c r="C11" s="389"/>
      <c r="D11" s="77">
        <v>229</v>
      </c>
      <c r="E11" s="222">
        <v>251.4</v>
      </c>
      <c r="F11" s="223">
        <f t="shared" si="0"/>
        <v>22.400000000000006</v>
      </c>
      <c r="G11" s="224">
        <f t="shared" si="1"/>
        <v>1.0978165938864628</v>
      </c>
      <c r="H11" s="218">
        <v>250</v>
      </c>
      <c r="I11" s="72"/>
      <c r="J11" s="219">
        <f t="shared" si="2"/>
        <v>250</v>
      </c>
      <c r="K11" s="225">
        <f t="shared" si="3"/>
        <v>-1.4000000000000057</v>
      </c>
      <c r="L11" s="226">
        <f t="shared" si="4"/>
        <v>0.994431185361973</v>
      </c>
    </row>
    <row r="12" spans="1:12" s="6" customFormat="1" ht="14.25">
      <c r="A12" s="389" t="s">
        <v>70</v>
      </c>
      <c r="B12" s="389"/>
      <c r="C12" s="389"/>
      <c r="D12" s="77">
        <v>336</v>
      </c>
      <c r="E12" s="222">
        <v>448</v>
      </c>
      <c r="F12" s="223">
        <f t="shared" si="0"/>
        <v>112</v>
      </c>
      <c r="G12" s="224">
        <f t="shared" si="1"/>
        <v>1.3333333333333333</v>
      </c>
      <c r="H12" s="218">
        <v>450</v>
      </c>
      <c r="I12" s="72"/>
      <c r="J12" s="219">
        <f t="shared" si="2"/>
        <v>450</v>
      </c>
      <c r="K12" s="225">
        <f t="shared" si="3"/>
        <v>2</v>
      </c>
      <c r="L12" s="226">
        <f t="shared" si="4"/>
        <v>1.0044642857142858</v>
      </c>
    </row>
    <row r="13" spans="1:12" s="6" customFormat="1" ht="14.25">
      <c r="A13" s="389" t="s">
        <v>71</v>
      </c>
      <c r="B13" s="389"/>
      <c r="C13" s="389"/>
      <c r="D13" s="77"/>
      <c r="E13" s="222"/>
      <c r="F13" s="223">
        <f t="shared" si="0"/>
        <v>0</v>
      </c>
      <c r="G13" s="224"/>
      <c r="H13" s="218">
        <v>0</v>
      </c>
      <c r="I13" s="72"/>
      <c r="J13" s="219">
        <f t="shared" si="2"/>
        <v>0</v>
      </c>
      <c r="K13" s="225">
        <f t="shared" si="3"/>
        <v>0</v>
      </c>
      <c r="L13" s="226"/>
    </row>
    <row r="14" spans="1:20" s="6" customFormat="1" ht="15">
      <c r="A14" s="388" t="s">
        <v>72</v>
      </c>
      <c r="B14" s="388"/>
      <c r="C14" s="388"/>
      <c r="D14" s="77"/>
      <c r="E14" s="222"/>
      <c r="F14" s="223">
        <f t="shared" si="0"/>
        <v>0</v>
      </c>
      <c r="G14" s="224"/>
      <c r="H14" s="218">
        <v>0</v>
      </c>
      <c r="I14" s="72"/>
      <c r="J14" s="219">
        <f t="shared" si="2"/>
        <v>0</v>
      </c>
      <c r="K14" s="225">
        <f t="shared" si="3"/>
        <v>0</v>
      </c>
      <c r="L14" s="226"/>
      <c r="N14" s="212"/>
      <c r="O14" s="212"/>
      <c r="P14" s="212"/>
      <c r="Q14" s="212"/>
      <c r="R14" s="212"/>
      <c r="S14" s="212"/>
      <c r="T14" s="212"/>
    </row>
    <row r="15" spans="1:20" s="6" customFormat="1" ht="14.25">
      <c r="A15" s="388" t="s">
        <v>73</v>
      </c>
      <c r="B15" s="388"/>
      <c r="C15" s="388"/>
      <c r="D15" s="77"/>
      <c r="E15" s="222"/>
      <c r="F15" s="223">
        <f t="shared" si="0"/>
        <v>0</v>
      </c>
      <c r="G15" s="224"/>
      <c r="H15" s="218">
        <v>0</v>
      </c>
      <c r="I15" s="72"/>
      <c r="J15" s="219">
        <f t="shared" si="2"/>
        <v>0</v>
      </c>
      <c r="K15" s="225">
        <f t="shared" si="3"/>
        <v>0</v>
      </c>
      <c r="L15" s="226"/>
      <c r="N15" s="213"/>
      <c r="O15" s="213"/>
      <c r="P15" s="213"/>
      <c r="Q15" s="213"/>
      <c r="R15" s="213"/>
      <c r="S15" s="213"/>
      <c r="T15" s="213"/>
    </row>
    <row r="16" spans="1:20" s="6" customFormat="1" ht="14.25">
      <c r="A16" s="388" t="s">
        <v>74</v>
      </c>
      <c r="B16" s="388"/>
      <c r="C16" s="388"/>
      <c r="D16" s="77">
        <v>47</v>
      </c>
      <c r="E16" s="222"/>
      <c r="F16" s="223">
        <f t="shared" si="0"/>
        <v>-47</v>
      </c>
      <c r="G16" s="224">
        <f t="shared" si="1"/>
        <v>0</v>
      </c>
      <c r="H16" s="218">
        <v>1012</v>
      </c>
      <c r="I16" s="72"/>
      <c r="J16" s="219">
        <f t="shared" si="2"/>
        <v>1012</v>
      </c>
      <c r="K16" s="225">
        <f t="shared" si="3"/>
        <v>1012</v>
      </c>
      <c r="L16" s="226"/>
      <c r="N16" s="213"/>
      <c r="O16" s="213"/>
      <c r="P16" s="213"/>
      <c r="Q16" s="213"/>
      <c r="R16" s="213"/>
      <c r="S16" s="213"/>
      <c r="T16" s="213"/>
    </row>
    <row r="17" spans="1:20" s="6" customFormat="1" ht="14.25">
      <c r="A17" s="388" t="s">
        <v>75</v>
      </c>
      <c r="B17" s="388"/>
      <c r="C17" s="388"/>
      <c r="D17" s="77">
        <v>47</v>
      </c>
      <c r="E17" s="222">
        <v>1078.2</v>
      </c>
      <c r="F17" s="223">
        <f t="shared" si="0"/>
        <v>1031.2</v>
      </c>
      <c r="G17" s="224">
        <f t="shared" si="1"/>
        <v>22.940425531914894</v>
      </c>
      <c r="H17" s="218">
        <v>1012</v>
      </c>
      <c r="I17" s="72"/>
      <c r="J17" s="219">
        <v>1012</v>
      </c>
      <c r="K17" s="225">
        <f t="shared" si="3"/>
        <v>-66.20000000000005</v>
      </c>
      <c r="L17" s="226">
        <f t="shared" si="4"/>
        <v>0.9386013726581339</v>
      </c>
      <c r="N17" s="10"/>
      <c r="O17" s="10"/>
      <c r="P17" s="10"/>
      <c r="Q17" s="10"/>
      <c r="R17" s="10"/>
      <c r="S17" s="10"/>
      <c r="T17" s="10"/>
    </row>
    <row r="18" spans="1:12" s="6" customFormat="1" ht="14.25">
      <c r="A18" s="388" t="s">
        <v>76</v>
      </c>
      <c r="B18" s="388"/>
      <c r="C18" s="388"/>
      <c r="D18" s="77"/>
      <c r="E18" s="222"/>
      <c r="F18" s="223">
        <f t="shared" si="0"/>
        <v>0</v>
      </c>
      <c r="G18" s="224"/>
      <c r="H18" s="218">
        <v>0</v>
      </c>
      <c r="I18" s="72"/>
      <c r="J18" s="219">
        <f t="shared" si="2"/>
        <v>0</v>
      </c>
      <c r="K18" s="225">
        <f t="shared" si="3"/>
        <v>0</v>
      </c>
      <c r="L18" s="226"/>
    </row>
    <row r="19" spans="1:12" s="6" customFormat="1" ht="14.25">
      <c r="A19" s="388" t="s">
        <v>77</v>
      </c>
      <c r="B19" s="388"/>
      <c r="C19" s="388"/>
      <c r="D19" s="77"/>
      <c r="E19" s="222"/>
      <c r="F19" s="223">
        <f t="shared" si="0"/>
        <v>0</v>
      </c>
      <c r="G19" s="224"/>
      <c r="H19" s="218">
        <v>0</v>
      </c>
      <c r="I19" s="72"/>
      <c r="J19" s="219">
        <f t="shared" si="2"/>
        <v>0</v>
      </c>
      <c r="K19" s="225">
        <f t="shared" si="3"/>
        <v>0</v>
      </c>
      <c r="L19" s="226"/>
    </row>
    <row r="20" spans="1:12" s="6" customFormat="1" ht="14.25">
      <c r="A20" s="388" t="s">
        <v>78</v>
      </c>
      <c r="B20" s="388"/>
      <c r="C20" s="388"/>
      <c r="D20" s="77"/>
      <c r="E20" s="222"/>
      <c r="F20" s="223">
        <f t="shared" si="0"/>
        <v>0</v>
      </c>
      <c r="G20" s="224"/>
      <c r="H20" s="218">
        <v>0</v>
      </c>
      <c r="I20" s="72"/>
      <c r="J20" s="219">
        <f t="shared" si="2"/>
        <v>0</v>
      </c>
      <c r="K20" s="225">
        <f t="shared" si="3"/>
        <v>0</v>
      </c>
      <c r="L20" s="226"/>
    </row>
    <row r="21" spans="1:12" s="6" customFormat="1" ht="14.25">
      <c r="A21" s="388" t="s">
        <v>79</v>
      </c>
      <c r="B21" s="388"/>
      <c r="C21" s="388"/>
      <c r="D21" s="77"/>
      <c r="E21" s="222"/>
      <c r="F21" s="223">
        <f t="shared" si="0"/>
        <v>0</v>
      </c>
      <c r="G21" s="224"/>
      <c r="H21" s="218">
        <v>0</v>
      </c>
      <c r="I21" s="72"/>
      <c r="J21" s="219">
        <f t="shared" si="2"/>
        <v>0</v>
      </c>
      <c r="K21" s="225">
        <f t="shared" si="3"/>
        <v>0</v>
      </c>
      <c r="L21" s="226"/>
    </row>
    <row r="22" spans="1:12" s="6" customFormat="1" ht="14.25">
      <c r="A22" s="388" t="s">
        <v>80</v>
      </c>
      <c r="B22" s="388"/>
      <c r="C22" s="388"/>
      <c r="D22" s="77">
        <v>8291</v>
      </c>
      <c r="E22" s="222">
        <v>8012</v>
      </c>
      <c r="F22" s="223">
        <f t="shared" si="0"/>
        <v>-279</v>
      </c>
      <c r="G22" s="224">
        <f t="shared" si="1"/>
        <v>0.9663490531902063</v>
      </c>
      <c r="H22" s="218">
        <v>7401</v>
      </c>
      <c r="I22" s="72"/>
      <c r="J22" s="219">
        <f t="shared" si="2"/>
        <v>7401</v>
      </c>
      <c r="K22" s="225">
        <f t="shared" si="3"/>
        <v>-611</v>
      </c>
      <c r="L22" s="226">
        <f t="shared" si="4"/>
        <v>0.9237393909136296</v>
      </c>
    </row>
    <row r="23" spans="1:12" s="6" customFormat="1" ht="14.25">
      <c r="A23" s="388" t="s">
        <v>81</v>
      </c>
      <c r="B23" s="388"/>
      <c r="C23" s="388"/>
      <c r="D23" s="77">
        <v>1891</v>
      </c>
      <c r="E23" s="222">
        <v>1061</v>
      </c>
      <c r="F23" s="223">
        <f t="shared" si="0"/>
        <v>-830</v>
      </c>
      <c r="G23" s="224">
        <f t="shared" si="1"/>
        <v>0.5610787942887361</v>
      </c>
      <c r="H23" s="218">
        <v>1050</v>
      </c>
      <c r="I23" s="72"/>
      <c r="J23" s="219">
        <f t="shared" si="2"/>
        <v>1050</v>
      </c>
      <c r="K23" s="225">
        <f t="shared" si="3"/>
        <v>-11</v>
      </c>
      <c r="L23" s="226">
        <f t="shared" si="4"/>
        <v>0.9896324222431668</v>
      </c>
    </row>
    <row r="24" spans="1:12" s="6" customFormat="1" ht="14.25">
      <c r="A24" s="388" t="s">
        <v>82</v>
      </c>
      <c r="B24" s="388"/>
      <c r="C24" s="388"/>
      <c r="D24" s="77">
        <v>6400</v>
      </c>
      <c r="E24" s="222">
        <v>6950</v>
      </c>
      <c r="F24" s="223">
        <f t="shared" si="0"/>
        <v>550</v>
      </c>
      <c r="G24" s="224">
        <f t="shared" si="1"/>
        <v>1.0859375</v>
      </c>
      <c r="H24" s="218">
        <v>6350</v>
      </c>
      <c r="I24" s="72"/>
      <c r="J24" s="219">
        <f t="shared" si="2"/>
        <v>6350</v>
      </c>
      <c r="K24" s="225">
        <f t="shared" si="3"/>
        <v>-600</v>
      </c>
      <c r="L24" s="226">
        <f t="shared" si="4"/>
        <v>0.9136690647482014</v>
      </c>
    </row>
    <row r="25" spans="1:12" s="6" customFormat="1" ht="14.25">
      <c r="A25" s="388" t="s">
        <v>83</v>
      </c>
      <c r="B25" s="388"/>
      <c r="C25" s="388"/>
      <c r="D25" s="77"/>
      <c r="E25" s="222"/>
      <c r="F25" s="223">
        <f t="shared" si="0"/>
        <v>0</v>
      </c>
      <c r="G25" s="224"/>
      <c r="H25" s="218"/>
      <c r="I25" s="72"/>
      <c r="J25" s="219">
        <f t="shared" si="2"/>
        <v>0</v>
      </c>
      <c r="K25" s="225">
        <f t="shared" si="3"/>
        <v>0</v>
      </c>
      <c r="L25" s="226"/>
    </row>
    <row r="26" spans="1:12" s="6" customFormat="1" ht="15" thickBot="1">
      <c r="A26" s="386" t="s">
        <v>118</v>
      </c>
      <c r="B26" s="386"/>
      <c r="C26" s="386"/>
      <c r="D26" s="227"/>
      <c r="E26" s="228">
        <v>0.6</v>
      </c>
      <c r="F26" s="229">
        <f t="shared" si="0"/>
        <v>0.6</v>
      </c>
      <c r="G26" s="230"/>
      <c r="H26" s="231">
        <v>0.6</v>
      </c>
      <c r="I26" s="232"/>
      <c r="J26" s="233">
        <f t="shared" si="2"/>
        <v>0.6</v>
      </c>
      <c r="K26" s="234">
        <f t="shared" si="3"/>
        <v>0</v>
      </c>
      <c r="L26" s="235">
        <f t="shared" si="4"/>
        <v>1</v>
      </c>
    </row>
    <row r="27" spans="1:12" s="6" customFormat="1" ht="15.75" thickBot="1">
      <c r="A27" s="387" t="s">
        <v>84</v>
      </c>
      <c r="B27" s="387"/>
      <c r="C27" s="387"/>
      <c r="D27" s="236">
        <v>18903</v>
      </c>
      <c r="E27" s="237">
        <v>20046</v>
      </c>
      <c r="F27" s="238">
        <f t="shared" si="0"/>
        <v>1143</v>
      </c>
      <c r="G27" s="239">
        <f t="shared" si="1"/>
        <v>1.0604665926043486</v>
      </c>
      <c r="H27" s="240">
        <v>19522</v>
      </c>
      <c r="I27" s="241"/>
      <c r="J27" s="242">
        <v>19522</v>
      </c>
      <c r="K27" s="240">
        <f t="shared" si="3"/>
        <v>-524</v>
      </c>
      <c r="L27" s="243">
        <f t="shared" si="4"/>
        <v>0.9738601217200439</v>
      </c>
    </row>
    <row r="28" spans="1:12" s="6" customFormat="1" ht="14.25">
      <c r="A28" s="375" t="s">
        <v>85</v>
      </c>
      <c r="B28" s="375"/>
      <c r="C28" s="375"/>
      <c r="D28" s="244">
        <v>2811</v>
      </c>
      <c r="E28" s="245">
        <v>2721</v>
      </c>
      <c r="F28" s="246">
        <f t="shared" si="0"/>
        <v>-90</v>
      </c>
      <c r="G28" s="247">
        <f t="shared" si="1"/>
        <v>0.967982924226254</v>
      </c>
      <c r="H28" s="248">
        <v>2916</v>
      </c>
      <c r="I28" s="249"/>
      <c r="J28" s="250">
        <v>2916</v>
      </c>
      <c r="K28" s="251">
        <f t="shared" si="3"/>
        <v>195</v>
      </c>
      <c r="L28" s="252">
        <f t="shared" si="4"/>
        <v>1.071664829106946</v>
      </c>
    </row>
    <row r="29" spans="1:12" s="6" customFormat="1" ht="14.25">
      <c r="A29" s="385" t="s">
        <v>86</v>
      </c>
      <c r="B29" s="385"/>
      <c r="C29" s="385"/>
      <c r="D29" s="77">
        <v>1738</v>
      </c>
      <c r="E29" s="222">
        <v>1808</v>
      </c>
      <c r="F29" s="223">
        <f t="shared" si="0"/>
        <v>70</v>
      </c>
      <c r="G29" s="224">
        <f t="shared" si="1"/>
        <v>1.040276179516686</v>
      </c>
      <c r="H29" s="218">
        <v>1900</v>
      </c>
      <c r="I29" s="72"/>
      <c r="J29" s="219">
        <f t="shared" si="2"/>
        <v>1900</v>
      </c>
      <c r="K29" s="225">
        <f t="shared" si="3"/>
        <v>92</v>
      </c>
      <c r="L29" s="226">
        <f t="shared" si="4"/>
        <v>1.0508849557522124</v>
      </c>
    </row>
    <row r="30" spans="1:12" s="6" customFormat="1" ht="14.25">
      <c r="A30" s="385" t="s">
        <v>87</v>
      </c>
      <c r="B30" s="385"/>
      <c r="C30" s="385"/>
      <c r="D30" s="77">
        <v>57</v>
      </c>
      <c r="E30" s="222">
        <v>69</v>
      </c>
      <c r="F30" s="223">
        <f t="shared" si="0"/>
        <v>12</v>
      </c>
      <c r="G30" s="224">
        <f t="shared" si="1"/>
        <v>1.2105263157894737</v>
      </c>
      <c r="H30" s="218">
        <v>85</v>
      </c>
      <c r="I30" s="72"/>
      <c r="J30" s="219">
        <f t="shared" si="2"/>
        <v>85</v>
      </c>
      <c r="K30" s="225">
        <f t="shared" si="3"/>
        <v>16</v>
      </c>
      <c r="L30" s="226">
        <f t="shared" si="4"/>
        <v>1.2318840579710144</v>
      </c>
    </row>
    <row r="31" spans="1:12" s="6" customFormat="1" ht="14.25">
      <c r="A31" s="385" t="s">
        <v>88</v>
      </c>
      <c r="B31" s="385"/>
      <c r="C31" s="385"/>
      <c r="D31" s="77">
        <v>206</v>
      </c>
      <c r="E31" s="222">
        <v>254</v>
      </c>
      <c r="F31" s="223">
        <f t="shared" si="0"/>
        <v>48</v>
      </c>
      <c r="G31" s="224">
        <f t="shared" si="1"/>
        <v>1.233009708737864</v>
      </c>
      <c r="H31" s="218">
        <v>273</v>
      </c>
      <c r="I31" s="72"/>
      <c r="J31" s="219">
        <f t="shared" si="2"/>
        <v>273</v>
      </c>
      <c r="K31" s="225">
        <f t="shared" si="3"/>
        <v>19</v>
      </c>
      <c r="L31" s="226">
        <f t="shared" si="4"/>
        <v>1.0748031496062993</v>
      </c>
    </row>
    <row r="32" spans="1:12" s="6" customFormat="1" ht="14.25">
      <c r="A32" s="385" t="s">
        <v>89</v>
      </c>
      <c r="B32" s="385"/>
      <c r="C32" s="385"/>
      <c r="D32" s="77">
        <v>810</v>
      </c>
      <c r="E32" s="222">
        <v>590</v>
      </c>
      <c r="F32" s="223">
        <f t="shared" si="0"/>
        <v>-220</v>
      </c>
      <c r="G32" s="224">
        <f t="shared" si="1"/>
        <v>0.7283950617283951</v>
      </c>
      <c r="H32" s="218">
        <v>658</v>
      </c>
      <c r="I32" s="72"/>
      <c r="J32" s="219">
        <v>658</v>
      </c>
      <c r="K32" s="225">
        <f t="shared" si="3"/>
        <v>68</v>
      </c>
      <c r="L32" s="226">
        <f t="shared" si="4"/>
        <v>1.1152542372881356</v>
      </c>
    </row>
    <row r="33" spans="1:12" s="6" customFormat="1" ht="14.25">
      <c r="A33" s="385" t="s">
        <v>90</v>
      </c>
      <c r="B33" s="385"/>
      <c r="C33" s="385"/>
      <c r="D33" s="77">
        <v>0</v>
      </c>
      <c r="E33" s="222">
        <v>0</v>
      </c>
      <c r="F33" s="223">
        <f t="shared" si="0"/>
        <v>0</v>
      </c>
      <c r="G33" s="224"/>
      <c r="H33" s="218">
        <v>0</v>
      </c>
      <c r="I33" s="72"/>
      <c r="J33" s="219">
        <f t="shared" si="2"/>
        <v>0</v>
      </c>
      <c r="K33" s="225">
        <f t="shared" si="3"/>
        <v>0</v>
      </c>
      <c r="L33" s="226"/>
    </row>
    <row r="34" spans="1:12" s="6" customFormat="1" ht="14.25">
      <c r="A34" s="385" t="s">
        <v>91</v>
      </c>
      <c r="B34" s="385"/>
      <c r="C34" s="385"/>
      <c r="D34" s="77">
        <v>1296</v>
      </c>
      <c r="E34" s="222">
        <v>1529.4</v>
      </c>
      <c r="F34" s="223">
        <f t="shared" si="0"/>
        <v>233.4000000000001</v>
      </c>
      <c r="G34" s="224">
        <f t="shared" si="1"/>
        <v>1.1800925925925927</v>
      </c>
      <c r="H34" s="218">
        <v>1553</v>
      </c>
      <c r="I34" s="72"/>
      <c r="J34" s="219">
        <f t="shared" si="2"/>
        <v>1553</v>
      </c>
      <c r="K34" s="225">
        <f t="shared" si="3"/>
        <v>23.59999999999991</v>
      </c>
      <c r="L34" s="226">
        <f t="shared" si="4"/>
        <v>1.015430887929907</v>
      </c>
    </row>
    <row r="35" spans="1:12" s="6" customFormat="1" ht="14.25">
      <c r="A35" s="385" t="s">
        <v>92</v>
      </c>
      <c r="B35" s="385"/>
      <c r="C35" s="385"/>
      <c r="D35" s="77">
        <v>726</v>
      </c>
      <c r="E35" s="222">
        <v>870</v>
      </c>
      <c r="F35" s="223">
        <f t="shared" si="0"/>
        <v>144</v>
      </c>
      <c r="G35" s="224">
        <f t="shared" si="1"/>
        <v>1.1983471074380165</v>
      </c>
      <c r="H35" s="218">
        <v>870</v>
      </c>
      <c r="I35" s="72"/>
      <c r="J35" s="219">
        <f t="shared" si="2"/>
        <v>870</v>
      </c>
      <c r="K35" s="225">
        <f t="shared" si="3"/>
        <v>0</v>
      </c>
      <c r="L35" s="226">
        <f t="shared" si="4"/>
        <v>1</v>
      </c>
    </row>
    <row r="36" spans="1:12" s="6" customFormat="1" ht="14.25">
      <c r="A36" s="385" t="s">
        <v>93</v>
      </c>
      <c r="B36" s="385"/>
      <c r="C36" s="385"/>
      <c r="D36" s="77">
        <v>-9</v>
      </c>
      <c r="E36" s="222">
        <v>603</v>
      </c>
      <c r="F36" s="223">
        <f t="shared" si="0"/>
        <v>612</v>
      </c>
      <c r="G36" s="224">
        <f t="shared" si="1"/>
        <v>-67</v>
      </c>
      <c r="H36" s="218">
        <v>603</v>
      </c>
      <c r="I36" s="72"/>
      <c r="J36" s="219">
        <f t="shared" si="2"/>
        <v>603</v>
      </c>
      <c r="K36" s="225">
        <f t="shared" si="3"/>
        <v>0</v>
      </c>
      <c r="L36" s="226">
        <f t="shared" si="4"/>
        <v>1</v>
      </c>
    </row>
    <row r="37" spans="1:12" s="6" customFormat="1" ht="14.25">
      <c r="A37" s="385" t="s">
        <v>94</v>
      </c>
      <c r="B37" s="385"/>
      <c r="C37" s="385"/>
      <c r="D37" s="77"/>
      <c r="E37" s="222">
        <v>0</v>
      </c>
      <c r="F37" s="223">
        <f t="shared" si="0"/>
        <v>0</v>
      </c>
      <c r="G37" s="224"/>
      <c r="H37" s="218">
        <v>0</v>
      </c>
      <c r="I37" s="72"/>
      <c r="J37" s="219">
        <f t="shared" si="2"/>
        <v>0</v>
      </c>
      <c r="K37" s="225">
        <f t="shared" si="3"/>
        <v>0</v>
      </c>
      <c r="L37" s="226"/>
    </row>
    <row r="38" spans="1:12" s="6" customFormat="1" ht="14.25">
      <c r="A38" s="385" t="s">
        <v>95</v>
      </c>
      <c r="B38" s="385"/>
      <c r="C38" s="385"/>
      <c r="D38" s="77"/>
      <c r="E38" s="222">
        <v>0</v>
      </c>
      <c r="F38" s="223">
        <f t="shared" si="0"/>
        <v>0</v>
      </c>
      <c r="G38" s="224"/>
      <c r="H38" s="218">
        <v>0</v>
      </c>
      <c r="I38" s="72"/>
      <c r="J38" s="219">
        <f t="shared" si="2"/>
        <v>0</v>
      </c>
      <c r="K38" s="225">
        <f t="shared" si="3"/>
        <v>0</v>
      </c>
      <c r="L38" s="226"/>
    </row>
    <row r="39" spans="1:12" s="6" customFormat="1" ht="14.25">
      <c r="A39" s="385" t="s">
        <v>96</v>
      </c>
      <c r="B39" s="385"/>
      <c r="C39" s="385"/>
      <c r="D39" s="77">
        <v>37</v>
      </c>
      <c r="E39" s="222">
        <v>56</v>
      </c>
      <c r="F39" s="223">
        <f t="shared" si="0"/>
        <v>19</v>
      </c>
      <c r="G39" s="224">
        <f t="shared" si="1"/>
        <v>1.5135135135135136</v>
      </c>
      <c r="H39" s="218">
        <v>80</v>
      </c>
      <c r="I39" s="72"/>
      <c r="J39" s="219">
        <f t="shared" si="2"/>
        <v>80</v>
      </c>
      <c r="K39" s="225">
        <f t="shared" si="3"/>
        <v>24</v>
      </c>
      <c r="L39" s="226">
        <f t="shared" si="4"/>
        <v>1.4285714285714286</v>
      </c>
    </row>
    <row r="40" spans="1:12" s="6" customFormat="1" ht="14.25">
      <c r="A40" s="385" t="s">
        <v>97</v>
      </c>
      <c r="B40" s="385"/>
      <c r="C40" s="385"/>
      <c r="D40" s="77">
        <v>0</v>
      </c>
      <c r="E40" s="222">
        <v>0</v>
      </c>
      <c r="F40" s="223">
        <f t="shared" si="0"/>
        <v>0</v>
      </c>
      <c r="G40" s="224"/>
      <c r="H40" s="218">
        <v>0</v>
      </c>
      <c r="I40" s="72"/>
      <c r="J40" s="219">
        <f t="shared" si="2"/>
        <v>0</v>
      </c>
      <c r="K40" s="225">
        <f t="shared" si="3"/>
        <v>0</v>
      </c>
      <c r="L40" s="226"/>
    </row>
    <row r="41" spans="1:12" s="6" customFormat="1" ht="14.25">
      <c r="A41" s="385" t="s">
        <v>98</v>
      </c>
      <c r="B41" s="385"/>
      <c r="C41" s="385"/>
      <c r="D41" s="77">
        <v>128</v>
      </c>
      <c r="E41" s="222">
        <v>624</v>
      </c>
      <c r="F41" s="223">
        <f t="shared" si="0"/>
        <v>496</v>
      </c>
      <c r="G41" s="224">
        <f t="shared" si="1"/>
        <v>4.875</v>
      </c>
      <c r="H41" s="218">
        <v>740</v>
      </c>
      <c r="I41" s="72"/>
      <c r="J41" s="219">
        <f t="shared" si="2"/>
        <v>740</v>
      </c>
      <c r="K41" s="225">
        <f t="shared" si="3"/>
        <v>116</v>
      </c>
      <c r="L41" s="226">
        <f t="shared" si="4"/>
        <v>1.185897435897436</v>
      </c>
    </row>
    <row r="42" spans="1:12" s="6" customFormat="1" ht="14.25">
      <c r="A42" s="385" t="s">
        <v>99</v>
      </c>
      <c r="B42" s="385"/>
      <c r="C42" s="385"/>
      <c r="D42" s="77">
        <v>22</v>
      </c>
      <c r="E42" s="222">
        <v>65</v>
      </c>
      <c r="F42" s="223">
        <f t="shared" si="0"/>
        <v>43</v>
      </c>
      <c r="G42" s="224">
        <f t="shared" si="1"/>
        <v>2.9545454545454546</v>
      </c>
      <c r="H42" s="218">
        <v>65</v>
      </c>
      <c r="I42" s="72"/>
      <c r="J42" s="219">
        <f t="shared" si="2"/>
        <v>65</v>
      </c>
      <c r="K42" s="225">
        <f t="shared" si="3"/>
        <v>0</v>
      </c>
      <c r="L42" s="226">
        <f t="shared" si="4"/>
        <v>1</v>
      </c>
    </row>
    <row r="43" spans="1:12" s="6" customFormat="1" ht="14.25">
      <c r="A43" s="385" t="s">
        <v>100</v>
      </c>
      <c r="B43" s="385"/>
      <c r="C43" s="385"/>
      <c r="D43" s="77">
        <v>4</v>
      </c>
      <c r="E43" s="222">
        <v>1</v>
      </c>
      <c r="F43" s="223">
        <f t="shared" si="0"/>
        <v>-3</v>
      </c>
      <c r="G43" s="224">
        <f t="shared" si="1"/>
        <v>0.25</v>
      </c>
      <c r="H43" s="218">
        <v>2</v>
      </c>
      <c r="I43" s="72"/>
      <c r="J43" s="219">
        <f t="shared" si="2"/>
        <v>2</v>
      </c>
      <c r="K43" s="225">
        <f t="shared" si="3"/>
        <v>1</v>
      </c>
      <c r="L43" s="226">
        <f t="shared" si="4"/>
        <v>2</v>
      </c>
    </row>
    <row r="44" spans="1:12" s="6" customFormat="1" ht="14.25">
      <c r="A44" s="385" t="s">
        <v>101</v>
      </c>
      <c r="B44" s="385"/>
      <c r="C44" s="385"/>
      <c r="D44" s="77">
        <v>1491</v>
      </c>
      <c r="E44" s="222">
        <v>829</v>
      </c>
      <c r="F44" s="223">
        <f t="shared" si="0"/>
        <v>-662</v>
      </c>
      <c r="G44" s="224">
        <f t="shared" si="1"/>
        <v>0.5560026827632462</v>
      </c>
      <c r="H44" s="218">
        <v>980</v>
      </c>
      <c r="I44" s="72"/>
      <c r="J44" s="219">
        <v>980</v>
      </c>
      <c r="K44" s="225">
        <f t="shared" si="3"/>
        <v>151</v>
      </c>
      <c r="L44" s="226">
        <f t="shared" si="4"/>
        <v>1.1821471652593487</v>
      </c>
    </row>
    <row r="45" spans="1:15" s="6" customFormat="1" ht="14.25">
      <c r="A45" s="385" t="s">
        <v>102</v>
      </c>
      <c r="B45" s="385"/>
      <c r="C45" s="385"/>
      <c r="D45" s="77">
        <v>127</v>
      </c>
      <c r="E45" s="222">
        <v>119.6</v>
      </c>
      <c r="F45" s="223">
        <f t="shared" si="0"/>
        <v>-7.400000000000006</v>
      </c>
      <c r="G45" s="224">
        <f t="shared" si="1"/>
        <v>0.9417322834645668</v>
      </c>
      <c r="H45" s="218">
        <v>120</v>
      </c>
      <c r="I45" s="72"/>
      <c r="J45" s="219">
        <f t="shared" si="2"/>
        <v>120</v>
      </c>
      <c r="K45" s="225">
        <f t="shared" si="3"/>
        <v>0.4000000000000057</v>
      </c>
      <c r="L45" s="226">
        <f t="shared" si="4"/>
        <v>1.0033444816053512</v>
      </c>
      <c r="O45" s="150"/>
    </row>
    <row r="46" spans="1:12" s="6" customFormat="1" ht="14.25">
      <c r="A46" s="385" t="s">
        <v>103</v>
      </c>
      <c r="B46" s="385"/>
      <c r="C46" s="385"/>
      <c r="D46" s="77">
        <v>18</v>
      </c>
      <c r="E46" s="222">
        <v>21</v>
      </c>
      <c r="F46" s="223">
        <f t="shared" si="0"/>
        <v>3</v>
      </c>
      <c r="G46" s="224">
        <f t="shared" si="1"/>
        <v>1.1666666666666667</v>
      </c>
      <c r="H46" s="218">
        <v>30</v>
      </c>
      <c r="I46" s="72"/>
      <c r="J46" s="219">
        <f t="shared" si="2"/>
        <v>30</v>
      </c>
      <c r="K46" s="225">
        <f t="shared" si="3"/>
        <v>9</v>
      </c>
      <c r="L46" s="226">
        <f t="shared" si="4"/>
        <v>1.4285714285714286</v>
      </c>
    </row>
    <row r="47" spans="1:12" s="6" customFormat="1" ht="14.25">
      <c r="A47" s="385" t="s">
        <v>104</v>
      </c>
      <c r="B47" s="385"/>
      <c r="C47" s="385"/>
      <c r="D47" s="77">
        <v>1346</v>
      </c>
      <c r="E47" s="222">
        <v>688</v>
      </c>
      <c r="F47" s="223">
        <f t="shared" si="0"/>
        <v>-658</v>
      </c>
      <c r="G47" s="224">
        <f t="shared" si="1"/>
        <v>0.5111441307578009</v>
      </c>
      <c r="H47" s="218">
        <v>830</v>
      </c>
      <c r="I47" s="72"/>
      <c r="J47" s="219">
        <v>830</v>
      </c>
      <c r="K47" s="225">
        <f t="shared" si="3"/>
        <v>142</v>
      </c>
      <c r="L47" s="226">
        <f t="shared" si="4"/>
        <v>1.2063953488372092</v>
      </c>
    </row>
    <row r="48" spans="1:12" s="6" customFormat="1" ht="14.25">
      <c r="A48" s="385" t="s">
        <v>105</v>
      </c>
      <c r="B48" s="385"/>
      <c r="C48" s="385"/>
      <c r="D48" s="77">
        <v>13196</v>
      </c>
      <c r="E48" s="222">
        <v>13732</v>
      </c>
      <c r="F48" s="223">
        <f t="shared" si="0"/>
        <v>536</v>
      </c>
      <c r="G48" s="224">
        <f t="shared" si="1"/>
        <v>1.0406183692027888</v>
      </c>
      <c r="H48" s="218">
        <v>13657</v>
      </c>
      <c r="I48" s="72"/>
      <c r="J48" s="219">
        <f>H48</f>
        <v>13657</v>
      </c>
      <c r="K48" s="225">
        <f t="shared" si="3"/>
        <v>-75</v>
      </c>
      <c r="L48" s="226">
        <f t="shared" si="4"/>
        <v>0.9945383046897757</v>
      </c>
    </row>
    <row r="49" spans="1:12" s="6" customFormat="1" ht="14.25">
      <c r="A49" s="385" t="s">
        <v>106</v>
      </c>
      <c r="B49" s="385"/>
      <c r="C49" s="385"/>
      <c r="D49" s="77">
        <v>9782</v>
      </c>
      <c r="E49" s="222">
        <v>10094.9</v>
      </c>
      <c r="F49" s="223">
        <f t="shared" si="0"/>
        <v>312.89999999999964</v>
      </c>
      <c r="G49" s="224">
        <f t="shared" si="1"/>
        <v>1.031987323655694</v>
      </c>
      <c r="H49" s="218">
        <v>10116</v>
      </c>
      <c r="I49" s="72"/>
      <c r="J49" s="219">
        <f>H49</f>
        <v>10116</v>
      </c>
      <c r="K49" s="225">
        <f t="shared" si="3"/>
        <v>21.100000000000364</v>
      </c>
      <c r="L49" s="226">
        <f t="shared" si="4"/>
        <v>1.0020901643404097</v>
      </c>
    </row>
    <row r="50" spans="1:12" s="6" customFormat="1" ht="14.25">
      <c r="A50" s="385" t="s">
        <v>107</v>
      </c>
      <c r="B50" s="385"/>
      <c r="C50" s="385"/>
      <c r="D50" s="77">
        <v>9764</v>
      </c>
      <c r="E50" s="222">
        <v>10056</v>
      </c>
      <c r="F50" s="223">
        <f t="shared" si="0"/>
        <v>292</v>
      </c>
      <c r="G50" s="224">
        <f t="shared" si="1"/>
        <v>1.0299057763211799</v>
      </c>
      <c r="H50" s="218">
        <v>10056</v>
      </c>
      <c r="I50" s="72"/>
      <c r="J50" s="219">
        <f>H50</f>
        <v>10056</v>
      </c>
      <c r="K50" s="225">
        <f t="shared" si="3"/>
        <v>0</v>
      </c>
      <c r="L50" s="226">
        <f t="shared" si="4"/>
        <v>1</v>
      </c>
    </row>
    <row r="51" spans="1:12" s="6" customFormat="1" ht="14.25">
      <c r="A51" s="385" t="s">
        <v>108</v>
      </c>
      <c r="B51" s="385"/>
      <c r="C51" s="385"/>
      <c r="D51" s="77">
        <v>18</v>
      </c>
      <c r="E51" s="222">
        <v>39</v>
      </c>
      <c r="F51" s="223">
        <f t="shared" si="0"/>
        <v>21</v>
      </c>
      <c r="G51" s="224">
        <f t="shared" si="1"/>
        <v>2.1666666666666665</v>
      </c>
      <c r="H51" s="218">
        <v>60</v>
      </c>
      <c r="I51" s="72"/>
      <c r="J51" s="219">
        <f>H51</f>
        <v>60</v>
      </c>
      <c r="K51" s="225">
        <f t="shared" si="3"/>
        <v>21</v>
      </c>
      <c r="L51" s="226">
        <f t="shared" si="4"/>
        <v>1.5384615384615385</v>
      </c>
    </row>
    <row r="52" spans="1:12" s="6" customFormat="1" ht="14.25">
      <c r="A52" s="385" t="s">
        <v>109</v>
      </c>
      <c r="B52" s="385"/>
      <c r="C52" s="385"/>
      <c r="D52" s="77">
        <v>3414</v>
      </c>
      <c r="E52" s="222">
        <v>3637</v>
      </c>
      <c r="F52" s="223">
        <f t="shared" si="0"/>
        <v>223</v>
      </c>
      <c r="G52" s="224">
        <f t="shared" si="1"/>
        <v>1.065319273579379</v>
      </c>
      <c r="H52" s="218">
        <v>3541</v>
      </c>
      <c r="I52" s="72"/>
      <c r="J52" s="219">
        <f>H52</f>
        <v>3541</v>
      </c>
      <c r="K52" s="225">
        <f t="shared" si="3"/>
        <v>-96</v>
      </c>
      <c r="L52" s="226">
        <f t="shared" si="4"/>
        <v>0.9736046191916414</v>
      </c>
    </row>
    <row r="53" spans="1:12" s="6" customFormat="1" ht="14.25">
      <c r="A53" s="385" t="s">
        <v>110</v>
      </c>
      <c r="B53" s="385"/>
      <c r="C53" s="385"/>
      <c r="D53" s="77">
        <v>0</v>
      </c>
      <c r="E53" s="222">
        <v>0</v>
      </c>
      <c r="F53" s="223">
        <f t="shared" si="0"/>
        <v>0</v>
      </c>
      <c r="G53" s="224"/>
      <c r="H53" s="218">
        <v>0</v>
      </c>
      <c r="I53" s="72"/>
      <c r="J53" s="219">
        <f t="shared" si="2"/>
        <v>0</v>
      </c>
      <c r="K53" s="225">
        <f t="shared" si="3"/>
        <v>0</v>
      </c>
      <c r="L53" s="226"/>
    </row>
    <row r="54" spans="1:12" s="6" customFormat="1" ht="14.25">
      <c r="A54" s="385" t="s">
        <v>111</v>
      </c>
      <c r="B54" s="385"/>
      <c r="C54" s="385"/>
      <c r="D54" s="77">
        <v>0</v>
      </c>
      <c r="E54" s="222">
        <v>0</v>
      </c>
      <c r="F54" s="223">
        <f t="shared" si="0"/>
        <v>0</v>
      </c>
      <c r="G54" s="224"/>
      <c r="H54" s="218">
        <v>0</v>
      </c>
      <c r="I54" s="72"/>
      <c r="J54" s="219">
        <f t="shared" si="2"/>
        <v>0</v>
      </c>
      <c r="K54" s="225">
        <f t="shared" si="3"/>
        <v>0</v>
      </c>
      <c r="L54" s="226"/>
    </row>
    <row r="55" spans="1:12" s="6" customFormat="1" ht="14.25">
      <c r="A55" s="385" t="s">
        <v>112</v>
      </c>
      <c r="B55" s="385"/>
      <c r="C55" s="385"/>
      <c r="D55" s="77">
        <v>127</v>
      </c>
      <c r="E55" s="222">
        <v>106</v>
      </c>
      <c r="F55" s="223">
        <f t="shared" si="0"/>
        <v>-21</v>
      </c>
      <c r="G55" s="224">
        <f t="shared" si="1"/>
        <v>0.8346456692913385</v>
      </c>
      <c r="H55" s="218">
        <v>106</v>
      </c>
      <c r="I55" s="72"/>
      <c r="J55" s="219">
        <f t="shared" si="2"/>
        <v>106</v>
      </c>
      <c r="K55" s="225">
        <f t="shared" si="3"/>
        <v>0</v>
      </c>
      <c r="L55" s="226">
        <f t="shared" si="4"/>
        <v>1</v>
      </c>
    </row>
    <row r="56" spans="1:12" s="6" customFormat="1" ht="14.25">
      <c r="A56" s="385" t="s">
        <v>113</v>
      </c>
      <c r="B56" s="385"/>
      <c r="C56" s="385"/>
      <c r="D56" s="77">
        <v>0</v>
      </c>
      <c r="E56" s="222">
        <v>0</v>
      </c>
      <c r="F56" s="223">
        <f t="shared" si="0"/>
        <v>0</v>
      </c>
      <c r="G56" s="224"/>
      <c r="H56" s="218">
        <v>0</v>
      </c>
      <c r="I56" s="72"/>
      <c r="J56" s="219">
        <f t="shared" si="2"/>
        <v>0</v>
      </c>
      <c r="K56" s="225">
        <f t="shared" si="3"/>
        <v>0</v>
      </c>
      <c r="L56" s="226"/>
    </row>
    <row r="57" spans="1:12" s="6" customFormat="1" ht="14.25">
      <c r="A57" s="385" t="s">
        <v>114</v>
      </c>
      <c r="B57" s="385"/>
      <c r="C57" s="385"/>
      <c r="D57" s="77">
        <v>401</v>
      </c>
      <c r="E57" s="222">
        <v>414</v>
      </c>
      <c r="F57" s="223">
        <f t="shared" si="0"/>
        <v>13</v>
      </c>
      <c r="G57" s="224">
        <f t="shared" si="1"/>
        <v>1.032418952618454</v>
      </c>
      <c r="H57" s="218">
        <v>3090</v>
      </c>
      <c r="I57" s="72"/>
      <c r="J57" s="219">
        <f t="shared" si="2"/>
        <v>3090</v>
      </c>
      <c r="K57" s="225">
        <f t="shared" si="3"/>
        <v>2676</v>
      </c>
      <c r="L57" s="226">
        <f t="shared" si="4"/>
        <v>7.463768115942029</v>
      </c>
    </row>
    <row r="58" spans="1:12" s="6" customFormat="1" ht="14.25">
      <c r="A58" s="385" t="s">
        <v>162</v>
      </c>
      <c r="B58" s="385"/>
      <c r="C58" s="385"/>
      <c r="D58" s="77"/>
      <c r="E58" s="222">
        <v>25</v>
      </c>
      <c r="F58" s="223">
        <f t="shared" si="0"/>
        <v>25</v>
      </c>
      <c r="G58" s="224"/>
      <c r="H58" s="218">
        <v>25</v>
      </c>
      <c r="I58" s="72"/>
      <c r="J58" s="219">
        <f t="shared" si="2"/>
        <v>25</v>
      </c>
      <c r="K58" s="225">
        <f t="shared" si="3"/>
        <v>0</v>
      </c>
      <c r="L58" s="226">
        <f t="shared" si="4"/>
        <v>1</v>
      </c>
    </row>
    <row r="59" spans="1:12" s="6" customFormat="1" ht="15" thickBot="1">
      <c r="A59" s="402" t="s">
        <v>116</v>
      </c>
      <c r="B59" s="402"/>
      <c r="C59" s="402"/>
      <c r="D59" s="227"/>
      <c r="E59" s="228">
        <v>0</v>
      </c>
      <c r="F59" s="229">
        <f t="shared" si="0"/>
        <v>0</v>
      </c>
      <c r="G59" s="230"/>
      <c r="H59" s="231">
        <v>0</v>
      </c>
      <c r="I59" s="232"/>
      <c r="J59" s="233">
        <f t="shared" si="2"/>
        <v>0</v>
      </c>
      <c r="K59" s="234">
        <f t="shared" si="3"/>
        <v>0</v>
      </c>
      <c r="L59" s="235"/>
    </row>
    <row r="60" spans="1:12" s="6" customFormat="1" ht="15.75" thickBot="1">
      <c r="A60" s="387" t="s">
        <v>117</v>
      </c>
      <c r="B60" s="387"/>
      <c r="C60" s="387"/>
      <c r="D60" s="236">
        <v>18934</v>
      </c>
      <c r="E60" s="237">
        <v>20046</v>
      </c>
      <c r="F60" s="238">
        <f t="shared" si="0"/>
        <v>1112</v>
      </c>
      <c r="G60" s="239">
        <f t="shared" si="1"/>
        <v>1.0587303263969579</v>
      </c>
      <c r="H60" s="240">
        <f>23963-829</f>
        <v>23134</v>
      </c>
      <c r="I60" s="241"/>
      <c r="J60" s="242">
        <f>H60</f>
        <v>23134</v>
      </c>
      <c r="K60" s="240">
        <f t="shared" si="3"/>
        <v>3088</v>
      </c>
      <c r="L60" s="243">
        <f t="shared" si="4"/>
        <v>1.154045694901726</v>
      </c>
    </row>
    <row r="61" spans="1:14" s="6" customFormat="1" ht="15">
      <c r="A61" s="403" t="s">
        <v>17</v>
      </c>
      <c r="B61" s="403"/>
      <c r="C61" s="403"/>
      <c r="D61" s="96">
        <v>51</v>
      </c>
      <c r="E61" s="96">
        <v>0</v>
      </c>
      <c r="F61" s="96">
        <v>0</v>
      </c>
      <c r="G61" s="96">
        <f t="shared" si="1"/>
        <v>0</v>
      </c>
      <c r="H61" s="96">
        <f>H27-H60</f>
        <v>-3612</v>
      </c>
      <c r="I61" s="96"/>
      <c r="J61" s="96">
        <f>J27-J60</f>
        <v>-3612</v>
      </c>
      <c r="K61" s="115">
        <f t="shared" si="3"/>
        <v>-3612</v>
      </c>
      <c r="L61" s="115" t="e">
        <f t="shared" si="4"/>
        <v>#DIV/0!</v>
      </c>
      <c r="N61" s="8"/>
    </row>
    <row r="62" spans="1:15" s="10" customFormat="1" ht="15">
      <c r="A62" s="403" t="s">
        <v>18</v>
      </c>
      <c r="B62" s="403"/>
      <c r="C62" s="403"/>
      <c r="D62" s="97"/>
      <c r="E62" s="97"/>
      <c r="F62" s="40"/>
      <c r="G62" s="40"/>
      <c r="H62" s="41"/>
      <c r="I62" s="52"/>
      <c r="J62" s="42"/>
      <c r="K62" s="14"/>
      <c r="L62" s="40"/>
      <c r="M62" s="40"/>
      <c r="N62" s="40"/>
      <c r="O62" s="41"/>
    </row>
    <row r="63" spans="1:15" s="10" customFormat="1" ht="15.75" thickBot="1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spans="1:14" s="6" customFormat="1" ht="14.25" customHeight="1" thickBot="1">
      <c r="A64" s="420" t="s">
        <v>150</v>
      </c>
      <c r="B64" s="421"/>
      <c r="C64" s="424" t="s">
        <v>19</v>
      </c>
      <c r="D64" s="12"/>
      <c r="E64" s="426" t="s">
        <v>151</v>
      </c>
      <c r="F64" s="426"/>
      <c r="G64" s="426"/>
      <c r="H64" s="426"/>
      <c r="I64" s="411" t="s">
        <v>19</v>
      </c>
      <c r="J64" s="11"/>
      <c r="K64" s="11"/>
      <c r="L64" s="11"/>
      <c r="M64" s="11"/>
      <c r="N64" s="11"/>
    </row>
    <row r="65" spans="1:14" s="6" customFormat="1" ht="15.75" thickBot="1">
      <c r="A65" s="422"/>
      <c r="B65" s="423"/>
      <c r="C65" s="425"/>
      <c r="D65" s="12"/>
      <c r="E65" s="426"/>
      <c r="F65" s="426"/>
      <c r="G65" s="426"/>
      <c r="H65" s="426"/>
      <c r="I65" s="411"/>
      <c r="J65" s="11"/>
      <c r="K65" s="11"/>
      <c r="L65" s="11"/>
      <c r="M65" s="11"/>
      <c r="N65" s="11"/>
    </row>
    <row r="66" spans="1:14" s="6" customFormat="1" ht="15.75" thickBot="1">
      <c r="A66" s="383" t="s">
        <v>180</v>
      </c>
      <c r="B66" s="384"/>
      <c r="C66" s="15">
        <v>6</v>
      </c>
      <c r="D66" s="14"/>
      <c r="E66" s="380" t="s">
        <v>184</v>
      </c>
      <c r="F66" s="380"/>
      <c r="G66" s="380"/>
      <c r="H66" s="380"/>
      <c r="I66" s="15">
        <v>40</v>
      </c>
      <c r="J66" s="11"/>
      <c r="K66" s="11"/>
      <c r="L66" s="11"/>
      <c r="M66" s="11"/>
      <c r="N66" s="113" t="s">
        <v>122</v>
      </c>
    </row>
    <row r="67" spans="1:14" s="6" customFormat="1" ht="15">
      <c r="A67" s="383" t="s">
        <v>181</v>
      </c>
      <c r="B67" s="384"/>
      <c r="C67" s="15">
        <v>70</v>
      </c>
      <c r="D67" s="14"/>
      <c r="E67" s="380" t="s">
        <v>185</v>
      </c>
      <c r="F67" s="380"/>
      <c r="G67" s="380"/>
      <c r="H67" s="380"/>
      <c r="I67" s="16">
        <v>300</v>
      </c>
      <c r="J67" s="11"/>
      <c r="K67" s="17" t="s">
        <v>20</v>
      </c>
      <c r="L67" s="18"/>
      <c r="M67" s="19">
        <v>2009</v>
      </c>
      <c r="N67" s="20">
        <v>2010</v>
      </c>
    </row>
    <row r="68" spans="1:14" s="6" customFormat="1" ht="15">
      <c r="A68" s="383" t="s">
        <v>182</v>
      </c>
      <c r="B68" s="384"/>
      <c r="C68" s="15">
        <v>150</v>
      </c>
      <c r="D68" s="14"/>
      <c r="E68" s="380" t="s">
        <v>186</v>
      </c>
      <c r="F68" s="380"/>
      <c r="G68" s="380"/>
      <c r="H68" s="380"/>
      <c r="I68" s="16">
        <v>250</v>
      </c>
      <c r="J68" s="11"/>
      <c r="K68" s="21" t="s">
        <v>45</v>
      </c>
      <c r="L68" s="22"/>
      <c r="M68" s="23"/>
      <c r="N68" s="24"/>
    </row>
    <row r="69" spans="1:14" s="6" customFormat="1" ht="14.25" customHeight="1">
      <c r="A69" s="434" t="s">
        <v>183</v>
      </c>
      <c r="B69" s="435"/>
      <c r="C69" s="15">
        <v>300</v>
      </c>
      <c r="D69" s="14"/>
      <c r="E69" s="380" t="s">
        <v>182</v>
      </c>
      <c r="F69" s="380"/>
      <c r="G69" s="380"/>
      <c r="H69" s="380"/>
      <c r="I69" s="16">
        <v>150</v>
      </c>
      <c r="J69" s="11"/>
      <c r="K69" s="21" t="s">
        <v>21</v>
      </c>
      <c r="L69" s="25"/>
      <c r="M69" s="26">
        <v>0</v>
      </c>
      <c r="N69" s="27">
        <v>0</v>
      </c>
    </row>
    <row r="70" spans="1:14" s="6" customFormat="1" ht="15.75" thickBot="1">
      <c r="A70" s="383" t="s">
        <v>336</v>
      </c>
      <c r="B70" s="384"/>
      <c r="C70" s="15">
        <v>510</v>
      </c>
      <c r="D70" s="14"/>
      <c r="E70" s="380"/>
      <c r="F70" s="380"/>
      <c r="G70" s="380"/>
      <c r="H70" s="380"/>
      <c r="I70" s="28"/>
      <c r="J70" s="11"/>
      <c r="K70" s="29" t="s">
        <v>22</v>
      </c>
      <c r="L70" s="30"/>
      <c r="M70" s="31">
        <v>0</v>
      </c>
      <c r="N70" s="32">
        <v>0</v>
      </c>
    </row>
    <row r="71" spans="1:14" s="6" customFormat="1" ht="15">
      <c r="A71" s="383"/>
      <c r="B71" s="384"/>
      <c r="C71" s="13"/>
      <c r="D71" s="14"/>
      <c r="E71" s="380"/>
      <c r="F71" s="380"/>
      <c r="G71" s="380"/>
      <c r="H71" s="380"/>
      <c r="I71" s="28"/>
      <c r="J71" s="11"/>
      <c r="K71" s="11"/>
      <c r="L71" s="11"/>
      <c r="M71" s="11"/>
      <c r="N71" s="11"/>
    </row>
    <row r="72" spans="1:14" s="6" customFormat="1" ht="15">
      <c r="A72" s="383"/>
      <c r="B72" s="384"/>
      <c r="C72" s="13"/>
      <c r="D72" s="14"/>
      <c r="E72" s="409"/>
      <c r="F72" s="409"/>
      <c r="G72" s="409"/>
      <c r="H72" s="409"/>
      <c r="I72" s="16"/>
      <c r="J72" s="11"/>
      <c r="K72" s="11"/>
      <c r="L72" s="11"/>
      <c r="M72" s="11"/>
      <c r="N72" s="11"/>
    </row>
    <row r="73" spans="1:14" s="6" customFormat="1" ht="15.75" thickBot="1">
      <c r="A73" s="383"/>
      <c r="B73" s="384"/>
      <c r="C73" s="33"/>
      <c r="D73" s="14"/>
      <c r="E73" s="381"/>
      <c r="F73" s="381"/>
      <c r="G73" s="381"/>
      <c r="H73" s="381"/>
      <c r="I73" s="34"/>
      <c r="J73" s="11"/>
      <c r="K73" s="11"/>
      <c r="L73" s="11"/>
      <c r="M73" s="11"/>
      <c r="N73" s="11"/>
    </row>
    <row r="74" spans="1:14" s="6" customFormat="1" ht="15.75" thickBot="1">
      <c r="A74" s="405" t="s">
        <v>12</v>
      </c>
      <c r="B74" s="406"/>
      <c r="C74" s="35">
        <f>SUM(C66:C72)</f>
        <v>1036</v>
      </c>
      <c r="D74" s="36"/>
      <c r="E74" s="404" t="s">
        <v>12</v>
      </c>
      <c r="F74" s="404"/>
      <c r="G74" s="404"/>
      <c r="H74" s="404"/>
      <c r="I74" s="37">
        <f>SUM(I66:I73)</f>
        <v>740</v>
      </c>
      <c r="J74" s="11"/>
      <c r="K74" s="11"/>
      <c r="L74" s="11"/>
      <c r="M74" s="11"/>
      <c r="N74" s="38"/>
    </row>
    <row r="75" spans="1:5" s="10" customFormat="1" ht="13.5" customHeight="1">
      <c r="A75" s="374" t="s">
        <v>333</v>
      </c>
      <c r="B75" s="39"/>
      <c r="C75" s="39"/>
      <c r="D75" s="39"/>
      <c r="E75" s="39"/>
    </row>
    <row r="76" spans="1:12" s="10" customFormat="1" ht="15.75" thickBot="1">
      <c r="A76" s="5" t="s">
        <v>152</v>
      </c>
      <c r="B76" s="40"/>
      <c r="C76" s="40"/>
      <c r="D76" s="40"/>
      <c r="E76" s="41"/>
      <c r="F76" s="42"/>
      <c r="G76" s="42"/>
      <c r="H76" s="14"/>
      <c r="I76" s="40"/>
      <c r="J76" s="40" t="s">
        <v>46</v>
      </c>
      <c r="K76" s="40"/>
      <c r="L76" s="41"/>
    </row>
    <row r="77" spans="1:11" s="10" customFormat="1" ht="15.75" thickBot="1">
      <c r="A77" s="427" t="s">
        <v>31</v>
      </c>
      <c r="B77" s="428" t="s">
        <v>153</v>
      </c>
      <c r="C77" s="412" t="s">
        <v>154</v>
      </c>
      <c r="D77" s="412"/>
      <c r="E77" s="412"/>
      <c r="F77" s="412"/>
      <c r="G77" s="412"/>
      <c r="H77" s="412"/>
      <c r="I77" s="412"/>
      <c r="J77" s="413" t="s">
        <v>155</v>
      </c>
      <c r="K77" s="6"/>
    </row>
    <row r="78" spans="1:11" s="10" customFormat="1" ht="12.75" customHeight="1" thickBot="1">
      <c r="A78" s="427"/>
      <c r="B78" s="428"/>
      <c r="C78" s="414" t="s">
        <v>32</v>
      </c>
      <c r="D78" s="415" t="s">
        <v>33</v>
      </c>
      <c r="E78" s="415"/>
      <c r="F78" s="415"/>
      <c r="G78" s="415"/>
      <c r="H78" s="415"/>
      <c r="I78" s="415"/>
      <c r="J78" s="413"/>
      <c r="K78" s="6"/>
    </row>
    <row r="79" spans="1:11" s="10" customFormat="1" ht="15.75" thickBot="1">
      <c r="A79" s="427"/>
      <c r="B79" s="428"/>
      <c r="C79" s="414"/>
      <c r="D79" s="43">
        <v>1</v>
      </c>
      <c r="E79" s="43">
        <v>2</v>
      </c>
      <c r="F79" s="43">
        <v>3</v>
      </c>
      <c r="G79" s="43">
        <v>4</v>
      </c>
      <c r="H79" s="43">
        <v>5</v>
      </c>
      <c r="I79" s="44">
        <v>6</v>
      </c>
      <c r="J79" s="413"/>
      <c r="K79" s="6"/>
    </row>
    <row r="80" spans="1:11" s="10" customFormat="1" ht="15.75" thickBot="1">
      <c r="A80" s="46">
        <f>'[2]odpisy 2011'!$B$15</f>
        <v>87229</v>
      </c>
      <c r="B80" s="46">
        <f>'[2]odpisy 2011'!$D$15</f>
        <v>3852</v>
      </c>
      <c r="C80" s="47">
        <f>'[2]odpisy 2011'!$E$15</f>
        <v>3090</v>
      </c>
      <c r="D80" s="48">
        <f>'[2]odpisy 2011'!$E$9</f>
        <v>242</v>
      </c>
      <c r="E80" s="48">
        <f>'[2]odpisy 2011'!$E$10</f>
        <v>433</v>
      </c>
      <c r="F80" s="48">
        <f>'[2]odpisy 2011'!$E$11</f>
        <v>5</v>
      </c>
      <c r="G80" s="48">
        <f>'[2]odpisy 2011'!$E$12</f>
        <v>29</v>
      </c>
      <c r="H80" s="49">
        <f>'[2]odpisy 2011'!$E$13</f>
        <v>358</v>
      </c>
      <c r="I80" s="50">
        <f>'[2]odpisy 2011'!$E$14</f>
        <v>2023</v>
      </c>
      <c r="J80" s="51">
        <f>'[2]odpisy 2011'!$F$15</f>
        <v>80287</v>
      </c>
      <c r="K80" s="6"/>
    </row>
    <row r="81" spans="1:5" s="10" customFormat="1" ht="13.5" customHeight="1">
      <c r="A81" s="36"/>
      <c r="B81" s="39"/>
      <c r="C81" s="39"/>
      <c r="D81" s="39"/>
      <c r="E81" s="39"/>
    </row>
    <row r="82" spans="1:12" s="10" customFormat="1" ht="15.75" thickBot="1">
      <c r="A82" s="5" t="s">
        <v>63</v>
      </c>
      <c r="B82" s="40"/>
      <c r="C82" s="40"/>
      <c r="D82" s="40"/>
      <c r="E82" s="41"/>
      <c r="F82" s="52"/>
      <c r="G82" s="42"/>
      <c r="H82" s="14"/>
      <c r="I82" s="40"/>
      <c r="J82" s="40"/>
      <c r="K82" s="40"/>
      <c r="L82" s="40" t="s">
        <v>46</v>
      </c>
    </row>
    <row r="83" spans="1:12" s="10" customFormat="1" ht="15.75" thickBot="1">
      <c r="A83" s="416" t="s">
        <v>43</v>
      </c>
      <c r="B83" s="430" t="s">
        <v>156</v>
      </c>
      <c r="C83" s="431" t="s">
        <v>305</v>
      </c>
      <c r="D83" s="431"/>
      <c r="E83" s="431"/>
      <c r="F83" s="431"/>
      <c r="G83" s="432" t="s">
        <v>157</v>
      </c>
      <c r="H83" s="433" t="s">
        <v>34</v>
      </c>
      <c r="I83" s="429" t="s">
        <v>159</v>
      </c>
      <c r="J83" s="429"/>
      <c r="K83" s="429"/>
      <c r="L83" s="429"/>
    </row>
    <row r="84" spans="1:12" s="10" customFormat="1" ht="30.75" thickBot="1">
      <c r="A84" s="416"/>
      <c r="B84" s="430"/>
      <c r="C84" s="53" t="s">
        <v>120</v>
      </c>
      <c r="D84" s="54" t="s">
        <v>35</v>
      </c>
      <c r="E84" s="54" t="s">
        <v>36</v>
      </c>
      <c r="F84" s="55" t="s">
        <v>121</v>
      </c>
      <c r="G84" s="432"/>
      <c r="H84" s="433"/>
      <c r="I84" s="56" t="s">
        <v>158</v>
      </c>
      <c r="J84" s="57" t="s">
        <v>335</v>
      </c>
      <c r="K84" s="57" t="s">
        <v>36</v>
      </c>
      <c r="L84" s="58" t="s">
        <v>160</v>
      </c>
    </row>
    <row r="85" spans="1:12" s="10" customFormat="1" ht="15">
      <c r="A85" s="59" t="s">
        <v>37</v>
      </c>
      <c r="B85" s="60">
        <v>2860.98</v>
      </c>
      <c r="C85" s="61" t="s">
        <v>38</v>
      </c>
      <c r="D85" s="62" t="s">
        <v>38</v>
      </c>
      <c r="E85" s="62" t="s">
        <v>38</v>
      </c>
      <c r="F85" s="63"/>
      <c r="G85" s="64">
        <v>2174.13</v>
      </c>
      <c r="H85" s="65" t="s">
        <v>38</v>
      </c>
      <c r="I85" s="66" t="s">
        <v>38</v>
      </c>
      <c r="J85" s="67" t="s">
        <v>38</v>
      </c>
      <c r="K85" s="67" t="s">
        <v>38</v>
      </c>
      <c r="L85" s="68" t="s">
        <v>38</v>
      </c>
    </row>
    <row r="86" spans="1:13" s="10" customFormat="1" ht="15">
      <c r="A86" s="69" t="s">
        <v>39</v>
      </c>
      <c r="B86" s="70">
        <v>293</v>
      </c>
      <c r="C86" s="71">
        <v>293</v>
      </c>
      <c r="D86" s="72">
        <v>0</v>
      </c>
      <c r="E86" s="72">
        <v>0</v>
      </c>
      <c r="F86" s="73">
        <f>C86+D86-E86</f>
        <v>293</v>
      </c>
      <c r="G86" s="74">
        <v>293</v>
      </c>
      <c r="H86" s="75">
        <f>+G86-F86</f>
        <v>0</v>
      </c>
      <c r="I86" s="71">
        <v>293</v>
      </c>
      <c r="J86" s="72">
        <v>0</v>
      </c>
      <c r="K86" s="72">
        <v>293</v>
      </c>
      <c r="L86" s="73">
        <v>0</v>
      </c>
      <c r="M86" s="76"/>
    </row>
    <row r="87" spans="1:13" s="10" customFormat="1" ht="15">
      <c r="A87" s="69" t="s">
        <v>40</v>
      </c>
      <c r="B87" s="70">
        <v>949.09</v>
      </c>
      <c r="C87" s="71">
        <v>949</v>
      </c>
      <c r="D87" s="72">
        <v>50</v>
      </c>
      <c r="E87" s="72">
        <v>730</v>
      </c>
      <c r="F87" s="73">
        <f>C87+D87-E87</f>
        <v>269</v>
      </c>
      <c r="G87" s="74">
        <v>269.23</v>
      </c>
      <c r="H87" s="75">
        <f>+G87-F87</f>
        <v>0.2300000000000182</v>
      </c>
      <c r="I87" s="71">
        <v>269</v>
      </c>
      <c r="J87" s="72">
        <v>0</v>
      </c>
      <c r="K87" s="72">
        <v>269</v>
      </c>
      <c r="L87" s="73">
        <f>I87+J87-K87</f>
        <v>0</v>
      </c>
      <c r="M87" s="76"/>
    </row>
    <row r="88" spans="1:13" s="10" customFormat="1" ht="15">
      <c r="A88" s="69" t="s">
        <v>44</v>
      </c>
      <c r="B88" s="70">
        <v>267.22</v>
      </c>
      <c r="C88" s="71">
        <v>267</v>
      </c>
      <c r="D88" s="72">
        <v>413</v>
      </c>
      <c r="E88" s="72">
        <v>449</v>
      </c>
      <c r="F88" s="73">
        <v>232</v>
      </c>
      <c r="G88" s="74">
        <v>231.95</v>
      </c>
      <c r="H88" s="75">
        <f>+G88-F88</f>
        <v>-0.05000000000001137</v>
      </c>
      <c r="I88" s="77">
        <v>232</v>
      </c>
      <c r="J88" s="78">
        <v>3590</v>
      </c>
      <c r="K88" s="78">
        <v>1036</v>
      </c>
      <c r="L88" s="73">
        <f>I88+J88-K88</f>
        <v>2786</v>
      </c>
      <c r="M88" s="76"/>
    </row>
    <row r="89" spans="1:13" s="10" customFormat="1" ht="15">
      <c r="A89" s="69" t="s">
        <v>41</v>
      </c>
      <c r="B89" s="70">
        <v>1351.67</v>
      </c>
      <c r="C89" s="79" t="s">
        <v>38</v>
      </c>
      <c r="D89" s="62" t="s">
        <v>38</v>
      </c>
      <c r="E89" s="80" t="s">
        <v>38</v>
      </c>
      <c r="F89" s="73"/>
      <c r="G89" s="74">
        <v>1379.95</v>
      </c>
      <c r="H89" s="81" t="s">
        <v>38</v>
      </c>
      <c r="I89" s="79" t="s">
        <v>38</v>
      </c>
      <c r="J89" s="62" t="s">
        <v>38</v>
      </c>
      <c r="K89" s="80" t="s">
        <v>38</v>
      </c>
      <c r="L89" s="107" t="s">
        <v>38</v>
      </c>
      <c r="M89" s="76"/>
    </row>
    <row r="90" spans="1:13" s="10" customFormat="1" ht="15.75" thickBot="1">
      <c r="A90" s="82" t="s">
        <v>42</v>
      </c>
      <c r="B90" s="83">
        <v>125.47</v>
      </c>
      <c r="C90" s="84">
        <v>133</v>
      </c>
      <c r="D90" s="85">
        <v>201</v>
      </c>
      <c r="E90" s="85">
        <v>211</v>
      </c>
      <c r="F90" s="106">
        <f>C90+D90-E90</f>
        <v>123</v>
      </c>
      <c r="G90" s="109">
        <v>116.03</v>
      </c>
      <c r="H90" s="110">
        <f>+G90-F90</f>
        <v>-6.969999999999999</v>
      </c>
      <c r="I90" s="111">
        <v>123</v>
      </c>
      <c r="J90" s="112">
        <v>101</v>
      </c>
      <c r="K90" s="112">
        <v>128</v>
      </c>
      <c r="L90" s="106">
        <f>I90+J90-K90</f>
        <v>96</v>
      </c>
      <c r="M90" s="76"/>
    </row>
    <row r="91" spans="1:15" s="10" customFormat="1" ht="15">
      <c r="A91" s="374" t="s">
        <v>334</v>
      </c>
      <c r="B91" s="40"/>
      <c r="C91" s="40"/>
      <c r="D91" s="149"/>
      <c r="E91" s="113"/>
      <c r="F91" s="40"/>
      <c r="G91" s="40"/>
      <c r="H91" s="41"/>
      <c r="I91" s="52"/>
      <c r="J91" s="42"/>
      <c r="K91" s="14"/>
      <c r="L91" s="40"/>
      <c r="M91" s="40"/>
      <c r="N91" s="40"/>
      <c r="O91" s="41"/>
    </row>
    <row r="92" spans="1:15" s="10" customFormat="1" ht="15">
      <c r="A92" s="14"/>
      <c r="B92" s="40"/>
      <c r="C92" s="40"/>
      <c r="D92" s="149"/>
      <c r="E92" s="113"/>
      <c r="F92" s="40"/>
      <c r="G92" s="40"/>
      <c r="H92" s="41"/>
      <c r="I92" s="52"/>
      <c r="J92" s="42"/>
      <c r="K92" s="14"/>
      <c r="L92" s="40"/>
      <c r="M92" s="40"/>
      <c r="N92" s="40"/>
      <c r="O92" s="41"/>
    </row>
    <row r="93" spans="1:11" s="6" customFormat="1" ht="15.75" thickBot="1">
      <c r="A93" s="5" t="s">
        <v>146</v>
      </c>
      <c r="D93" s="114"/>
      <c r="E93" s="150"/>
      <c r="K93" s="40" t="s">
        <v>46</v>
      </c>
    </row>
    <row r="94" spans="1:11" s="6" customFormat="1" ht="15">
      <c r="A94" s="410" t="s">
        <v>26</v>
      </c>
      <c r="B94" s="410"/>
      <c r="C94" s="410"/>
      <c r="D94" s="151"/>
      <c r="E94" s="410" t="s">
        <v>27</v>
      </c>
      <c r="F94" s="410"/>
      <c r="G94" s="410"/>
      <c r="I94" s="410" t="s">
        <v>23</v>
      </c>
      <c r="J94" s="410"/>
      <c r="K94" s="410"/>
    </row>
    <row r="95" spans="1:11" s="6" customFormat="1" ht="15.75" thickBot="1">
      <c r="A95" s="86" t="s">
        <v>28</v>
      </c>
      <c r="B95" s="87" t="s">
        <v>29</v>
      </c>
      <c r="C95" s="88" t="s">
        <v>25</v>
      </c>
      <c r="D95" s="151"/>
      <c r="E95" s="152"/>
      <c r="F95" s="417" t="s">
        <v>30</v>
      </c>
      <c r="G95" s="417"/>
      <c r="I95" s="86"/>
      <c r="J95" s="87" t="s">
        <v>24</v>
      </c>
      <c r="K95" s="88" t="s">
        <v>25</v>
      </c>
    </row>
    <row r="96" spans="1:11" s="6" customFormat="1" ht="15">
      <c r="A96" s="89">
        <v>2010</v>
      </c>
      <c r="B96" s="90">
        <v>43</v>
      </c>
      <c r="C96" s="91">
        <v>43.88</v>
      </c>
      <c r="D96" s="149"/>
      <c r="E96" s="89">
        <v>2010</v>
      </c>
      <c r="F96" s="418">
        <v>60</v>
      </c>
      <c r="G96" s="418"/>
      <c r="I96" s="89">
        <v>2010</v>
      </c>
      <c r="J96" s="90">
        <v>10056</v>
      </c>
      <c r="K96" s="91">
        <v>10056</v>
      </c>
    </row>
    <row r="97" spans="1:11" s="6" customFormat="1" ht="15.75" thickBot="1">
      <c r="A97" s="92">
        <v>2011</v>
      </c>
      <c r="B97" s="93">
        <v>44</v>
      </c>
      <c r="C97" s="108" t="s">
        <v>62</v>
      </c>
      <c r="D97" s="149"/>
      <c r="E97" s="92">
        <v>2011</v>
      </c>
      <c r="F97" s="419">
        <v>60</v>
      </c>
      <c r="G97" s="419"/>
      <c r="I97" s="92">
        <v>2011</v>
      </c>
      <c r="J97" s="93">
        <f>J50</f>
        <v>10056</v>
      </c>
      <c r="K97" s="108" t="s">
        <v>62</v>
      </c>
    </row>
    <row r="98" ht="14.25">
      <c r="D98" s="153"/>
    </row>
    <row r="99" ht="14.25">
      <c r="D99" s="149"/>
    </row>
    <row r="100" ht="15">
      <c r="D100" s="151"/>
    </row>
    <row r="101" ht="15">
      <c r="D101" s="151"/>
    </row>
    <row r="102" ht="14.25">
      <c r="D102" s="149"/>
    </row>
    <row r="103" ht="14.25">
      <c r="D103" s="149"/>
    </row>
  </sheetData>
  <mergeCells count="104">
    <mergeCell ref="A62:C62"/>
    <mergeCell ref="A94:C94"/>
    <mergeCell ref="E94:G94"/>
    <mergeCell ref="I94:K94"/>
    <mergeCell ref="A69:B69"/>
    <mergeCell ref="E69:H69"/>
    <mergeCell ref="A70:B70"/>
    <mergeCell ref="E70:H70"/>
    <mergeCell ref="E73:H73"/>
    <mergeCell ref="A74:B74"/>
    <mergeCell ref="F95:G95"/>
    <mergeCell ref="H4:J4"/>
    <mergeCell ref="K4:L4"/>
    <mergeCell ref="A7:C7"/>
    <mergeCell ref="A60:C60"/>
    <mergeCell ref="A4:C6"/>
    <mergeCell ref="D4:D6"/>
    <mergeCell ref="E4:E6"/>
    <mergeCell ref="F4:G4"/>
    <mergeCell ref="A8:C8"/>
    <mergeCell ref="A9:C9"/>
    <mergeCell ref="F96:G96"/>
    <mergeCell ref="F97:G97"/>
    <mergeCell ref="A3:G3"/>
    <mergeCell ref="A66:B66"/>
    <mergeCell ref="E66:H66"/>
    <mergeCell ref="A67:B67"/>
    <mergeCell ref="E67:H67"/>
    <mergeCell ref="A68:B68"/>
    <mergeCell ref="E68:H68"/>
    <mergeCell ref="A2:N2"/>
    <mergeCell ref="A64:B65"/>
    <mergeCell ref="C64:C65"/>
    <mergeCell ref="E64:H65"/>
    <mergeCell ref="I64:I65"/>
    <mergeCell ref="A10:C10"/>
    <mergeCell ref="A11:C11"/>
    <mergeCell ref="A12:C12"/>
    <mergeCell ref="A13:C13"/>
    <mergeCell ref="A14:C14"/>
    <mergeCell ref="A71:B71"/>
    <mergeCell ref="E71:H71"/>
    <mergeCell ref="A72:B72"/>
    <mergeCell ref="E72:H72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1:C61"/>
    <mergeCell ref="A73:B73"/>
    <mergeCell ref="J77:J79"/>
    <mergeCell ref="A77:A79"/>
    <mergeCell ref="B77:B79"/>
    <mergeCell ref="C77:I77"/>
    <mergeCell ref="C78:C79"/>
    <mergeCell ref="D78:I78"/>
    <mergeCell ref="E74:H74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99"/>
  <sheetViews>
    <sheetView view="pageBreakPreview" zoomScale="70" zoomScaleSheetLayoutView="70" workbookViewId="0" topLeftCell="A70">
      <selection activeCell="N69" sqref="N69"/>
    </sheetView>
  </sheetViews>
  <sheetFormatPr defaultColWidth="9.00390625" defaultRowHeight="12.75"/>
  <cols>
    <col min="1" max="1" width="27.875" style="138" customWidth="1"/>
    <col min="2" max="2" width="15.875" style="138" customWidth="1"/>
    <col min="3" max="3" width="12.375" style="138" customWidth="1"/>
    <col min="4" max="4" width="12.625" style="154" customWidth="1"/>
    <col min="5" max="5" width="12.625" style="147" customWidth="1"/>
    <col min="6" max="12" width="12.6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125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46</v>
      </c>
    </row>
    <row r="4" spans="1:15" ht="15">
      <c r="A4" s="390" t="s">
        <v>142</v>
      </c>
      <c r="B4" s="391"/>
      <c r="C4" s="467"/>
      <c r="D4" s="472" t="s">
        <v>143</v>
      </c>
      <c r="E4" s="477">
        <v>2010</v>
      </c>
      <c r="F4" s="475" t="s">
        <v>64</v>
      </c>
      <c r="G4" s="476"/>
      <c r="H4" s="480" t="s">
        <v>144</v>
      </c>
      <c r="I4" s="481"/>
      <c r="J4" s="482"/>
      <c r="K4" s="475" t="s">
        <v>145</v>
      </c>
      <c r="L4" s="476"/>
      <c r="M4" s="137"/>
      <c r="N4" s="137"/>
      <c r="O4" s="137"/>
    </row>
    <row r="5" spans="1:15" ht="14.25" customHeight="1">
      <c r="A5" s="392"/>
      <c r="B5" s="393"/>
      <c r="C5" s="468"/>
      <c r="D5" s="473"/>
      <c r="E5" s="478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customHeight="1" thickBot="1">
      <c r="A6" s="469"/>
      <c r="B6" s="470"/>
      <c r="C6" s="471"/>
      <c r="D6" s="474"/>
      <c r="E6" s="479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4"/>
      <c r="C7" s="485"/>
      <c r="D7" s="168">
        <v>11075</v>
      </c>
      <c r="E7" s="169">
        <v>11623</v>
      </c>
      <c r="F7" s="170">
        <f>E7-D7</f>
        <v>548</v>
      </c>
      <c r="G7" s="171">
        <f>E7/D7</f>
        <v>1.0494808126410835</v>
      </c>
      <c r="H7" s="172">
        <f>H8+H9+H10+H11+H13</f>
        <v>12345</v>
      </c>
      <c r="I7" s="173"/>
      <c r="J7" s="174">
        <f>H7+I7</f>
        <v>12345</v>
      </c>
      <c r="K7" s="175">
        <f>J7-E7</f>
        <v>722</v>
      </c>
      <c r="L7" s="176">
        <f>J7/E7</f>
        <v>1.06211821388626</v>
      </c>
    </row>
    <row r="8" spans="1:12" ht="14.25">
      <c r="A8" s="465" t="s">
        <v>66</v>
      </c>
      <c r="B8" s="442"/>
      <c r="C8" s="443"/>
      <c r="D8" s="143">
        <v>6230</v>
      </c>
      <c r="E8" s="140">
        <v>6150</v>
      </c>
      <c r="F8" s="160">
        <f aca="true" t="shared" si="0" ref="F8:F60">E8-D8</f>
        <v>-80</v>
      </c>
      <c r="G8" s="161">
        <f aca="true" t="shared" si="1" ref="G8:G60">E8/D8</f>
        <v>0.9871589085072231</v>
      </c>
      <c r="H8" s="141">
        <v>6879</v>
      </c>
      <c r="I8" s="142"/>
      <c r="J8" s="174">
        <f aca="true" t="shared" si="2" ref="J8:J61">H8+I8</f>
        <v>6879</v>
      </c>
      <c r="K8" s="164">
        <f aca="true" t="shared" si="3" ref="K8:K60">J8-E8</f>
        <v>729</v>
      </c>
      <c r="L8" s="165">
        <f aca="true" t="shared" si="4" ref="L8:L60">J8/E8</f>
        <v>1.1185365853658538</v>
      </c>
    </row>
    <row r="9" spans="1:12" ht="14.25">
      <c r="A9" s="465" t="s">
        <v>67</v>
      </c>
      <c r="B9" s="442"/>
      <c r="C9" s="443"/>
      <c r="D9" s="143">
        <v>3914</v>
      </c>
      <c r="E9" s="140">
        <v>5141</v>
      </c>
      <c r="F9" s="160">
        <f t="shared" si="0"/>
        <v>1227</v>
      </c>
      <c r="G9" s="161">
        <f t="shared" si="1"/>
        <v>1.3134900357690342</v>
      </c>
      <c r="H9" s="141">
        <v>5290</v>
      </c>
      <c r="I9" s="142"/>
      <c r="J9" s="174">
        <f t="shared" si="2"/>
        <v>5290</v>
      </c>
      <c r="K9" s="164">
        <f t="shared" si="3"/>
        <v>149</v>
      </c>
      <c r="L9" s="165">
        <f t="shared" si="4"/>
        <v>1.0289826881929585</v>
      </c>
    </row>
    <row r="10" spans="1:12" ht="14.25">
      <c r="A10" s="465" t="s">
        <v>68</v>
      </c>
      <c r="B10" s="442"/>
      <c r="C10" s="443"/>
      <c r="D10" s="143">
        <v>14</v>
      </c>
      <c r="E10" s="140">
        <v>19</v>
      </c>
      <c r="F10" s="160">
        <f t="shared" si="0"/>
        <v>5</v>
      </c>
      <c r="G10" s="161">
        <f t="shared" si="1"/>
        <v>1.3571428571428572</v>
      </c>
      <c r="H10" s="141">
        <v>20</v>
      </c>
      <c r="I10" s="142"/>
      <c r="J10" s="174">
        <f t="shared" si="2"/>
        <v>20</v>
      </c>
      <c r="K10" s="164">
        <f t="shared" si="3"/>
        <v>1</v>
      </c>
      <c r="L10" s="165">
        <f t="shared" si="4"/>
        <v>1.0526315789473684</v>
      </c>
    </row>
    <row r="11" spans="1:12" ht="14.25">
      <c r="A11" s="465" t="s">
        <v>69</v>
      </c>
      <c r="B11" s="442"/>
      <c r="C11" s="443"/>
      <c r="D11" s="143">
        <v>428</v>
      </c>
      <c r="E11" s="140">
        <v>104</v>
      </c>
      <c r="F11" s="160">
        <f t="shared" si="0"/>
        <v>-324</v>
      </c>
      <c r="G11" s="161">
        <f t="shared" si="1"/>
        <v>0.24299065420560748</v>
      </c>
      <c r="H11" s="141">
        <v>144</v>
      </c>
      <c r="I11" s="142"/>
      <c r="J11" s="174">
        <f t="shared" si="2"/>
        <v>144</v>
      </c>
      <c r="K11" s="164">
        <f t="shared" si="3"/>
        <v>40</v>
      </c>
      <c r="L11" s="165">
        <f t="shared" si="4"/>
        <v>1.3846153846153846</v>
      </c>
    </row>
    <row r="12" spans="1:12" ht="14.25">
      <c r="A12" s="465" t="s">
        <v>70</v>
      </c>
      <c r="B12" s="442"/>
      <c r="C12" s="443"/>
      <c r="D12" s="143">
        <v>0</v>
      </c>
      <c r="E12" s="140">
        <v>0</v>
      </c>
      <c r="F12" s="160">
        <f t="shared" si="0"/>
        <v>0</v>
      </c>
      <c r="G12" s="161"/>
      <c r="H12" s="141">
        <v>0</v>
      </c>
      <c r="I12" s="142"/>
      <c r="J12" s="174">
        <f t="shared" si="2"/>
        <v>0</v>
      </c>
      <c r="K12" s="164">
        <f t="shared" si="3"/>
        <v>0</v>
      </c>
      <c r="L12" s="165"/>
    </row>
    <row r="13" spans="1:12" ht="14.25">
      <c r="A13" s="465" t="s">
        <v>71</v>
      </c>
      <c r="B13" s="442"/>
      <c r="C13" s="443"/>
      <c r="D13" s="143">
        <v>489</v>
      </c>
      <c r="E13" s="140">
        <v>209</v>
      </c>
      <c r="F13" s="160">
        <f t="shared" si="0"/>
        <v>-280</v>
      </c>
      <c r="G13" s="161">
        <f t="shared" si="1"/>
        <v>0.4274028629856851</v>
      </c>
      <c r="H13" s="141">
        <v>12</v>
      </c>
      <c r="I13" s="142"/>
      <c r="J13" s="174">
        <f t="shared" si="2"/>
        <v>12</v>
      </c>
      <c r="K13" s="164">
        <f t="shared" si="3"/>
        <v>-197</v>
      </c>
      <c r="L13" s="165">
        <f t="shared" si="4"/>
        <v>0.05741626794258373</v>
      </c>
    </row>
    <row r="14" spans="1:20" ht="15">
      <c r="A14" s="456" t="s">
        <v>72</v>
      </c>
      <c r="B14" s="457"/>
      <c r="C14" s="458"/>
      <c r="D14" s="143">
        <v>0</v>
      </c>
      <c r="E14" s="177">
        <v>0</v>
      </c>
      <c r="F14" s="160">
        <f t="shared" si="0"/>
        <v>0</v>
      </c>
      <c r="G14" s="161"/>
      <c r="H14" s="172">
        <v>2</v>
      </c>
      <c r="I14" s="173"/>
      <c r="J14" s="174">
        <f t="shared" si="2"/>
        <v>2</v>
      </c>
      <c r="K14" s="164">
        <f t="shared" si="3"/>
        <v>2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7"/>
      <c r="C15" s="458"/>
      <c r="D15" s="143">
        <v>39</v>
      </c>
      <c r="E15" s="140">
        <v>0</v>
      </c>
      <c r="F15" s="160">
        <f t="shared" si="0"/>
        <v>-39</v>
      </c>
      <c r="G15" s="161">
        <f t="shared" si="1"/>
        <v>0</v>
      </c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7"/>
      <c r="C16" s="458"/>
      <c r="D16" s="143">
        <v>387</v>
      </c>
      <c r="E16" s="140">
        <v>511</v>
      </c>
      <c r="F16" s="160">
        <f t="shared" si="0"/>
        <v>124</v>
      </c>
      <c r="G16" s="161">
        <f t="shared" si="1"/>
        <v>1.3204134366925064</v>
      </c>
      <c r="H16" s="141">
        <v>88</v>
      </c>
      <c r="I16" s="142"/>
      <c r="J16" s="174">
        <f t="shared" si="2"/>
        <v>88</v>
      </c>
      <c r="K16" s="164">
        <f t="shared" si="3"/>
        <v>-423</v>
      </c>
      <c r="L16" s="165">
        <f t="shared" si="4"/>
        <v>0.17221135029354206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7"/>
      <c r="C17" s="458"/>
      <c r="D17" s="143">
        <v>71</v>
      </c>
      <c r="E17" s="140">
        <v>478</v>
      </c>
      <c r="F17" s="160">
        <f t="shared" si="0"/>
        <v>407</v>
      </c>
      <c r="G17" s="161">
        <f t="shared" si="1"/>
        <v>6.732394366197183</v>
      </c>
      <c r="H17" s="141">
        <v>88</v>
      </c>
      <c r="I17" s="142"/>
      <c r="J17" s="174">
        <f t="shared" si="2"/>
        <v>88</v>
      </c>
      <c r="K17" s="164">
        <f t="shared" si="3"/>
        <v>-390</v>
      </c>
      <c r="L17" s="165">
        <f t="shared" si="4"/>
        <v>0.18410041841004185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7"/>
      <c r="C18" s="458"/>
      <c r="D18" s="143">
        <v>0</v>
      </c>
      <c r="E18" s="140">
        <v>0</v>
      </c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7"/>
      <c r="C19" s="458"/>
      <c r="D19" s="143">
        <v>0</v>
      </c>
      <c r="E19" s="140">
        <v>0</v>
      </c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7"/>
      <c r="C20" s="458"/>
      <c r="D20" s="143">
        <v>0</v>
      </c>
      <c r="E20" s="140">
        <v>0</v>
      </c>
      <c r="F20" s="160">
        <f t="shared" si="0"/>
        <v>0</v>
      </c>
      <c r="G20" s="161"/>
      <c r="H20" s="141"/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7"/>
      <c r="C21" s="458"/>
      <c r="D21" s="143">
        <v>0</v>
      </c>
      <c r="E21" s="140">
        <v>0</v>
      </c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7"/>
      <c r="C22" s="458"/>
      <c r="D22" s="143">
        <v>9268</v>
      </c>
      <c r="E22" s="177">
        <f>E23+E24+E26</f>
        <v>9276</v>
      </c>
      <c r="F22" s="160">
        <f t="shared" si="0"/>
        <v>8</v>
      </c>
      <c r="G22" s="161">
        <f t="shared" si="1"/>
        <v>1.0008631851532153</v>
      </c>
      <c r="H22" s="172">
        <f>H23+H24</f>
        <v>9028</v>
      </c>
      <c r="I22" s="173"/>
      <c r="J22" s="174">
        <f t="shared" si="2"/>
        <v>9028</v>
      </c>
      <c r="K22" s="164">
        <f t="shared" si="3"/>
        <v>-248</v>
      </c>
      <c r="L22" s="165">
        <f t="shared" si="4"/>
        <v>0.9732643380767573</v>
      </c>
    </row>
    <row r="23" spans="1:12" ht="14.25">
      <c r="A23" s="456" t="s">
        <v>81</v>
      </c>
      <c r="B23" s="457"/>
      <c r="C23" s="458"/>
      <c r="D23" s="143">
        <v>2173</v>
      </c>
      <c r="E23" s="140">
        <v>1433</v>
      </c>
      <c r="F23" s="160">
        <f t="shared" si="0"/>
        <v>-740</v>
      </c>
      <c r="G23" s="161">
        <f t="shared" si="1"/>
        <v>0.6594569719282098</v>
      </c>
      <c r="H23" s="141">
        <v>1401</v>
      </c>
      <c r="I23" s="142"/>
      <c r="J23" s="174">
        <f t="shared" si="2"/>
        <v>1401</v>
      </c>
      <c r="K23" s="164">
        <f t="shared" si="3"/>
        <v>-32</v>
      </c>
      <c r="L23" s="165">
        <f t="shared" si="4"/>
        <v>0.9776692254012561</v>
      </c>
    </row>
    <row r="24" spans="1:12" ht="14.25">
      <c r="A24" s="456" t="s">
        <v>82</v>
      </c>
      <c r="B24" s="457"/>
      <c r="C24" s="458"/>
      <c r="D24" s="143">
        <v>7095</v>
      </c>
      <c r="E24" s="140">
        <v>7830</v>
      </c>
      <c r="F24" s="160">
        <f t="shared" si="0"/>
        <v>735</v>
      </c>
      <c r="G24" s="161">
        <f t="shared" si="1"/>
        <v>1.1035940803382664</v>
      </c>
      <c r="H24" s="141">
        <v>7627</v>
      </c>
      <c r="I24" s="142"/>
      <c r="J24" s="174">
        <f t="shared" si="2"/>
        <v>7627</v>
      </c>
      <c r="K24" s="164">
        <f t="shared" si="3"/>
        <v>-203</v>
      </c>
      <c r="L24" s="165">
        <f t="shared" si="4"/>
        <v>0.9740740740740741</v>
      </c>
    </row>
    <row r="25" spans="1:12" ht="14.25">
      <c r="A25" s="456" t="s">
        <v>83</v>
      </c>
      <c r="B25" s="457"/>
      <c r="C25" s="458"/>
      <c r="D25" s="143">
        <v>0</v>
      </c>
      <c r="E25" s="140">
        <v>0</v>
      </c>
      <c r="F25" s="160">
        <f t="shared" si="0"/>
        <v>0</v>
      </c>
      <c r="G25" s="161"/>
      <c r="H25" s="141">
        <v>0</v>
      </c>
      <c r="I25" s="142"/>
      <c r="J25" s="174">
        <f>H25+I25</f>
        <v>0</v>
      </c>
      <c r="K25" s="164">
        <f t="shared" si="3"/>
        <v>0</v>
      </c>
      <c r="L25" s="165"/>
    </row>
    <row r="26" spans="1:12" ht="15" thickBot="1">
      <c r="A26" s="459" t="s">
        <v>118</v>
      </c>
      <c r="B26" s="460"/>
      <c r="C26" s="461"/>
      <c r="D26" s="159">
        <v>0</v>
      </c>
      <c r="E26" s="148">
        <v>13</v>
      </c>
      <c r="F26" s="162">
        <f t="shared" si="0"/>
        <v>13</v>
      </c>
      <c r="G26" s="163"/>
      <c r="H26" s="145">
        <v>0</v>
      </c>
      <c r="I26" s="146"/>
      <c r="J26" s="178">
        <f t="shared" si="2"/>
        <v>0</v>
      </c>
      <c r="K26" s="166">
        <f t="shared" si="3"/>
        <v>-13</v>
      </c>
      <c r="L26" s="167">
        <f t="shared" si="4"/>
        <v>0</v>
      </c>
    </row>
    <row r="27" spans="1:13" ht="15.75" thickBot="1">
      <c r="A27" s="462" t="s">
        <v>84</v>
      </c>
      <c r="B27" s="463"/>
      <c r="C27" s="464"/>
      <c r="D27" s="179">
        <v>20769</v>
      </c>
      <c r="E27" s="180">
        <v>21496</v>
      </c>
      <c r="F27" s="181">
        <f t="shared" si="0"/>
        <v>727</v>
      </c>
      <c r="G27" s="182">
        <f t="shared" si="1"/>
        <v>1.0350040926380664</v>
      </c>
      <c r="H27" s="183">
        <f>H7+H16+H22+H14</f>
        <v>21463</v>
      </c>
      <c r="I27" s="184"/>
      <c r="J27" s="185">
        <f>H27+I27</f>
        <v>21463</v>
      </c>
      <c r="K27" s="183">
        <f t="shared" si="3"/>
        <v>-33</v>
      </c>
      <c r="L27" s="186">
        <f t="shared" si="4"/>
        <v>0.9984648306661704</v>
      </c>
      <c r="M27" s="258"/>
    </row>
    <row r="28" spans="1:13" ht="14.25">
      <c r="A28" s="453" t="s">
        <v>85</v>
      </c>
      <c r="B28" s="454"/>
      <c r="C28" s="455"/>
      <c r="D28" s="187">
        <v>783</v>
      </c>
      <c r="E28" s="188">
        <v>761</v>
      </c>
      <c r="F28" s="189">
        <f t="shared" si="0"/>
        <v>-22</v>
      </c>
      <c r="G28" s="190">
        <f t="shared" si="1"/>
        <v>0.9719029374201787</v>
      </c>
      <c r="H28" s="191">
        <v>781</v>
      </c>
      <c r="I28" s="192"/>
      <c r="J28" s="193">
        <f t="shared" si="2"/>
        <v>781</v>
      </c>
      <c r="K28" s="194">
        <f t="shared" si="3"/>
        <v>20</v>
      </c>
      <c r="L28" s="195">
        <f t="shared" si="4"/>
        <v>1.026281208935611</v>
      </c>
      <c r="M28" s="258"/>
    </row>
    <row r="29" spans="1:12" ht="14.25">
      <c r="A29" s="441" t="s">
        <v>86</v>
      </c>
      <c r="B29" s="442"/>
      <c r="C29" s="443"/>
      <c r="D29" s="143">
        <v>0</v>
      </c>
      <c r="E29" s="140">
        <v>0</v>
      </c>
      <c r="F29" s="160">
        <f t="shared" si="0"/>
        <v>0</v>
      </c>
      <c r="G29" s="161"/>
      <c r="H29" s="141">
        <v>0</v>
      </c>
      <c r="I29" s="142"/>
      <c r="J29" s="174">
        <f t="shared" si="2"/>
        <v>0</v>
      </c>
      <c r="K29" s="164">
        <f t="shared" si="3"/>
        <v>0</v>
      </c>
      <c r="L29" s="165"/>
    </row>
    <row r="30" spans="1:12" ht="14.25">
      <c r="A30" s="441" t="s">
        <v>87</v>
      </c>
      <c r="B30" s="442"/>
      <c r="C30" s="443"/>
      <c r="D30" s="143">
        <v>42</v>
      </c>
      <c r="E30" s="140">
        <v>44</v>
      </c>
      <c r="F30" s="160">
        <f t="shared" si="0"/>
        <v>2</v>
      </c>
      <c r="G30" s="161">
        <f t="shared" si="1"/>
        <v>1.0476190476190477</v>
      </c>
      <c r="H30" s="141">
        <v>45</v>
      </c>
      <c r="I30" s="142"/>
      <c r="J30" s="174">
        <f t="shared" si="2"/>
        <v>45</v>
      </c>
      <c r="K30" s="164">
        <f t="shared" si="3"/>
        <v>1</v>
      </c>
      <c r="L30" s="165">
        <f t="shared" si="4"/>
        <v>1.0227272727272727</v>
      </c>
    </row>
    <row r="31" spans="1:12" ht="14.25">
      <c r="A31" s="441" t="s">
        <v>88</v>
      </c>
      <c r="B31" s="442"/>
      <c r="C31" s="443"/>
      <c r="D31" s="143">
        <v>36</v>
      </c>
      <c r="E31" s="140">
        <v>22</v>
      </c>
      <c r="F31" s="160">
        <f>E31-D31</f>
        <v>-14</v>
      </c>
      <c r="G31" s="161">
        <f t="shared" si="1"/>
        <v>0.6111111111111112</v>
      </c>
      <c r="H31" s="141">
        <v>36</v>
      </c>
      <c r="I31" s="142"/>
      <c r="J31" s="174">
        <f t="shared" si="2"/>
        <v>36</v>
      </c>
      <c r="K31" s="164">
        <f t="shared" si="3"/>
        <v>14</v>
      </c>
      <c r="L31" s="165">
        <f t="shared" si="4"/>
        <v>1.6363636363636365</v>
      </c>
    </row>
    <row r="32" spans="1:12" ht="14.25">
      <c r="A32" s="441" t="s">
        <v>89</v>
      </c>
      <c r="B32" s="442"/>
      <c r="C32" s="443"/>
      <c r="D32" s="143">
        <v>139</v>
      </c>
      <c r="E32" s="140">
        <v>134</v>
      </c>
      <c r="F32" s="160">
        <f t="shared" si="0"/>
        <v>-5</v>
      </c>
      <c r="G32" s="161">
        <f t="shared" si="1"/>
        <v>0.9640287769784173</v>
      </c>
      <c r="H32" s="141">
        <v>145</v>
      </c>
      <c r="I32" s="142"/>
      <c r="J32" s="174">
        <f t="shared" si="2"/>
        <v>145</v>
      </c>
      <c r="K32" s="164">
        <f t="shared" si="3"/>
        <v>11</v>
      </c>
      <c r="L32" s="165">
        <f t="shared" si="4"/>
        <v>1.0820895522388059</v>
      </c>
    </row>
    <row r="33" spans="1:12" ht="14.25">
      <c r="A33" s="441" t="s">
        <v>90</v>
      </c>
      <c r="B33" s="442"/>
      <c r="C33" s="443"/>
      <c r="D33" s="143">
        <v>566</v>
      </c>
      <c r="E33" s="140">
        <v>561</v>
      </c>
      <c r="F33" s="160">
        <f t="shared" si="0"/>
        <v>-5</v>
      </c>
      <c r="G33" s="161">
        <f t="shared" si="1"/>
        <v>0.991166077738516</v>
      </c>
      <c r="H33" s="141">
        <v>555</v>
      </c>
      <c r="I33" s="142"/>
      <c r="J33" s="174">
        <f t="shared" si="2"/>
        <v>555</v>
      </c>
      <c r="K33" s="164">
        <f t="shared" si="3"/>
        <v>-6</v>
      </c>
      <c r="L33" s="165">
        <f t="shared" si="4"/>
        <v>0.9893048128342246</v>
      </c>
    </row>
    <row r="34" spans="1:12" ht="14.25">
      <c r="A34" s="441" t="s">
        <v>91</v>
      </c>
      <c r="B34" s="442"/>
      <c r="C34" s="443"/>
      <c r="D34" s="196">
        <v>1699</v>
      </c>
      <c r="E34" s="177">
        <v>1691</v>
      </c>
      <c r="F34" s="197">
        <f t="shared" si="0"/>
        <v>-8</v>
      </c>
      <c r="G34" s="198">
        <f t="shared" si="1"/>
        <v>0.9952913478516775</v>
      </c>
      <c r="H34" s="172">
        <f>H39+H36+H35</f>
        <v>1708</v>
      </c>
      <c r="I34" s="173"/>
      <c r="J34" s="174">
        <f t="shared" si="2"/>
        <v>1708</v>
      </c>
      <c r="K34" s="199">
        <f t="shared" si="3"/>
        <v>17</v>
      </c>
      <c r="L34" s="200">
        <f t="shared" si="4"/>
        <v>1.010053222945003</v>
      </c>
    </row>
    <row r="35" spans="1:12" ht="14.25">
      <c r="A35" s="441" t="s">
        <v>92</v>
      </c>
      <c r="B35" s="442"/>
      <c r="C35" s="443"/>
      <c r="D35" s="143">
        <v>599</v>
      </c>
      <c r="E35" s="140">
        <v>529</v>
      </c>
      <c r="F35" s="160">
        <f t="shared" si="0"/>
        <v>-70</v>
      </c>
      <c r="G35" s="161">
        <f t="shared" si="1"/>
        <v>0.8831385642737897</v>
      </c>
      <c r="H35" s="141">
        <v>529</v>
      </c>
      <c r="I35" s="142"/>
      <c r="J35" s="174">
        <f t="shared" si="2"/>
        <v>529</v>
      </c>
      <c r="K35" s="164">
        <f t="shared" si="3"/>
        <v>0</v>
      </c>
      <c r="L35" s="165">
        <f t="shared" si="4"/>
        <v>1</v>
      </c>
    </row>
    <row r="36" spans="1:12" ht="14.25">
      <c r="A36" s="441" t="s">
        <v>93</v>
      </c>
      <c r="B36" s="442"/>
      <c r="C36" s="443"/>
      <c r="D36" s="143">
        <v>921</v>
      </c>
      <c r="E36" s="140">
        <v>984</v>
      </c>
      <c r="F36" s="160">
        <f t="shared" si="0"/>
        <v>63</v>
      </c>
      <c r="G36" s="161">
        <f t="shared" si="1"/>
        <v>1.0684039087947883</v>
      </c>
      <c r="H36" s="141">
        <v>984</v>
      </c>
      <c r="I36" s="142"/>
      <c r="J36" s="174">
        <f t="shared" si="2"/>
        <v>984</v>
      </c>
      <c r="K36" s="164">
        <f t="shared" si="3"/>
        <v>0</v>
      </c>
      <c r="L36" s="165">
        <f t="shared" si="4"/>
        <v>1</v>
      </c>
    </row>
    <row r="37" spans="1:12" ht="14.25">
      <c r="A37" s="441" t="s">
        <v>94</v>
      </c>
      <c r="B37" s="442"/>
      <c r="C37" s="443"/>
      <c r="D37" s="143">
        <v>0</v>
      </c>
      <c r="E37" s="140">
        <v>0</v>
      </c>
      <c r="F37" s="160">
        <f t="shared" si="0"/>
        <v>0</v>
      </c>
      <c r="G37" s="161"/>
      <c r="H37" s="141">
        <v>0</v>
      </c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2"/>
      <c r="C38" s="443"/>
      <c r="D38" s="143">
        <v>0</v>
      </c>
      <c r="E38" s="140">
        <v>0</v>
      </c>
      <c r="F38" s="160">
        <f t="shared" si="0"/>
        <v>0</v>
      </c>
      <c r="G38" s="161"/>
      <c r="H38" s="141">
        <v>0</v>
      </c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2"/>
      <c r="C39" s="443"/>
      <c r="D39" s="143">
        <v>179</v>
      </c>
      <c r="E39" s="140">
        <v>178</v>
      </c>
      <c r="F39" s="160">
        <f t="shared" si="0"/>
        <v>-1</v>
      </c>
      <c r="G39" s="161">
        <f t="shared" si="1"/>
        <v>0.994413407821229</v>
      </c>
      <c r="H39" s="141">
        <v>195</v>
      </c>
      <c r="I39" s="142"/>
      <c r="J39" s="174">
        <f t="shared" si="2"/>
        <v>195</v>
      </c>
      <c r="K39" s="164">
        <f t="shared" si="3"/>
        <v>17</v>
      </c>
      <c r="L39" s="165">
        <f t="shared" si="4"/>
        <v>1.095505617977528</v>
      </c>
    </row>
    <row r="40" spans="1:12" ht="14.25">
      <c r="A40" s="441" t="s">
        <v>97</v>
      </c>
      <c r="B40" s="442"/>
      <c r="C40" s="443"/>
      <c r="D40" s="143">
        <v>0</v>
      </c>
      <c r="E40" s="140">
        <v>0</v>
      </c>
      <c r="F40" s="160">
        <f t="shared" si="0"/>
        <v>0</v>
      </c>
      <c r="G40" s="161"/>
      <c r="H40" s="141">
        <v>0</v>
      </c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2"/>
      <c r="C41" s="443"/>
      <c r="D41" s="143">
        <v>663</v>
      </c>
      <c r="E41" s="140">
        <v>562</v>
      </c>
      <c r="F41" s="160">
        <f t="shared" si="0"/>
        <v>-101</v>
      </c>
      <c r="G41" s="161">
        <f t="shared" si="1"/>
        <v>0.8476621417797888</v>
      </c>
      <c r="H41" s="141">
        <v>530</v>
      </c>
      <c r="I41" s="142"/>
      <c r="J41" s="174">
        <f t="shared" si="2"/>
        <v>530</v>
      </c>
      <c r="K41" s="164">
        <f t="shared" si="3"/>
        <v>-32</v>
      </c>
      <c r="L41" s="165">
        <f t="shared" si="4"/>
        <v>0.9430604982206405</v>
      </c>
    </row>
    <row r="42" spans="1:12" ht="14.25">
      <c r="A42" s="441" t="s">
        <v>99</v>
      </c>
      <c r="B42" s="442"/>
      <c r="C42" s="443"/>
      <c r="D42" s="143">
        <v>97</v>
      </c>
      <c r="E42" s="140">
        <v>43</v>
      </c>
      <c r="F42" s="160">
        <f t="shared" si="0"/>
        <v>-54</v>
      </c>
      <c r="G42" s="161">
        <f t="shared" si="1"/>
        <v>0.44329896907216493</v>
      </c>
      <c r="H42" s="141">
        <v>45</v>
      </c>
      <c r="I42" s="142"/>
      <c r="J42" s="174">
        <f t="shared" si="2"/>
        <v>45</v>
      </c>
      <c r="K42" s="164">
        <f t="shared" si="3"/>
        <v>2</v>
      </c>
      <c r="L42" s="165">
        <f t="shared" si="4"/>
        <v>1.0465116279069768</v>
      </c>
    </row>
    <row r="43" spans="1:12" ht="14.25">
      <c r="A43" s="441" t="s">
        <v>100</v>
      </c>
      <c r="B43" s="442"/>
      <c r="C43" s="443"/>
      <c r="D43" s="143">
        <v>1</v>
      </c>
      <c r="E43" s="140">
        <v>5</v>
      </c>
      <c r="F43" s="160">
        <f t="shared" si="0"/>
        <v>4</v>
      </c>
      <c r="G43" s="161">
        <f t="shared" si="1"/>
        <v>5</v>
      </c>
      <c r="H43" s="141">
        <v>6</v>
      </c>
      <c r="I43" s="142"/>
      <c r="J43" s="174">
        <f t="shared" si="2"/>
        <v>6</v>
      </c>
      <c r="K43" s="164">
        <f t="shared" si="3"/>
        <v>1</v>
      </c>
      <c r="L43" s="165">
        <f t="shared" si="4"/>
        <v>1.2</v>
      </c>
    </row>
    <row r="44" spans="1:12" ht="14.25">
      <c r="A44" s="441" t="s">
        <v>101</v>
      </c>
      <c r="B44" s="442"/>
      <c r="C44" s="443"/>
      <c r="D44" s="143">
        <v>4418</v>
      </c>
      <c r="E44" s="140">
        <v>4546</v>
      </c>
      <c r="F44" s="160">
        <f t="shared" si="0"/>
        <v>128</v>
      </c>
      <c r="G44" s="161">
        <f t="shared" si="1"/>
        <v>1.0289723856948845</v>
      </c>
      <c r="H44" s="141">
        <f>H45+H46+H47</f>
        <v>4580</v>
      </c>
      <c r="I44" s="142"/>
      <c r="J44" s="174">
        <f t="shared" si="2"/>
        <v>4580</v>
      </c>
      <c r="K44" s="164">
        <f t="shared" si="3"/>
        <v>34</v>
      </c>
      <c r="L44" s="165">
        <f t="shared" si="4"/>
        <v>1.007479102507699</v>
      </c>
    </row>
    <row r="45" spans="1:15" ht="14.25">
      <c r="A45" s="441" t="s">
        <v>102</v>
      </c>
      <c r="B45" s="442"/>
      <c r="C45" s="443"/>
      <c r="D45" s="143">
        <v>42</v>
      </c>
      <c r="E45" s="140">
        <v>42</v>
      </c>
      <c r="F45" s="160">
        <f t="shared" si="0"/>
        <v>0</v>
      </c>
      <c r="G45" s="161">
        <f t="shared" si="1"/>
        <v>1</v>
      </c>
      <c r="H45" s="141">
        <v>45</v>
      </c>
      <c r="I45" s="142"/>
      <c r="J45" s="174">
        <f t="shared" si="2"/>
        <v>45</v>
      </c>
      <c r="K45" s="164">
        <f t="shared" si="3"/>
        <v>3</v>
      </c>
      <c r="L45" s="165">
        <f t="shared" si="4"/>
        <v>1.0714285714285714</v>
      </c>
      <c r="O45" s="147"/>
    </row>
    <row r="46" spans="1:12" ht="14.25">
      <c r="A46" s="441" t="s">
        <v>103</v>
      </c>
      <c r="B46" s="442"/>
      <c r="C46" s="443"/>
      <c r="D46" s="143">
        <v>4</v>
      </c>
      <c r="E46" s="140">
        <v>6</v>
      </c>
      <c r="F46" s="160">
        <f t="shared" si="0"/>
        <v>2</v>
      </c>
      <c r="G46" s="161">
        <f t="shared" si="1"/>
        <v>1.5</v>
      </c>
      <c r="H46" s="141">
        <v>6</v>
      </c>
      <c r="I46" s="142"/>
      <c r="J46" s="174">
        <f t="shared" si="2"/>
        <v>6</v>
      </c>
      <c r="K46" s="164">
        <f t="shared" si="3"/>
        <v>0</v>
      </c>
      <c r="L46" s="165">
        <f t="shared" si="4"/>
        <v>1</v>
      </c>
    </row>
    <row r="47" spans="1:12" ht="14.25">
      <c r="A47" s="441" t="s">
        <v>104</v>
      </c>
      <c r="B47" s="442"/>
      <c r="C47" s="443"/>
      <c r="D47" s="143">
        <v>4372</v>
      </c>
      <c r="E47" s="140">
        <v>4498</v>
      </c>
      <c r="F47" s="160">
        <f t="shared" si="0"/>
        <v>126</v>
      </c>
      <c r="G47" s="161">
        <f t="shared" si="1"/>
        <v>1.0288197621225983</v>
      </c>
      <c r="H47" s="141">
        <v>4529</v>
      </c>
      <c r="I47" s="142"/>
      <c r="J47" s="174">
        <f t="shared" si="2"/>
        <v>4529</v>
      </c>
      <c r="K47" s="164">
        <f t="shared" si="3"/>
        <v>31</v>
      </c>
      <c r="L47" s="165">
        <f t="shared" si="4"/>
        <v>1.0068919519786572</v>
      </c>
    </row>
    <row r="48" spans="1:12" ht="14.25">
      <c r="A48" s="441" t="s">
        <v>105</v>
      </c>
      <c r="B48" s="442"/>
      <c r="C48" s="443"/>
      <c r="D48" s="196">
        <v>12065</v>
      </c>
      <c r="E48" s="177">
        <f>E49+E52</f>
        <v>12740</v>
      </c>
      <c r="F48" s="197">
        <f t="shared" si="0"/>
        <v>675</v>
      </c>
      <c r="G48" s="198">
        <f t="shared" si="1"/>
        <v>1.0559469539991713</v>
      </c>
      <c r="H48" s="172">
        <f>H52+H49</f>
        <v>12793</v>
      </c>
      <c r="I48" s="173"/>
      <c r="J48" s="174">
        <f t="shared" si="2"/>
        <v>12793</v>
      </c>
      <c r="K48" s="199">
        <f t="shared" si="3"/>
        <v>53</v>
      </c>
      <c r="L48" s="200">
        <f t="shared" si="4"/>
        <v>1.004160125588697</v>
      </c>
    </row>
    <row r="49" spans="1:12" ht="14.25">
      <c r="A49" s="441" t="s">
        <v>106</v>
      </c>
      <c r="B49" s="442"/>
      <c r="C49" s="443"/>
      <c r="D49" s="143">
        <v>8912</v>
      </c>
      <c r="E49" s="140">
        <v>9289</v>
      </c>
      <c r="F49" s="160">
        <f t="shared" si="0"/>
        <v>377</v>
      </c>
      <c r="G49" s="161">
        <f t="shared" si="1"/>
        <v>1.042302513464991</v>
      </c>
      <c r="H49" s="141">
        <f>H50+H51</f>
        <v>9392</v>
      </c>
      <c r="I49" s="142"/>
      <c r="J49" s="174">
        <f t="shared" si="2"/>
        <v>9392</v>
      </c>
      <c r="K49" s="164">
        <f t="shared" si="3"/>
        <v>103</v>
      </c>
      <c r="L49" s="165">
        <f t="shared" si="4"/>
        <v>1.0110883841102378</v>
      </c>
    </row>
    <row r="50" spans="1:12" ht="14.25">
      <c r="A50" s="441" t="s">
        <v>107</v>
      </c>
      <c r="B50" s="442"/>
      <c r="C50" s="443"/>
      <c r="D50" s="143">
        <v>8812</v>
      </c>
      <c r="E50" s="140">
        <v>9208</v>
      </c>
      <c r="F50" s="160">
        <f t="shared" si="0"/>
        <v>396</v>
      </c>
      <c r="G50" s="161">
        <f t="shared" si="1"/>
        <v>1.0449387199273719</v>
      </c>
      <c r="H50" s="141">
        <v>9288</v>
      </c>
      <c r="I50" s="142"/>
      <c r="J50" s="174">
        <f t="shared" si="2"/>
        <v>9288</v>
      </c>
      <c r="K50" s="164">
        <f t="shared" si="3"/>
        <v>80</v>
      </c>
      <c r="L50" s="165">
        <f t="shared" si="4"/>
        <v>1.0086880973066898</v>
      </c>
    </row>
    <row r="51" spans="1:12" ht="14.25">
      <c r="A51" s="441" t="s">
        <v>108</v>
      </c>
      <c r="B51" s="442"/>
      <c r="C51" s="443"/>
      <c r="D51" s="143">
        <v>100</v>
      </c>
      <c r="E51" s="140">
        <v>81</v>
      </c>
      <c r="F51" s="160">
        <f t="shared" si="0"/>
        <v>-19</v>
      </c>
      <c r="G51" s="161">
        <f t="shared" si="1"/>
        <v>0.81</v>
      </c>
      <c r="H51" s="141">
        <v>104</v>
      </c>
      <c r="I51" s="142"/>
      <c r="J51" s="174">
        <f t="shared" si="2"/>
        <v>104</v>
      </c>
      <c r="K51" s="164">
        <f t="shared" si="3"/>
        <v>23</v>
      </c>
      <c r="L51" s="165">
        <f t="shared" si="4"/>
        <v>1.2839506172839505</v>
      </c>
    </row>
    <row r="52" spans="1:12" ht="14.25">
      <c r="A52" s="441" t="s">
        <v>109</v>
      </c>
      <c r="B52" s="442"/>
      <c r="C52" s="443"/>
      <c r="D52" s="143">
        <v>3153</v>
      </c>
      <c r="E52" s="140">
        <v>3451</v>
      </c>
      <c r="F52" s="160">
        <f t="shared" si="0"/>
        <v>298</v>
      </c>
      <c r="G52" s="161">
        <f t="shared" si="1"/>
        <v>1.0945131620678719</v>
      </c>
      <c r="H52" s="141">
        <v>3401</v>
      </c>
      <c r="I52" s="142"/>
      <c r="J52" s="174">
        <f t="shared" si="2"/>
        <v>3401</v>
      </c>
      <c r="K52" s="164">
        <f t="shared" si="3"/>
        <v>-50</v>
      </c>
      <c r="L52" s="165">
        <f t="shared" si="4"/>
        <v>0.9855114459576935</v>
      </c>
    </row>
    <row r="53" spans="1:12" ht="14.25">
      <c r="A53" s="441" t="s">
        <v>110</v>
      </c>
      <c r="B53" s="442"/>
      <c r="C53" s="443"/>
      <c r="D53" s="143">
        <v>0</v>
      </c>
      <c r="E53" s="140">
        <v>0</v>
      </c>
      <c r="F53" s="160">
        <f t="shared" si="0"/>
        <v>0</v>
      </c>
      <c r="G53" s="161"/>
      <c r="H53" s="141">
        <v>0</v>
      </c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2"/>
      <c r="C54" s="443"/>
      <c r="D54" s="143">
        <v>0</v>
      </c>
      <c r="E54" s="140">
        <v>4</v>
      </c>
      <c r="F54" s="160">
        <f t="shared" si="0"/>
        <v>4</v>
      </c>
      <c r="G54" s="161"/>
      <c r="H54" s="141">
        <v>1</v>
      </c>
      <c r="I54" s="142"/>
      <c r="J54" s="174">
        <f t="shared" si="2"/>
        <v>1</v>
      </c>
      <c r="K54" s="164">
        <f t="shared" si="3"/>
        <v>-3</v>
      </c>
      <c r="L54" s="165">
        <f t="shared" si="4"/>
        <v>0.25</v>
      </c>
    </row>
    <row r="55" spans="1:12" ht="14.25">
      <c r="A55" s="441" t="s">
        <v>112</v>
      </c>
      <c r="B55" s="442"/>
      <c r="C55" s="443"/>
      <c r="D55" s="143">
        <v>155</v>
      </c>
      <c r="E55" s="140">
        <v>231</v>
      </c>
      <c r="F55" s="160">
        <f t="shared" si="0"/>
        <v>76</v>
      </c>
      <c r="G55" s="161">
        <f t="shared" si="1"/>
        <v>1.4903225806451612</v>
      </c>
      <c r="H55" s="141">
        <v>91</v>
      </c>
      <c r="I55" s="142"/>
      <c r="J55" s="174">
        <f t="shared" si="2"/>
        <v>91</v>
      </c>
      <c r="K55" s="164">
        <f t="shared" si="3"/>
        <v>-140</v>
      </c>
      <c r="L55" s="165">
        <f t="shared" si="4"/>
        <v>0.3939393939393939</v>
      </c>
    </row>
    <row r="56" spans="1:12" ht="14.25">
      <c r="A56" s="441" t="s">
        <v>113</v>
      </c>
      <c r="B56" s="442"/>
      <c r="C56" s="443"/>
      <c r="D56" s="143"/>
      <c r="E56" s="140">
        <v>0</v>
      </c>
      <c r="F56" s="160">
        <f t="shared" si="0"/>
        <v>0</v>
      </c>
      <c r="G56" s="161"/>
      <c r="H56" s="141">
        <v>0</v>
      </c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2"/>
      <c r="C57" s="443"/>
      <c r="D57" s="143">
        <v>841</v>
      </c>
      <c r="E57" s="140">
        <v>895</v>
      </c>
      <c r="F57" s="160">
        <f t="shared" si="0"/>
        <v>54</v>
      </c>
      <c r="G57" s="161">
        <f t="shared" si="1"/>
        <v>1.0642092746730083</v>
      </c>
      <c r="H57" s="141">
        <v>952</v>
      </c>
      <c r="I57" s="142"/>
      <c r="J57" s="174">
        <f t="shared" si="2"/>
        <v>952</v>
      </c>
      <c r="K57" s="164">
        <f t="shared" si="3"/>
        <v>57</v>
      </c>
      <c r="L57" s="165">
        <f t="shared" si="4"/>
        <v>1.0636871508379888</v>
      </c>
    </row>
    <row r="58" spans="1:12" ht="14.25">
      <c r="A58" s="441" t="s">
        <v>115</v>
      </c>
      <c r="B58" s="442"/>
      <c r="C58" s="443"/>
      <c r="D58" s="143">
        <v>0</v>
      </c>
      <c r="E58" s="140">
        <v>0</v>
      </c>
      <c r="F58" s="160">
        <f t="shared" si="0"/>
        <v>0</v>
      </c>
      <c r="G58" s="161"/>
      <c r="H58" s="141">
        <v>0</v>
      </c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44" t="s">
        <v>116</v>
      </c>
      <c r="B59" s="445"/>
      <c r="C59" s="446"/>
      <c r="D59" s="159"/>
      <c r="E59" s="148">
        <v>0</v>
      </c>
      <c r="F59" s="162">
        <f t="shared" si="0"/>
        <v>0</v>
      </c>
      <c r="G59" s="163"/>
      <c r="H59" s="145">
        <v>0</v>
      </c>
      <c r="I59" s="146"/>
      <c r="J59" s="178">
        <f t="shared" si="2"/>
        <v>0</v>
      </c>
      <c r="K59" s="166">
        <f t="shared" si="3"/>
        <v>0</v>
      </c>
      <c r="L59" s="167"/>
    </row>
    <row r="60" spans="1:13" ht="15.75" thickBot="1">
      <c r="A60" s="462" t="s">
        <v>117</v>
      </c>
      <c r="B60" s="463"/>
      <c r="C60" s="464"/>
      <c r="D60" s="179">
        <v>20722</v>
      </c>
      <c r="E60" s="180">
        <v>21496</v>
      </c>
      <c r="F60" s="181">
        <f t="shared" si="0"/>
        <v>774</v>
      </c>
      <c r="G60" s="182">
        <f t="shared" si="1"/>
        <v>1.0373516069877424</v>
      </c>
      <c r="H60" s="183">
        <v>21507</v>
      </c>
      <c r="I60" s="184"/>
      <c r="J60" s="185">
        <f t="shared" si="2"/>
        <v>21507</v>
      </c>
      <c r="K60" s="183">
        <f t="shared" si="3"/>
        <v>11</v>
      </c>
      <c r="L60" s="186">
        <f t="shared" si="4"/>
        <v>1.0005117231112766</v>
      </c>
      <c r="M60" s="258"/>
    </row>
    <row r="61" spans="1:14" s="6" customFormat="1" ht="15">
      <c r="A61" s="450" t="s">
        <v>17</v>
      </c>
      <c r="B61" s="451"/>
      <c r="C61" s="452"/>
      <c r="D61" s="96">
        <f>D27-D60</f>
        <v>47</v>
      </c>
      <c r="E61" s="96">
        <v>0</v>
      </c>
      <c r="F61" s="96"/>
      <c r="G61" s="96"/>
      <c r="H61" s="96">
        <f>H27-H60</f>
        <v>-44</v>
      </c>
      <c r="I61" s="96"/>
      <c r="J61" s="96">
        <f t="shared" si="2"/>
        <v>-44</v>
      </c>
      <c r="K61" s="115"/>
      <c r="L61" s="115"/>
      <c r="N61" s="8"/>
    </row>
    <row r="62" spans="1:14" s="6" customFormat="1" ht="15">
      <c r="A62" s="447" t="s">
        <v>18</v>
      </c>
      <c r="B62" s="448"/>
      <c r="C62" s="449"/>
      <c r="D62" s="97">
        <v>0</v>
      </c>
      <c r="E62" s="97">
        <v>0</v>
      </c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90"/>
      <c r="F66" s="490"/>
      <c r="G66" s="490"/>
      <c r="H66" s="490"/>
      <c r="I66" s="466"/>
      <c r="J66" s="11"/>
      <c r="K66" s="11"/>
      <c r="L66" s="11"/>
      <c r="M66" s="11"/>
      <c r="N66" s="11"/>
    </row>
    <row r="67" spans="1:14" s="6" customFormat="1" ht="15.75" thickBot="1">
      <c r="A67" s="382" t="s">
        <v>187</v>
      </c>
      <c r="B67" s="382"/>
      <c r="C67" s="13">
        <v>80</v>
      </c>
      <c r="D67" s="14"/>
      <c r="E67" s="491" t="s">
        <v>190</v>
      </c>
      <c r="F67" s="492"/>
      <c r="G67" s="492"/>
      <c r="H67" s="492"/>
      <c r="I67" s="255">
        <v>150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188</v>
      </c>
      <c r="B68" s="382"/>
      <c r="C68" s="13">
        <v>100</v>
      </c>
      <c r="D68" s="14"/>
      <c r="E68" s="436" t="s">
        <v>191</v>
      </c>
      <c r="F68" s="437"/>
      <c r="G68" s="437"/>
      <c r="H68" s="437"/>
      <c r="I68" s="13">
        <v>48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189</v>
      </c>
      <c r="B69" s="382"/>
      <c r="C69" s="13">
        <v>30</v>
      </c>
      <c r="D69" s="14"/>
      <c r="E69" s="436" t="s">
        <v>192</v>
      </c>
      <c r="F69" s="437"/>
      <c r="G69" s="437"/>
      <c r="H69" s="437"/>
      <c r="I69" s="13">
        <v>50</v>
      </c>
      <c r="J69" s="11"/>
      <c r="K69" s="21" t="s">
        <v>45</v>
      </c>
      <c r="L69" s="22"/>
      <c r="M69" s="23"/>
      <c r="N69" s="24"/>
    </row>
    <row r="70" spans="1:14" s="6" customFormat="1" ht="30" customHeight="1">
      <c r="A70" s="486" t="s">
        <v>306</v>
      </c>
      <c r="B70" s="487"/>
      <c r="C70" s="13">
        <v>42</v>
      </c>
      <c r="D70" s="14"/>
      <c r="E70" s="436" t="s">
        <v>193</v>
      </c>
      <c r="F70" s="437"/>
      <c r="G70" s="437"/>
      <c r="H70" s="437"/>
      <c r="I70" s="13">
        <v>50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 t="s">
        <v>177</v>
      </c>
      <c r="B71" s="384"/>
      <c r="C71" s="15">
        <v>538</v>
      </c>
      <c r="D71" s="14"/>
      <c r="E71" s="436" t="s">
        <v>194</v>
      </c>
      <c r="F71" s="437"/>
      <c r="G71" s="437"/>
      <c r="H71" s="437"/>
      <c r="I71" s="13">
        <v>52</v>
      </c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436" t="s">
        <v>195</v>
      </c>
      <c r="F72" s="437"/>
      <c r="G72" s="437"/>
      <c r="H72" s="437"/>
      <c r="I72" s="13">
        <v>20</v>
      </c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36" t="s">
        <v>196</v>
      </c>
      <c r="F73" s="437"/>
      <c r="G73" s="437"/>
      <c r="H73" s="437"/>
      <c r="I73" s="13">
        <v>30</v>
      </c>
      <c r="J73" s="11"/>
      <c r="K73" s="11"/>
      <c r="L73" s="11"/>
      <c r="M73" s="11"/>
      <c r="N73" s="11"/>
    </row>
    <row r="74" spans="1:14" s="6" customFormat="1" ht="33" customHeight="1">
      <c r="A74" s="383"/>
      <c r="B74" s="384"/>
      <c r="C74" s="33"/>
      <c r="D74" s="14"/>
      <c r="E74" s="488" t="s">
        <v>307</v>
      </c>
      <c r="F74" s="489"/>
      <c r="G74" s="489"/>
      <c r="H74" s="489"/>
      <c r="I74" s="13">
        <v>80</v>
      </c>
      <c r="J74" s="11"/>
      <c r="K74" s="11"/>
      <c r="L74" s="11"/>
      <c r="M74" s="11"/>
      <c r="N74" s="11"/>
    </row>
    <row r="75" spans="1:14" s="6" customFormat="1" ht="17.25" customHeight="1" thickBot="1">
      <c r="A75" s="383"/>
      <c r="B75" s="384"/>
      <c r="C75" s="253"/>
      <c r="D75" s="14"/>
      <c r="E75" s="439" t="s">
        <v>197</v>
      </c>
      <c r="F75" s="440"/>
      <c r="G75" s="440"/>
      <c r="H75" s="440"/>
      <c r="I75" s="256">
        <v>50</v>
      </c>
      <c r="J75" s="11"/>
      <c r="K75" s="11"/>
      <c r="L75" s="11"/>
      <c r="M75" s="11"/>
      <c r="N75" s="11"/>
    </row>
    <row r="76" spans="1:14" s="6" customFormat="1" ht="15.75" thickBot="1">
      <c r="A76" s="405" t="s">
        <v>12</v>
      </c>
      <c r="B76" s="406"/>
      <c r="C76" s="35">
        <f>SUM(C67:C73)</f>
        <v>790</v>
      </c>
      <c r="D76" s="36"/>
      <c r="E76" s="438" t="s">
        <v>12</v>
      </c>
      <c r="F76" s="438"/>
      <c r="G76" s="438"/>
      <c r="H76" s="438"/>
      <c r="I76" s="254">
        <f>SUM(I67:I75)</f>
        <v>530</v>
      </c>
      <c r="J76" s="11"/>
      <c r="K76" s="11"/>
      <c r="L76" s="11"/>
      <c r="M76" s="11"/>
      <c r="N76" s="38"/>
    </row>
    <row r="77" spans="1:5" s="10" customFormat="1" ht="13.5" customHeight="1">
      <c r="A77" s="36"/>
      <c r="B77" s="39"/>
      <c r="C77" s="39"/>
      <c r="D77" s="39"/>
      <c r="E77" s="39"/>
    </row>
    <row r="78" spans="1:12" s="10" customFormat="1" ht="15.75" thickBot="1">
      <c r="A78" s="5" t="s">
        <v>152</v>
      </c>
      <c r="B78" s="40"/>
      <c r="C78" s="40"/>
      <c r="D78" s="40"/>
      <c r="E78" s="41"/>
      <c r="F78" s="42"/>
      <c r="G78" s="42"/>
      <c r="H78" s="14"/>
      <c r="I78" s="40"/>
      <c r="J78" s="40" t="s">
        <v>46</v>
      </c>
      <c r="K78" s="40"/>
      <c r="L78" s="41"/>
    </row>
    <row r="79" spans="1:11" s="10" customFormat="1" ht="15.75" thickBot="1">
      <c r="A79" s="427" t="s">
        <v>31</v>
      </c>
      <c r="B79" s="428" t="s">
        <v>153</v>
      </c>
      <c r="C79" s="412" t="s">
        <v>154</v>
      </c>
      <c r="D79" s="412"/>
      <c r="E79" s="412"/>
      <c r="F79" s="412"/>
      <c r="G79" s="412"/>
      <c r="H79" s="412"/>
      <c r="I79" s="412"/>
      <c r="J79" s="413" t="s">
        <v>155</v>
      </c>
      <c r="K79" s="6"/>
    </row>
    <row r="80" spans="1:11" s="10" customFormat="1" ht="12.75" customHeight="1" thickBot="1">
      <c r="A80" s="427"/>
      <c r="B80" s="428"/>
      <c r="C80" s="414" t="s">
        <v>32</v>
      </c>
      <c r="D80" s="415" t="s">
        <v>33</v>
      </c>
      <c r="E80" s="415"/>
      <c r="F80" s="415"/>
      <c r="G80" s="415"/>
      <c r="H80" s="415"/>
      <c r="I80" s="415"/>
      <c r="J80" s="413"/>
      <c r="K80" s="6"/>
    </row>
    <row r="81" spans="1:11" s="10" customFormat="1" ht="15.75" thickBot="1">
      <c r="A81" s="427"/>
      <c r="B81" s="428"/>
      <c r="C81" s="414"/>
      <c r="D81" s="43">
        <v>1</v>
      </c>
      <c r="E81" s="43">
        <v>2</v>
      </c>
      <c r="F81" s="43">
        <v>3</v>
      </c>
      <c r="G81" s="43">
        <v>4</v>
      </c>
      <c r="H81" s="43">
        <v>5</v>
      </c>
      <c r="I81" s="44">
        <v>6</v>
      </c>
      <c r="J81" s="413"/>
      <c r="K81" s="6"/>
    </row>
    <row r="82" spans="1:11" s="10" customFormat="1" ht="15.75" thickBot="1">
      <c r="A82" s="45">
        <v>61908</v>
      </c>
      <c r="B82" s="46">
        <v>13488</v>
      </c>
      <c r="C82" s="47">
        <v>952</v>
      </c>
      <c r="D82" s="48">
        <v>113</v>
      </c>
      <c r="E82" s="48">
        <v>267</v>
      </c>
      <c r="F82" s="48">
        <v>7</v>
      </c>
      <c r="G82" s="48">
        <v>23</v>
      </c>
      <c r="H82" s="49">
        <v>542</v>
      </c>
      <c r="I82" s="50"/>
      <c r="J82" s="51">
        <v>47468</v>
      </c>
      <c r="K82" s="6"/>
    </row>
    <row r="83" spans="1:5" s="10" customFormat="1" ht="13.5" customHeight="1">
      <c r="A83" s="36"/>
      <c r="B83" s="39"/>
      <c r="C83" s="39"/>
      <c r="D83" s="39"/>
      <c r="E83" s="39"/>
    </row>
    <row r="84" spans="1:12" s="10" customFormat="1" ht="15.75" thickBot="1">
      <c r="A84" s="5" t="s">
        <v>63</v>
      </c>
      <c r="B84" s="40"/>
      <c r="C84" s="40"/>
      <c r="D84" s="40"/>
      <c r="E84" s="41"/>
      <c r="F84" s="52"/>
      <c r="G84" s="42"/>
      <c r="H84" s="14"/>
      <c r="I84" s="40"/>
      <c r="J84" s="40"/>
      <c r="K84" s="40"/>
      <c r="L84" s="40" t="s">
        <v>46</v>
      </c>
    </row>
    <row r="85" spans="1:12" s="10" customFormat="1" ht="15.75" thickBot="1">
      <c r="A85" s="416" t="s">
        <v>43</v>
      </c>
      <c r="B85" s="430" t="s">
        <v>156</v>
      </c>
      <c r="C85" s="431" t="s">
        <v>305</v>
      </c>
      <c r="D85" s="431"/>
      <c r="E85" s="431"/>
      <c r="F85" s="431"/>
      <c r="G85" s="432" t="s">
        <v>157</v>
      </c>
      <c r="H85" s="433" t="s">
        <v>34</v>
      </c>
      <c r="I85" s="429" t="s">
        <v>159</v>
      </c>
      <c r="J85" s="429"/>
      <c r="K85" s="429"/>
      <c r="L85" s="429"/>
    </row>
    <row r="86" spans="1:12" s="10" customFormat="1" ht="30.75" thickBot="1">
      <c r="A86" s="416"/>
      <c r="B86" s="430"/>
      <c r="C86" s="53" t="s">
        <v>120</v>
      </c>
      <c r="D86" s="54" t="s">
        <v>35</v>
      </c>
      <c r="E86" s="54" t="s">
        <v>36</v>
      </c>
      <c r="F86" s="55" t="s">
        <v>121</v>
      </c>
      <c r="G86" s="432"/>
      <c r="H86" s="433"/>
      <c r="I86" s="56" t="s">
        <v>158</v>
      </c>
      <c r="J86" s="57" t="s">
        <v>35</v>
      </c>
      <c r="K86" s="57" t="s">
        <v>36</v>
      </c>
      <c r="L86" s="58" t="s">
        <v>160</v>
      </c>
    </row>
    <row r="87" spans="1:12" s="10" customFormat="1" ht="15">
      <c r="A87" s="59" t="s">
        <v>37</v>
      </c>
      <c r="B87" s="60">
        <v>2213.47</v>
      </c>
      <c r="C87" s="61" t="s">
        <v>38</v>
      </c>
      <c r="D87" s="62" t="s">
        <v>38</v>
      </c>
      <c r="E87" s="62" t="s">
        <v>38</v>
      </c>
      <c r="F87" s="63"/>
      <c r="G87" s="64">
        <v>1895.11</v>
      </c>
      <c r="H87" s="65" t="s">
        <v>38</v>
      </c>
      <c r="I87" s="66" t="s">
        <v>38</v>
      </c>
      <c r="J87" s="67" t="s">
        <v>38</v>
      </c>
      <c r="K87" s="67" t="s">
        <v>38</v>
      </c>
      <c r="L87" s="68" t="s">
        <v>38</v>
      </c>
    </row>
    <row r="88" spans="1:13" s="10" customFormat="1" ht="15">
      <c r="A88" s="69" t="s">
        <v>39</v>
      </c>
      <c r="B88" s="70">
        <v>232.78</v>
      </c>
      <c r="C88" s="71">
        <v>233</v>
      </c>
      <c r="D88" s="72">
        <v>0</v>
      </c>
      <c r="E88" s="72">
        <v>0</v>
      </c>
      <c r="F88" s="73">
        <v>233</v>
      </c>
      <c r="G88" s="74">
        <v>232.78</v>
      </c>
      <c r="H88" s="75">
        <f>+G88-F88</f>
        <v>-0.21999999999999886</v>
      </c>
      <c r="I88" s="71">
        <v>233</v>
      </c>
      <c r="J88" s="72">
        <v>0</v>
      </c>
      <c r="K88" s="72">
        <v>0</v>
      </c>
      <c r="L88" s="73">
        <v>233</v>
      </c>
      <c r="M88" s="76"/>
    </row>
    <row r="89" spans="1:13" s="10" customFormat="1" ht="15">
      <c r="A89" s="69" t="s">
        <v>40</v>
      </c>
      <c r="B89" s="70">
        <f>405.51</f>
        <v>405.51</v>
      </c>
      <c r="C89" s="71">
        <v>405</v>
      </c>
      <c r="D89" s="72">
        <v>47</v>
      </c>
      <c r="E89" s="72">
        <v>436</v>
      </c>
      <c r="F89" s="73">
        <f>C89+D89-E89</f>
        <v>16</v>
      </c>
      <c r="G89" s="74">
        <v>16.63</v>
      </c>
      <c r="H89" s="75">
        <f>+G89-F89</f>
        <v>0.629999999999999</v>
      </c>
      <c r="I89" s="71">
        <v>16</v>
      </c>
      <c r="J89" s="72">
        <v>0</v>
      </c>
      <c r="K89" s="72">
        <v>0</v>
      </c>
      <c r="L89" s="73">
        <v>16</v>
      </c>
      <c r="M89" s="76"/>
    </row>
    <row r="90" spans="1:13" s="10" customFormat="1" ht="15">
      <c r="A90" s="69" t="s">
        <v>44</v>
      </c>
      <c r="B90" s="70">
        <v>260.94</v>
      </c>
      <c r="C90" s="71">
        <v>261</v>
      </c>
      <c r="D90" s="72">
        <v>895</v>
      </c>
      <c r="E90" s="72">
        <v>879</v>
      </c>
      <c r="F90" s="73">
        <f>C90+D90-E90</f>
        <v>277</v>
      </c>
      <c r="G90" s="74">
        <v>276.7</v>
      </c>
      <c r="H90" s="75">
        <f>+G90-F90</f>
        <v>-0.30000000000001137</v>
      </c>
      <c r="I90" s="77">
        <v>277</v>
      </c>
      <c r="J90" s="78">
        <v>952</v>
      </c>
      <c r="K90" s="78">
        <v>790</v>
      </c>
      <c r="L90" s="73">
        <f>I90+J90-K90</f>
        <v>439</v>
      </c>
      <c r="M90" s="76"/>
    </row>
    <row r="91" spans="1:13" s="10" customFormat="1" ht="15">
      <c r="A91" s="69" t="s">
        <v>41</v>
      </c>
      <c r="B91" s="70">
        <v>1314.24</v>
      </c>
      <c r="C91" s="79" t="s">
        <v>38</v>
      </c>
      <c r="D91" s="62" t="s">
        <v>38</v>
      </c>
      <c r="E91" s="80" t="s">
        <v>38</v>
      </c>
      <c r="F91" s="73"/>
      <c r="G91" s="74">
        <v>1369</v>
      </c>
      <c r="H91" s="81" t="s">
        <v>38</v>
      </c>
      <c r="I91" s="79" t="s">
        <v>38</v>
      </c>
      <c r="J91" s="62" t="s">
        <v>38</v>
      </c>
      <c r="K91" s="80" t="s">
        <v>38</v>
      </c>
      <c r="L91" s="107" t="s">
        <v>38</v>
      </c>
      <c r="M91" s="76"/>
    </row>
    <row r="92" spans="1:13" s="10" customFormat="1" ht="15.75" thickBot="1">
      <c r="A92" s="82" t="s">
        <v>42</v>
      </c>
      <c r="B92" s="83">
        <v>138.21</v>
      </c>
      <c r="C92" s="84">
        <v>149</v>
      </c>
      <c r="D92" s="85">
        <v>184</v>
      </c>
      <c r="E92" s="85">
        <v>172</v>
      </c>
      <c r="F92" s="106">
        <v>161</v>
      </c>
      <c r="G92" s="109">
        <v>153.23</v>
      </c>
      <c r="H92" s="110">
        <f>+G92-F92</f>
        <v>-7.77000000000001</v>
      </c>
      <c r="I92" s="111">
        <v>161</v>
      </c>
      <c r="J92" s="112">
        <v>93</v>
      </c>
      <c r="K92" s="112">
        <v>130</v>
      </c>
      <c r="L92" s="106">
        <v>124</v>
      </c>
      <c r="M92" s="76"/>
    </row>
    <row r="95" spans="1:11" s="6" customFormat="1" ht="15.75" thickBot="1">
      <c r="A95" s="5" t="s">
        <v>146</v>
      </c>
      <c r="D95" s="114"/>
      <c r="E95" s="150"/>
      <c r="K95" s="40" t="s">
        <v>46</v>
      </c>
    </row>
    <row r="96" spans="1:11" s="6" customFormat="1" ht="15">
      <c r="A96" s="410" t="s">
        <v>26</v>
      </c>
      <c r="B96" s="410"/>
      <c r="C96" s="410"/>
      <c r="D96" s="151"/>
      <c r="E96" s="410" t="s">
        <v>27</v>
      </c>
      <c r="F96" s="410"/>
      <c r="G96" s="410"/>
      <c r="I96" s="410" t="s">
        <v>23</v>
      </c>
      <c r="J96" s="410"/>
      <c r="K96" s="410"/>
    </row>
    <row r="97" spans="1:11" s="6" customFormat="1" ht="15.75" thickBot="1">
      <c r="A97" s="86" t="s">
        <v>28</v>
      </c>
      <c r="B97" s="87" t="s">
        <v>29</v>
      </c>
      <c r="C97" s="88" t="s">
        <v>25</v>
      </c>
      <c r="D97" s="151"/>
      <c r="E97" s="152"/>
      <c r="F97" s="417" t="s">
        <v>30</v>
      </c>
      <c r="G97" s="417"/>
      <c r="I97" s="86"/>
      <c r="J97" s="87" t="s">
        <v>24</v>
      </c>
      <c r="K97" s="88" t="s">
        <v>25</v>
      </c>
    </row>
    <row r="98" spans="1:11" s="6" customFormat="1" ht="15">
      <c r="A98" s="89">
        <v>2010</v>
      </c>
      <c r="B98" s="90">
        <v>42</v>
      </c>
      <c r="C98" s="91">
        <v>42</v>
      </c>
      <c r="D98" s="149"/>
      <c r="E98" s="89">
        <v>2010</v>
      </c>
      <c r="F98" s="418">
        <v>80</v>
      </c>
      <c r="G98" s="418"/>
      <c r="I98" s="89">
        <v>2010</v>
      </c>
      <c r="J98" s="90">
        <v>9288</v>
      </c>
      <c r="K98" s="91">
        <v>9208</v>
      </c>
    </row>
    <row r="99" spans="1:11" s="6" customFormat="1" ht="15.75" thickBot="1">
      <c r="A99" s="92">
        <v>2011</v>
      </c>
      <c r="B99" s="93">
        <v>42</v>
      </c>
      <c r="C99" s="108" t="s">
        <v>62</v>
      </c>
      <c r="D99" s="149"/>
      <c r="E99" s="92">
        <v>2011</v>
      </c>
      <c r="F99" s="419">
        <v>80</v>
      </c>
      <c r="G99" s="419"/>
      <c r="I99" s="92">
        <v>2011</v>
      </c>
      <c r="J99" s="93">
        <v>9288</v>
      </c>
      <c r="K99" s="108" t="s">
        <v>62</v>
      </c>
    </row>
  </sheetData>
  <mergeCells count="106">
    <mergeCell ref="E65:H66"/>
    <mergeCell ref="A67:B67"/>
    <mergeCell ref="E67:H67"/>
    <mergeCell ref="A68:B68"/>
    <mergeCell ref="E68:H68"/>
    <mergeCell ref="F99:G99"/>
    <mergeCell ref="E96:G96"/>
    <mergeCell ref="F98:G98"/>
    <mergeCell ref="B85:B86"/>
    <mergeCell ref="A96:C96"/>
    <mergeCell ref="A14:C14"/>
    <mergeCell ref="I96:K96"/>
    <mergeCell ref="F97:G97"/>
    <mergeCell ref="E73:H73"/>
    <mergeCell ref="E74:H74"/>
    <mergeCell ref="J79:J81"/>
    <mergeCell ref="H85:H86"/>
    <mergeCell ref="I85:L85"/>
    <mergeCell ref="C85:F85"/>
    <mergeCell ref="G85:G86"/>
    <mergeCell ref="A70:B70"/>
    <mergeCell ref="A71:B71"/>
    <mergeCell ref="A72:B72"/>
    <mergeCell ref="A73:B73"/>
    <mergeCell ref="A74:B74"/>
    <mergeCell ref="A85:A86"/>
    <mergeCell ref="A75:B75"/>
    <mergeCell ref="A79:A81"/>
    <mergeCell ref="B79:B81"/>
    <mergeCell ref="A15:C15"/>
    <mergeCell ref="A16:C16"/>
    <mergeCell ref="E70:H70"/>
    <mergeCell ref="E69:H69"/>
    <mergeCell ref="A60:C60"/>
    <mergeCell ref="A19:C19"/>
    <mergeCell ref="A20:C20"/>
    <mergeCell ref="A21:C21"/>
    <mergeCell ref="A22:C22"/>
    <mergeCell ref="A23:C23"/>
    <mergeCell ref="K4:L4"/>
    <mergeCell ref="A11:C11"/>
    <mergeCell ref="A12:C12"/>
    <mergeCell ref="A13:C13"/>
    <mergeCell ref="E4:E6"/>
    <mergeCell ref="F4:G4"/>
    <mergeCell ref="H4:J4"/>
    <mergeCell ref="A7:C7"/>
    <mergeCell ref="A2:N2"/>
    <mergeCell ref="A3:G3"/>
    <mergeCell ref="A8:C8"/>
    <mergeCell ref="I65:I66"/>
    <mergeCell ref="A9:C9"/>
    <mergeCell ref="A10:C10"/>
    <mergeCell ref="A4:C6"/>
    <mergeCell ref="D4:D6"/>
    <mergeCell ref="A17:C17"/>
    <mergeCell ref="A18:C18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76:B76"/>
    <mergeCell ref="A59:C59"/>
    <mergeCell ref="A62:C62"/>
    <mergeCell ref="A69:B69"/>
    <mergeCell ref="A65:B66"/>
    <mergeCell ref="C65:C66"/>
    <mergeCell ref="A61:C61"/>
    <mergeCell ref="A55:C55"/>
    <mergeCell ref="A56:C56"/>
    <mergeCell ref="A57:C57"/>
    <mergeCell ref="A58:C58"/>
    <mergeCell ref="C80:C81"/>
    <mergeCell ref="D80:I80"/>
    <mergeCell ref="E71:H71"/>
    <mergeCell ref="E72:H72"/>
    <mergeCell ref="E76:H76"/>
    <mergeCell ref="E75:H75"/>
    <mergeCell ref="C79:I79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N69" sqref="N69"/>
    </sheetView>
  </sheetViews>
  <sheetFormatPr defaultColWidth="9.00390625" defaultRowHeight="12.75"/>
  <cols>
    <col min="1" max="1" width="27.875" style="138" customWidth="1"/>
    <col min="2" max="2" width="16.25390625" style="138" customWidth="1"/>
    <col min="3" max="3" width="15.125" style="138" customWidth="1"/>
    <col min="4" max="4" width="12.625" style="154" customWidth="1"/>
    <col min="5" max="5" width="12.625" style="147" customWidth="1"/>
    <col min="6" max="12" width="12.6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126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f>SUM(D8:D13)</f>
        <v>14592</v>
      </c>
      <c r="E7" s="169">
        <f>SUM(E8:E13)</f>
        <v>15107</v>
      </c>
      <c r="F7" s="170">
        <f>E7-D7</f>
        <v>515</v>
      </c>
      <c r="G7" s="171">
        <f>E7/D7</f>
        <v>1.0352933114035088</v>
      </c>
      <c r="H7" s="172">
        <v>15977</v>
      </c>
      <c r="I7" s="173"/>
      <c r="J7" s="174">
        <f>H7+I7</f>
        <v>15977</v>
      </c>
      <c r="K7" s="175">
        <f>J7-E7</f>
        <v>870</v>
      </c>
      <c r="L7" s="176">
        <f>J7/E7</f>
        <v>1.0575891970609652</v>
      </c>
    </row>
    <row r="8" spans="1:12" ht="14.25">
      <c r="A8" s="465" t="s">
        <v>66</v>
      </c>
      <c r="B8" s="465"/>
      <c r="C8" s="465"/>
      <c r="D8" s="143">
        <v>7875</v>
      </c>
      <c r="E8" s="140">
        <v>8477</v>
      </c>
      <c r="F8" s="160">
        <f aca="true" t="shared" si="0" ref="F8:F60">E8-D8</f>
        <v>602</v>
      </c>
      <c r="G8" s="161">
        <f aca="true" t="shared" si="1" ref="G8:G60">E8/D8</f>
        <v>1.0764444444444445</v>
      </c>
      <c r="H8" s="141">
        <v>9250</v>
      </c>
      <c r="I8" s="142"/>
      <c r="J8" s="174">
        <f aca="true" t="shared" si="2" ref="J8:J60">H8+I8</f>
        <v>9250</v>
      </c>
      <c r="K8" s="164">
        <f aca="true" t="shared" si="3" ref="K8:K60">J8-E8</f>
        <v>773</v>
      </c>
      <c r="L8" s="165">
        <f aca="true" t="shared" si="4" ref="L8:L60">J8/E8</f>
        <v>1.0911879202548072</v>
      </c>
    </row>
    <row r="9" spans="1:12" ht="14.25">
      <c r="A9" s="465" t="s">
        <v>67</v>
      </c>
      <c r="B9" s="465"/>
      <c r="C9" s="465"/>
      <c r="D9" s="143">
        <v>6171</v>
      </c>
      <c r="E9" s="140">
        <v>6054</v>
      </c>
      <c r="F9" s="160">
        <f t="shared" si="0"/>
        <v>-117</v>
      </c>
      <c r="G9" s="161">
        <f t="shared" si="1"/>
        <v>0.9810403500243072</v>
      </c>
      <c r="H9" s="141">
        <v>6150</v>
      </c>
      <c r="I9" s="142"/>
      <c r="J9" s="174">
        <f t="shared" si="2"/>
        <v>6150</v>
      </c>
      <c r="K9" s="164">
        <f t="shared" si="3"/>
        <v>96</v>
      </c>
      <c r="L9" s="165">
        <f t="shared" si="4"/>
        <v>1.0158572844400398</v>
      </c>
    </row>
    <row r="10" spans="1:12" ht="14.25">
      <c r="A10" s="465" t="s">
        <v>68</v>
      </c>
      <c r="B10" s="465"/>
      <c r="C10" s="465"/>
      <c r="D10" s="143">
        <v>246</v>
      </c>
      <c r="E10" s="140">
        <v>310</v>
      </c>
      <c r="F10" s="160">
        <f t="shared" si="0"/>
        <v>64</v>
      </c>
      <c r="G10" s="161">
        <f t="shared" si="1"/>
        <v>1.2601626016260163</v>
      </c>
      <c r="H10" s="141">
        <v>320</v>
      </c>
      <c r="I10" s="142"/>
      <c r="J10" s="174">
        <f t="shared" si="2"/>
        <v>320</v>
      </c>
      <c r="K10" s="164">
        <f t="shared" si="3"/>
        <v>10</v>
      </c>
      <c r="L10" s="165">
        <f t="shared" si="4"/>
        <v>1.032258064516129</v>
      </c>
    </row>
    <row r="11" spans="1:12" ht="14.25">
      <c r="A11" s="465" t="s">
        <v>69</v>
      </c>
      <c r="B11" s="465"/>
      <c r="C11" s="465"/>
      <c r="D11" s="143">
        <v>30</v>
      </c>
      <c r="E11" s="140">
        <v>2</v>
      </c>
      <c r="F11" s="160">
        <f t="shared" si="0"/>
        <v>-28</v>
      </c>
      <c r="G11" s="161">
        <f t="shared" si="1"/>
        <v>0.06666666666666667</v>
      </c>
      <c r="H11" s="141">
        <v>2</v>
      </c>
      <c r="I11" s="142"/>
      <c r="J11" s="174">
        <f t="shared" si="2"/>
        <v>2</v>
      </c>
      <c r="K11" s="164">
        <f t="shared" si="3"/>
        <v>0</v>
      </c>
      <c r="L11" s="165">
        <f t="shared" si="4"/>
        <v>1</v>
      </c>
    </row>
    <row r="12" spans="1:12" ht="14.25">
      <c r="A12" s="465" t="s">
        <v>70</v>
      </c>
      <c r="B12" s="465"/>
      <c r="C12" s="465"/>
      <c r="D12" s="143">
        <v>250</v>
      </c>
      <c r="E12" s="140">
        <v>257</v>
      </c>
      <c r="F12" s="160">
        <f t="shared" si="0"/>
        <v>7</v>
      </c>
      <c r="G12" s="161">
        <f t="shared" si="1"/>
        <v>1.028</v>
      </c>
      <c r="H12" s="141">
        <v>255</v>
      </c>
      <c r="I12" s="142"/>
      <c r="J12" s="174">
        <f t="shared" si="2"/>
        <v>255</v>
      </c>
      <c r="K12" s="164">
        <f t="shared" si="3"/>
        <v>-2</v>
      </c>
      <c r="L12" s="165">
        <f t="shared" si="4"/>
        <v>0.9922178988326849</v>
      </c>
    </row>
    <row r="13" spans="1:12" ht="14.25">
      <c r="A13" s="465" t="s">
        <v>71</v>
      </c>
      <c r="B13" s="465"/>
      <c r="C13" s="465"/>
      <c r="D13" s="143">
        <v>20</v>
      </c>
      <c r="E13" s="140">
        <v>7</v>
      </c>
      <c r="F13" s="160">
        <f t="shared" si="0"/>
        <v>-13</v>
      </c>
      <c r="G13" s="161">
        <f t="shared" si="1"/>
        <v>0.35</v>
      </c>
      <c r="H13" s="141">
        <v>0</v>
      </c>
      <c r="I13" s="142"/>
      <c r="J13" s="174">
        <f t="shared" si="2"/>
        <v>0</v>
      </c>
      <c r="K13" s="164">
        <f t="shared" si="3"/>
        <v>-7</v>
      </c>
      <c r="L13" s="165">
        <f t="shared" si="4"/>
        <v>0</v>
      </c>
    </row>
    <row r="14" spans="1:20" ht="15">
      <c r="A14" s="456" t="s">
        <v>72</v>
      </c>
      <c r="B14" s="456"/>
      <c r="C14" s="456"/>
      <c r="D14" s="143"/>
      <c r="E14" s="177"/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>
        <v>47</v>
      </c>
      <c r="E15" s="140"/>
      <c r="F15" s="160">
        <f t="shared" si="0"/>
        <v>-47</v>
      </c>
      <c r="G15" s="161">
        <f t="shared" si="1"/>
        <v>0</v>
      </c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137</v>
      </c>
      <c r="E16" s="140">
        <v>547</v>
      </c>
      <c r="F16" s="160">
        <f t="shared" si="0"/>
        <v>410</v>
      </c>
      <c r="G16" s="161">
        <f t="shared" si="1"/>
        <v>3.9927007299270074</v>
      </c>
      <c r="H16" s="141">
        <v>238</v>
      </c>
      <c r="I16" s="142"/>
      <c r="J16" s="174">
        <f t="shared" si="2"/>
        <v>238</v>
      </c>
      <c r="K16" s="164">
        <f t="shared" si="3"/>
        <v>-309</v>
      </c>
      <c r="L16" s="165">
        <f t="shared" si="4"/>
        <v>0.4351005484460695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119</v>
      </c>
      <c r="E17" s="140">
        <v>541</v>
      </c>
      <c r="F17" s="160">
        <f t="shared" si="0"/>
        <v>422</v>
      </c>
      <c r="G17" s="161">
        <f t="shared" si="1"/>
        <v>4.546218487394958</v>
      </c>
      <c r="H17" s="141"/>
      <c r="I17" s="142"/>
      <c r="J17" s="174">
        <f t="shared" si="2"/>
        <v>0</v>
      </c>
      <c r="K17" s="164">
        <f t="shared" si="3"/>
        <v>-541</v>
      </c>
      <c r="L17" s="165">
        <f t="shared" si="4"/>
        <v>0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/>
      <c r="E20" s="140">
        <v>2</v>
      </c>
      <c r="F20" s="160">
        <f t="shared" si="0"/>
        <v>2</v>
      </c>
      <c r="G20" s="161"/>
      <c r="H20" s="141"/>
      <c r="I20" s="142"/>
      <c r="J20" s="174">
        <f t="shared" si="2"/>
        <v>0</v>
      </c>
      <c r="K20" s="164">
        <f t="shared" si="3"/>
        <v>-2</v>
      </c>
      <c r="L20" s="165"/>
    </row>
    <row r="21" spans="1:12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f>SUM(D23:D26)</f>
        <v>11345</v>
      </c>
      <c r="E22" s="177">
        <f>SUM(E23:E26)</f>
        <v>11335</v>
      </c>
      <c r="F22" s="160">
        <f t="shared" si="0"/>
        <v>-10</v>
      </c>
      <c r="G22" s="161">
        <f t="shared" si="1"/>
        <v>0.999118554429264</v>
      </c>
      <c r="H22" s="172">
        <v>10404</v>
      </c>
      <c r="I22" s="173"/>
      <c r="J22" s="174">
        <f t="shared" si="2"/>
        <v>10404</v>
      </c>
      <c r="K22" s="164">
        <f t="shared" si="3"/>
        <v>-931</v>
      </c>
      <c r="L22" s="165">
        <f t="shared" si="4"/>
        <v>0.917865019850022</v>
      </c>
    </row>
    <row r="23" spans="1:12" ht="14.25">
      <c r="A23" s="456" t="s">
        <v>81</v>
      </c>
      <c r="B23" s="456"/>
      <c r="C23" s="456"/>
      <c r="D23" s="143">
        <v>2840</v>
      </c>
      <c r="E23" s="140">
        <v>1769</v>
      </c>
      <c r="F23" s="160">
        <f t="shared" si="0"/>
        <v>-1071</v>
      </c>
      <c r="G23" s="161">
        <f t="shared" si="1"/>
        <v>0.622887323943662</v>
      </c>
      <c r="H23" s="141">
        <v>1750</v>
      </c>
      <c r="I23" s="142"/>
      <c r="J23" s="174">
        <f t="shared" si="2"/>
        <v>1750</v>
      </c>
      <c r="K23" s="164">
        <f t="shared" si="3"/>
        <v>-19</v>
      </c>
      <c r="L23" s="165">
        <f t="shared" si="4"/>
        <v>0.9892594686263426</v>
      </c>
    </row>
    <row r="24" spans="1:12" ht="14.25">
      <c r="A24" s="456" t="s">
        <v>82</v>
      </c>
      <c r="B24" s="456"/>
      <c r="C24" s="456"/>
      <c r="D24" s="143">
        <v>8505</v>
      </c>
      <c r="E24" s="140">
        <v>9420</v>
      </c>
      <c r="F24" s="160">
        <f t="shared" si="0"/>
        <v>915</v>
      </c>
      <c r="G24" s="161">
        <f t="shared" si="1"/>
        <v>1.1075837742504409</v>
      </c>
      <c r="H24" s="141">
        <v>8654</v>
      </c>
      <c r="I24" s="142"/>
      <c r="J24" s="174">
        <f t="shared" si="2"/>
        <v>8654</v>
      </c>
      <c r="K24" s="164">
        <f t="shared" si="3"/>
        <v>-766</v>
      </c>
      <c r="L24" s="165">
        <f t="shared" si="4"/>
        <v>0.9186836518046709</v>
      </c>
    </row>
    <row r="25" spans="1:12" ht="14.25">
      <c r="A25" s="456" t="s">
        <v>83</v>
      </c>
      <c r="B25" s="456"/>
      <c r="C25" s="456"/>
      <c r="D25" s="143"/>
      <c r="E25" s="140">
        <v>146</v>
      </c>
      <c r="F25" s="160">
        <f t="shared" si="0"/>
        <v>146</v>
      </c>
      <c r="G25" s="161"/>
      <c r="H25" s="141">
        <v>0</v>
      </c>
      <c r="I25" s="142"/>
      <c r="J25" s="174">
        <f t="shared" si="2"/>
        <v>0</v>
      </c>
      <c r="K25" s="164">
        <f t="shared" si="3"/>
        <v>-146</v>
      </c>
      <c r="L25" s="165">
        <f t="shared" si="4"/>
        <v>0</v>
      </c>
    </row>
    <row r="26" spans="1:12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f>D7+D15+D16+D22</f>
        <v>26121</v>
      </c>
      <c r="E27" s="180">
        <v>26991</v>
      </c>
      <c r="F27" s="181">
        <f t="shared" si="0"/>
        <v>870</v>
      </c>
      <c r="G27" s="182">
        <f t="shared" si="1"/>
        <v>1.0333065349718618</v>
      </c>
      <c r="H27" s="183">
        <v>26619</v>
      </c>
      <c r="I27" s="184"/>
      <c r="J27" s="185">
        <f t="shared" si="2"/>
        <v>26619</v>
      </c>
      <c r="K27" s="183">
        <f t="shared" si="3"/>
        <v>-372</v>
      </c>
      <c r="L27" s="186">
        <f t="shared" si="4"/>
        <v>0.986217628098255</v>
      </c>
    </row>
    <row r="28" spans="1:12" ht="14.25">
      <c r="A28" s="495" t="s">
        <v>85</v>
      </c>
      <c r="B28" s="495"/>
      <c r="C28" s="495"/>
      <c r="D28" s="187">
        <f>SUM(D29:D33)</f>
        <v>3675</v>
      </c>
      <c r="E28" s="188">
        <v>3506</v>
      </c>
      <c r="F28" s="189">
        <f t="shared" si="0"/>
        <v>-169</v>
      </c>
      <c r="G28" s="190">
        <f t="shared" si="1"/>
        <v>0.9540136054421768</v>
      </c>
      <c r="H28" s="191">
        <v>3655</v>
      </c>
      <c r="I28" s="192"/>
      <c r="J28" s="193">
        <f t="shared" si="2"/>
        <v>3655</v>
      </c>
      <c r="K28" s="194">
        <f t="shared" si="3"/>
        <v>149</v>
      </c>
      <c r="L28" s="195">
        <f t="shared" si="4"/>
        <v>1.0424985738733599</v>
      </c>
    </row>
    <row r="29" spans="1:12" ht="14.25">
      <c r="A29" s="441" t="s">
        <v>86</v>
      </c>
      <c r="B29" s="441"/>
      <c r="C29" s="441"/>
      <c r="D29" s="143">
        <v>2190</v>
      </c>
      <c r="E29" s="140">
        <v>2319</v>
      </c>
      <c r="F29" s="160">
        <f t="shared" si="0"/>
        <v>129</v>
      </c>
      <c r="G29" s="161">
        <f t="shared" si="1"/>
        <v>1.058904109589041</v>
      </c>
      <c r="H29" s="141">
        <v>2580</v>
      </c>
      <c r="I29" s="142"/>
      <c r="J29" s="174">
        <f t="shared" si="2"/>
        <v>2580</v>
      </c>
      <c r="K29" s="164">
        <f t="shared" si="3"/>
        <v>261</v>
      </c>
      <c r="L29" s="165">
        <f t="shared" si="4"/>
        <v>1.11254851228978</v>
      </c>
    </row>
    <row r="30" spans="1:12" ht="14.25">
      <c r="A30" s="441" t="s">
        <v>87</v>
      </c>
      <c r="B30" s="441"/>
      <c r="C30" s="441"/>
      <c r="D30" s="143">
        <v>162</v>
      </c>
      <c r="E30" s="140">
        <v>175</v>
      </c>
      <c r="F30" s="160">
        <f t="shared" si="0"/>
        <v>13</v>
      </c>
      <c r="G30" s="161">
        <f t="shared" si="1"/>
        <v>1.0802469135802468</v>
      </c>
      <c r="H30" s="141">
        <v>175</v>
      </c>
      <c r="I30" s="142"/>
      <c r="J30" s="174">
        <f t="shared" si="2"/>
        <v>175</v>
      </c>
      <c r="K30" s="164">
        <f t="shared" si="3"/>
        <v>0</v>
      </c>
      <c r="L30" s="165">
        <f t="shared" si="4"/>
        <v>1</v>
      </c>
    </row>
    <row r="31" spans="1:12" ht="14.25">
      <c r="A31" s="441" t="s">
        <v>88</v>
      </c>
      <c r="B31" s="441"/>
      <c r="C31" s="441"/>
      <c r="D31" s="143">
        <v>480</v>
      </c>
      <c r="E31" s="140">
        <v>217</v>
      </c>
      <c r="F31" s="160">
        <f t="shared" si="0"/>
        <v>-263</v>
      </c>
      <c r="G31" s="161">
        <f t="shared" si="1"/>
        <v>0.45208333333333334</v>
      </c>
      <c r="H31" s="141">
        <v>110</v>
      </c>
      <c r="I31" s="142"/>
      <c r="J31" s="174">
        <f t="shared" si="2"/>
        <v>110</v>
      </c>
      <c r="K31" s="164">
        <f t="shared" si="3"/>
        <v>-107</v>
      </c>
      <c r="L31" s="165">
        <f t="shared" si="4"/>
        <v>0.5069124423963134</v>
      </c>
    </row>
    <row r="32" spans="1:12" ht="14.25">
      <c r="A32" s="441" t="s">
        <v>89</v>
      </c>
      <c r="B32" s="441"/>
      <c r="C32" s="441"/>
      <c r="D32" s="143">
        <v>714</v>
      </c>
      <c r="E32" s="140">
        <v>722</v>
      </c>
      <c r="F32" s="160">
        <f t="shared" si="0"/>
        <v>8</v>
      </c>
      <c r="G32" s="161">
        <f t="shared" si="1"/>
        <v>1.011204481792717</v>
      </c>
      <c r="H32" s="141">
        <v>720</v>
      </c>
      <c r="I32" s="142"/>
      <c r="J32" s="174">
        <f t="shared" si="2"/>
        <v>720</v>
      </c>
      <c r="K32" s="164">
        <f t="shared" si="3"/>
        <v>-2</v>
      </c>
      <c r="L32" s="165">
        <f t="shared" si="4"/>
        <v>0.997229916897507</v>
      </c>
    </row>
    <row r="33" spans="1:12" ht="14.25">
      <c r="A33" s="441" t="s">
        <v>90</v>
      </c>
      <c r="B33" s="441"/>
      <c r="C33" s="441"/>
      <c r="D33" s="143">
        <v>129</v>
      </c>
      <c r="E33" s="140">
        <v>73</v>
      </c>
      <c r="F33" s="160">
        <f t="shared" si="0"/>
        <v>-56</v>
      </c>
      <c r="G33" s="161">
        <f t="shared" si="1"/>
        <v>0.5658914728682171</v>
      </c>
      <c r="H33" s="141">
        <v>70</v>
      </c>
      <c r="I33" s="142"/>
      <c r="J33" s="174">
        <f t="shared" si="2"/>
        <v>70</v>
      </c>
      <c r="K33" s="164">
        <f t="shared" si="3"/>
        <v>-3</v>
      </c>
      <c r="L33" s="165">
        <f t="shared" si="4"/>
        <v>0.958904109589041</v>
      </c>
    </row>
    <row r="34" spans="1:12" ht="14.25">
      <c r="A34" s="441" t="s">
        <v>91</v>
      </c>
      <c r="B34" s="441"/>
      <c r="C34" s="441"/>
      <c r="D34" s="196">
        <f>SUM(D35:D39)</f>
        <v>1919</v>
      </c>
      <c r="E34" s="177">
        <v>2307</v>
      </c>
      <c r="F34" s="197">
        <f t="shared" si="0"/>
        <v>388</v>
      </c>
      <c r="G34" s="198">
        <f t="shared" si="1"/>
        <v>1.2021886399166233</v>
      </c>
      <c r="H34" s="172">
        <v>1990</v>
      </c>
      <c r="I34" s="173"/>
      <c r="J34" s="174">
        <f t="shared" si="2"/>
        <v>1990</v>
      </c>
      <c r="K34" s="199">
        <f t="shared" si="3"/>
        <v>-317</v>
      </c>
      <c r="L34" s="200">
        <f t="shared" si="4"/>
        <v>0.8625921109666234</v>
      </c>
    </row>
    <row r="35" spans="1:12" ht="14.25">
      <c r="A35" s="441" t="s">
        <v>92</v>
      </c>
      <c r="B35" s="441"/>
      <c r="C35" s="441"/>
      <c r="D35" s="143">
        <v>1792</v>
      </c>
      <c r="E35" s="140">
        <v>2106</v>
      </c>
      <c r="F35" s="160">
        <f t="shared" si="0"/>
        <v>314</v>
      </c>
      <c r="G35" s="161">
        <f t="shared" si="1"/>
        <v>1.1752232142857142</v>
      </c>
      <c r="H35" s="141">
        <v>1750</v>
      </c>
      <c r="I35" s="142"/>
      <c r="J35" s="174">
        <f t="shared" si="2"/>
        <v>1750</v>
      </c>
      <c r="K35" s="164">
        <f t="shared" si="3"/>
        <v>-356</v>
      </c>
      <c r="L35" s="165">
        <f t="shared" si="4"/>
        <v>0.8309591642924976</v>
      </c>
    </row>
    <row r="36" spans="1:12" ht="14.25">
      <c r="A36" s="441" t="s">
        <v>93</v>
      </c>
      <c r="B36" s="441"/>
      <c r="C36" s="441"/>
      <c r="D36" s="143"/>
      <c r="E36" s="140">
        <v>18</v>
      </c>
      <c r="F36" s="160">
        <f t="shared" si="0"/>
        <v>18</v>
      </c>
      <c r="G36" s="161"/>
      <c r="H36" s="141">
        <v>20</v>
      </c>
      <c r="I36" s="142"/>
      <c r="J36" s="174">
        <f t="shared" si="2"/>
        <v>20</v>
      </c>
      <c r="K36" s="164">
        <f t="shared" si="3"/>
        <v>2</v>
      </c>
      <c r="L36" s="165">
        <f t="shared" si="4"/>
        <v>1.1111111111111112</v>
      </c>
    </row>
    <row r="37" spans="1:12" ht="14.25">
      <c r="A37" s="441" t="s">
        <v>94</v>
      </c>
      <c r="B37" s="441"/>
      <c r="C37" s="441"/>
      <c r="D37" s="143">
        <v>83</v>
      </c>
      <c r="E37" s="140">
        <v>109</v>
      </c>
      <c r="F37" s="160">
        <f t="shared" si="0"/>
        <v>26</v>
      </c>
      <c r="G37" s="161">
        <f t="shared" si="1"/>
        <v>1.3132530120481927</v>
      </c>
      <c r="H37" s="141">
        <v>140</v>
      </c>
      <c r="I37" s="142"/>
      <c r="J37" s="174">
        <f t="shared" si="2"/>
        <v>140</v>
      </c>
      <c r="K37" s="164">
        <f t="shared" si="3"/>
        <v>31</v>
      </c>
      <c r="L37" s="165">
        <f t="shared" si="4"/>
        <v>1.2844036697247707</v>
      </c>
    </row>
    <row r="38" spans="1:12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44</v>
      </c>
      <c r="E39" s="140">
        <v>74</v>
      </c>
      <c r="F39" s="160">
        <f t="shared" si="0"/>
        <v>30</v>
      </c>
      <c r="G39" s="161">
        <f t="shared" si="1"/>
        <v>1.6818181818181819</v>
      </c>
      <c r="H39" s="141">
        <v>80</v>
      </c>
      <c r="I39" s="142"/>
      <c r="J39" s="174">
        <f t="shared" si="2"/>
        <v>80</v>
      </c>
      <c r="K39" s="164">
        <f t="shared" si="3"/>
        <v>6</v>
      </c>
      <c r="L39" s="165">
        <f t="shared" si="4"/>
        <v>1.0810810810810811</v>
      </c>
    </row>
    <row r="40" spans="1:12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473</v>
      </c>
      <c r="E41" s="140">
        <v>604</v>
      </c>
      <c r="F41" s="160">
        <f t="shared" si="0"/>
        <v>131</v>
      </c>
      <c r="G41" s="161">
        <f t="shared" si="1"/>
        <v>1.276955602536998</v>
      </c>
      <c r="H41" s="141">
        <v>458</v>
      </c>
      <c r="I41" s="142"/>
      <c r="J41" s="174">
        <f t="shared" si="2"/>
        <v>458</v>
      </c>
      <c r="K41" s="164">
        <f t="shared" si="3"/>
        <v>-146</v>
      </c>
      <c r="L41" s="165">
        <f t="shared" si="4"/>
        <v>0.7582781456953642</v>
      </c>
    </row>
    <row r="42" spans="1:12" ht="14.25">
      <c r="A42" s="441" t="s">
        <v>99</v>
      </c>
      <c r="B42" s="441"/>
      <c r="C42" s="441"/>
      <c r="D42" s="143">
        <v>117</v>
      </c>
      <c r="E42" s="140">
        <v>177</v>
      </c>
      <c r="F42" s="160">
        <f t="shared" si="0"/>
        <v>60</v>
      </c>
      <c r="G42" s="161">
        <f t="shared" si="1"/>
        <v>1.5128205128205128</v>
      </c>
      <c r="H42" s="141">
        <v>180</v>
      </c>
      <c r="I42" s="142"/>
      <c r="J42" s="174">
        <f t="shared" si="2"/>
        <v>180</v>
      </c>
      <c r="K42" s="164">
        <f t="shared" si="3"/>
        <v>3</v>
      </c>
      <c r="L42" s="165">
        <f t="shared" si="4"/>
        <v>1.0169491525423728</v>
      </c>
    </row>
    <row r="43" spans="1:12" ht="14.25">
      <c r="A43" s="441" t="s">
        <v>100</v>
      </c>
      <c r="B43" s="441"/>
      <c r="C43" s="441"/>
      <c r="D43" s="143">
        <v>1</v>
      </c>
      <c r="E43" s="140">
        <v>1</v>
      </c>
      <c r="F43" s="160">
        <f t="shared" si="0"/>
        <v>0</v>
      </c>
      <c r="G43" s="161">
        <f t="shared" si="1"/>
        <v>1</v>
      </c>
      <c r="H43" s="141">
        <v>5</v>
      </c>
      <c r="I43" s="142"/>
      <c r="J43" s="174">
        <f t="shared" si="2"/>
        <v>5</v>
      </c>
      <c r="K43" s="164">
        <f t="shared" si="3"/>
        <v>4</v>
      </c>
      <c r="L43" s="165">
        <f t="shared" si="4"/>
        <v>5</v>
      </c>
    </row>
    <row r="44" spans="1:12" ht="14.25">
      <c r="A44" s="441" t="s">
        <v>101</v>
      </c>
      <c r="B44" s="441"/>
      <c r="C44" s="441"/>
      <c r="D44" s="143">
        <f>SUM(D45:D47)</f>
        <v>1008</v>
      </c>
      <c r="E44" s="140">
        <v>1036</v>
      </c>
      <c r="F44" s="160">
        <f t="shared" si="0"/>
        <v>28</v>
      </c>
      <c r="G44" s="161">
        <f t="shared" si="1"/>
        <v>1.0277777777777777</v>
      </c>
      <c r="H44" s="141">
        <v>1070</v>
      </c>
      <c r="I44" s="142"/>
      <c r="J44" s="174">
        <f t="shared" si="2"/>
        <v>1070</v>
      </c>
      <c r="K44" s="164">
        <f t="shared" si="3"/>
        <v>34</v>
      </c>
      <c r="L44" s="165">
        <f t="shared" si="4"/>
        <v>1.0328185328185329</v>
      </c>
    </row>
    <row r="45" spans="1:15" ht="14.25">
      <c r="A45" s="441" t="s">
        <v>102</v>
      </c>
      <c r="B45" s="441"/>
      <c r="C45" s="441"/>
      <c r="D45" s="143">
        <v>151</v>
      </c>
      <c r="E45" s="140">
        <v>174</v>
      </c>
      <c r="F45" s="160">
        <f t="shared" si="0"/>
        <v>23</v>
      </c>
      <c r="G45" s="161">
        <f t="shared" si="1"/>
        <v>1.1523178807947019</v>
      </c>
      <c r="H45" s="141">
        <v>175</v>
      </c>
      <c r="I45" s="142"/>
      <c r="J45" s="174">
        <f t="shared" si="2"/>
        <v>175</v>
      </c>
      <c r="K45" s="164">
        <f t="shared" si="3"/>
        <v>1</v>
      </c>
      <c r="L45" s="165">
        <f t="shared" si="4"/>
        <v>1.0057471264367817</v>
      </c>
      <c r="O45" s="147"/>
    </row>
    <row r="46" spans="1:12" ht="14.25">
      <c r="A46" s="441" t="s">
        <v>103</v>
      </c>
      <c r="B46" s="441"/>
      <c r="C46" s="441"/>
      <c r="D46" s="143">
        <v>39</v>
      </c>
      <c r="E46" s="140">
        <v>39</v>
      </c>
      <c r="F46" s="160">
        <f t="shared" si="0"/>
        <v>0</v>
      </c>
      <c r="G46" s="161">
        <f t="shared" si="1"/>
        <v>1</v>
      </c>
      <c r="H46" s="141">
        <v>35</v>
      </c>
      <c r="I46" s="142"/>
      <c r="J46" s="174">
        <f t="shared" si="2"/>
        <v>35</v>
      </c>
      <c r="K46" s="164">
        <f t="shared" si="3"/>
        <v>-4</v>
      </c>
      <c r="L46" s="165">
        <f t="shared" si="4"/>
        <v>0.8974358974358975</v>
      </c>
    </row>
    <row r="47" spans="1:12" ht="14.25">
      <c r="A47" s="441" t="s">
        <v>104</v>
      </c>
      <c r="B47" s="441"/>
      <c r="C47" s="441"/>
      <c r="D47" s="143">
        <v>818</v>
      </c>
      <c r="E47" s="140">
        <v>823</v>
      </c>
      <c r="F47" s="160">
        <f t="shared" si="0"/>
        <v>5</v>
      </c>
      <c r="G47" s="161">
        <f t="shared" si="1"/>
        <v>1.0061124694376529</v>
      </c>
      <c r="H47" s="141">
        <v>860</v>
      </c>
      <c r="I47" s="142"/>
      <c r="J47" s="174">
        <f t="shared" si="2"/>
        <v>860</v>
      </c>
      <c r="K47" s="164">
        <f t="shared" si="3"/>
        <v>37</v>
      </c>
      <c r="L47" s="165">
        <f t="shared" si="4"/>
        <v>1.0449574726609963</v>
      </c>
    </row>
    <row r="48" spans="1:12" ht="14.25">
      <c r="A48" s="441" t="s">
        <v>105</v>
      </c>
      <c r="B48" s="441"/>
      <c r="C48" s="441"/>
      <c r="D48" s="196">
        <f>SUM(D49+D52)</f>
        <v>18083</v>
      </c>
      <c r="E48" s="177">
        <v>18460</v>
      </c>
      <c r="F48" s="197">
        <f t="shared" si="0"/>
        <v>377</v>
      </c>
      <c r="G48" s="198">
        <f t="shared" si="1"/>
        <v>1.0208483105679367</v>
      </c>
      <c r="H48" s="172">
        <v>18390</v>
      </c>
      <c r="I48" s="173"/>
      <c r="J48" s="174">
        <f t="shared" si="2"/>
        <v>18390</v>
      </c>
      <c r="K48" s="199">
        <f t="shared" si="3"/>
        <v>-70</v>
      </c>
      <c r="L48" s="200">
        <f t="shared" si="4"/>
        <v>0.9962080173347779</v>
      </c>
    </row>
    <row r="49" spans="1:12" ht="14.25">
      <c r="A49" s="441" t="s">
        <v>106</v>
      </c>
      <c r="B49" s="441"/>
      <c r="C49" s="441"/>
      <c r="D49" s="143">
        <v>13445</v>
      </c>
      <c r="E49" s="140">
        <v>13586</v>
      </c>
      <c r="F49" s="160">
        <f t="shared" si="0"/>
        <v>141</v>
      </c>
      <c r="G49" s="161">
        <f t="shared" si="1"/>
        <v>1.0104871699516549</v>
      </c>
      <c r="H49" s="141">
        <v>13590</v>
      </c>
      <c r="I49" s="142"/>
      <c r="J49" s="174">
        <f t="shared" si="2"/>
        <v>13590</v>
      </c>
      <c r="K49" s="164">
        <f t="shared" si="3"/>
        <v>4</v>
      </c>
      <c r="L49" s="165">
        <f t="shared" si="4"/>
        <v>1.0002944207272193</v>
      </c>
    </row>
    <row r="50" spans="1:12" ht="14.25">
      <c r="A50" s="441" t="s">
        <v>107</v>
      </c>
      <c r="B50" s="441"/>
      <c r="C50" s="441"/>
      <c r="D50" s="143">
        <v>13290</v>
      </c>
      <c r="E50" s="140">
        <v>13290</v>
      </c>
      <c r="F50" s="160">
        <f t="shared" si="0"/>
        <v>0</v>
      </c>
      <c r="G50" s="161">
        <f t="shared" si="1"/>
        <v>1</v>
      </c>
      <c r="H50" s="141">
        <v>13290</v>
      </c>
      <c r="I50" s="142"/>
      <c r="J50" s="174">
        <f t="shared" si="2"/>
        <v>13290</v>
      </c>
      <c r="K50" s="164">
        <f t="shared" si="3"/>
        <v>0</v>
      </c>
      <c r="L50" s="165">
        <f t="shared" si="4"/>
        <v>1</v>
      </c>
    </row>
    <row r="51" spans="1:12" ht="14.25">
      <c r="A51" s="441" t="s">
        <v>108</v>
      </c>
      <c r="B51" s="441"/>
      <c r="C51" s="441"/>
      <c r="D51" s="143">
        <v>155</v>
      </c>
      <c r="E51" s="140">
        <v>296</v>
      </c>
      <c r="F51" s="160">
        <f t="shared" si="0"/>
        <v>141</v>
      </c>
      <c r="G51" s="161">
        <f t="shared" si="1"/>
        <v>1.9096774193548387</v>
      </c>
      <c r="H51" s="141">
        <v>300</v>
      </c>
      <c r="I51" s="142"/>
      <c r="J51" s="174">
        <f t="shared" si="2"/>
        <v>300</v>
      </c>
      <c r="K51" s="164">
        <f t="shared" si="3"/>
        <v>4</v>
      </c>
      <c r="L51" s="165">
        <f t="shared" si="4"/>
        <v>1.0135135135135136</v>
      </c>
    </row>
    <row r="52" spans="1:12" ht="14.25">
      <c r="A52" s="441" t="s">
        <v>109</v>
      </c>
      <c r="B52" s="441"/>
      <c r="C52" s="441"/>
      <c r="D52" s="143">
        <v>4638</v>
      </c>
      <c r="E52" s="140">
        <v>4874</v>
      </c>
      <c r="F52" s="160">
        <f t="shared" si="0"/>
        <v>236</v>
      </c>
      <c r="G52" s="161">
        <f t="shared" si="1"/>
        <v>1.0508840017248815</v>
      </c>
      <c r="H52" s="141">
        <v>4800</v>
      </c>
      <c r="I52" s="142"/>
      <c r="J52" s="174">
        <f t="shared" si="2"/>
        <v>4800</v>
      </c>
      <c r="K52" s="164">
        <f t="shared" si="3"/>
        <v>-74</v>
      </c>
      <c r="L52" s="165">
        <f t="shared" si="4"/>
        <v>0.9848173984407058</v>
      </c>
    </row>
    <row r="53" spans="1:12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/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/>
      <c r="E54" s="140">
        <v>3</v>
      </c>
      <c r="F54" s="160">
        <f t="shared" si="0"/>
        <v>3</v>
      </c>
      <c r="G54" s="161"/>
      <c r="H54" s="141">
        <v>3</v>
      </c>
      <c r="I54" s="142"/>
      <c r="J54" s="174">
        <f t="shared" si="2"/>
        <v>3</v>
      </c>
      <c r="K54" s="164">
        <f t="shared" si="3"/>
        <v>0</v>
      </c>
      <c r="L54" s="165">
        <f t="shared" si="4"/>
        <v>1</v>
      </c>
    </row>
    <row r="55" spans="1:12" ht="14.25">
      <c r="A55" s="441" t="s">
        <v>112</v>
      </c>
      <c r="B55" s="441"/>
      <c r="C55" s="441"/>
      <c r="D55" s="143">
        <v>214</v>
      </c>
      <c r="E55" s="140">
        <v>206</v>
      </c>
      <c r="F55" s="160">
        <f t="shared" si="0"/>
        <v>-8</v>
      </c>
      <c r="G55" s="161">
        <f t="shared" si="1"/>
        <v>0.9626168224299065</v>
      </c>
      <c r="H55" s="141">
        <v>226</v>
      </c>
      <c r="I55" s="142"/>
      <c r="J55" s="174">
        <f t="shared" si="2"/>
        <v>226</v>
      </c>
      <c r="K55" s="164">
        <f t="shared" si="3"/>
        <v>20</v>
      </c>
      <c r="L55" s="165">
        <f t="shared" si="4"/>
        <v>1.0970873786407767</v>
      </c>
    </row>
    <row r="56" spans="1:12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/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626</v>
      </c>
      <c r="E57" s="140">
        <v>691</v>
      </c>
      <c r="F57" s="160">
        <f t="shared" si="0"/>
        <v>65</v>
      </c>
      <c r="G57" s="161">
        <f t="shared" si="1"/>
        <v>1.1038338658146964</v>
      </c>
      <c r="H57" s="141">
        <v>735</v>
      </c>
      <c r="I57" s="142"/>
      <c r="J57" s="174">
        <f t="shared" si="2"/>
        <v>735</v>
      </c>
      <c r="K57" s="164">
        <f t="shared" si="3"/>
        <v>44</v>
      </c>
      <c r="L57" s="165">
        <f t="shared" si="4"/>
        <v>1.0636758321273516</v>
      </c>
    </row>
    <row r="58" spans="1:12" ht="14.25">
      <c r="A58" s="441" t="s">
        <v>115</v>
      </c>
      <c r="B58" s="441"/>
      <c r="C58" s="441"/>
      <c r="D58" s="143"/>
      <c r="E58" s="140"/>
      <c r="F58" s="160">
        <f t="shared" si="0"/>
        <v>0</v>
      </c>
      <c r="G58" s="161"/>
      <c r="H58" s="141"/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/>
      <c r="E59" s="148"/>
      <c r="F59" s="162">
        <f t="shared" si="0"/>
        <v>0</v>
      </c>
      <c r="G59" s="163"/>
      <c r="H59" s="145"/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26116</v>
      </c>
      <c r="E60" s="180">
        <v>26991</v>
      </c>
      <c r="F60" s="181">
        <f t="shared" si="0"/>
        <v>875</v>
      </c>
      <c r="G60" s="182">
        <f t="shared" si="1"/>
        <v>1.0335043651401439</v>
      </c>
      <c r="H60" s="183">
        <v>26712</v>
      </c>
      <c r="I60" s="184"/>
      <c r="J60" s="185">
        <f t="shared" si="2"/>
        <v>26712</v>
      </c>
      <c r="K60" s="183">
        <f t="shared" si="3"/>
        <v>-279</v>
      </c>
      <c r="L60" s="186">
        <f t="shared" si="4"/>
        <v>0.9896632210736912</v>
      </c>
    </row>
    <row r="61" spans="1:14" s="6" customFormat="1" ht="15">
      <c r="A61" s="447" t="s">
        <v>17</v>
      </c>
      <c r="B61" s="447"/>
      <c r="C61" s="447"/>
      <c r="D61" s="96">
        <v>5</v>
      </c>
      <c r="E61" s="96">
        <v>0</v>
      </c>
      <c r="F61" s="96"/>
      <c r="G61" s="96"/>
      <c r="H61" s="96">
        <v>-93</v>
      </c>
      <c r="I61" s="96"/>
      <c r="J61" s="96">
        <f>J27-J60</f>
        <v>-93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>
        <v>0</v>
      </c>
      <c r="E62" s="97">
        <v>0</v>
      </c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198</v>
      </c>
      <c r="B67" s="382"/>
      <c r="C67" s="13">
        <v>350</v>
      </c>
      <c r="D67" s="14"/>
      <c r="E67" s="382" t="s">
        <v>200</v>
      </c>
      <c r="F67" s="382"/>
      <c r="G67" s="382"/>
      <c r="H67" s="382"/>
      <c r="I67" s="15">
        <v>70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199</v>
      </c>
      <c r="B68" s="382"/>
      <c r="C68" s="13">
        <v>112</v>
      </c>
      <c r="D68" s="14"/>
      <c r="E68" s="380" t="s">
        <v>201</v>
      </c>
      <c r="F68" s="380"/>
      <c r="G68" s="380"/>
      <c r="H68" s="380"/>
      <c r="I68" s="16">
        <v>150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177</v>
      </c>
      <c r="B69" s="382"/>
      <c r="C69" s="13">
        <v>278</v>
      </c>
      <c r="D69" s="14"/>
      <c r="E69" s="380" t="s">
        <v>202</v>
      </c>
      <c r="F69" s="380"/>
      <c r="G69" s="380"/>
      <c r="H69" s="380"/>
      <c r="I69" s="16">
        <v>126</v>
      </c>
      <c r="J69" s="11"/>
      <c r="K69" s="21" t="s">
        <v>45</v>
      </c>
      <c r="L69" s="22"/>
      <c r="M69" s="23"/>
      <c r="N69" s="24"/>
    </row>
    <row r="70" spans="1:14" s="6" customFormat="1" ht="15">
      <c r="A70" s="382"/>
      <c r="B70" s="382"/>
      <c r="C70" s="13"/>
      <c r="D70" s="14"/>
      <c r="E70" s="380" t="s">
        <v>199</v>
      </c>
      <c r="F70" s="380"/>
      <c r="G70" s="380"/>
      <c r="H70" s="380"/>
      <c r="I70" s="16">
        <v>112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740</v>
      </c>
      <c r="D75" s="36"/>
      <c r="E75" s="404" t="s">
        <v>12</v>
      </c>
      <c r="F75" s="404"/>
      <c r="G75" s="404"/>
      <c r="H75" s="404"/>
      <c r="I75" s="37">
        <f>SUM(I67:I74)</f>
        <v>458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27465</v>
      </c>
      <c r="B81" s="46">
        <v>8572</v>
      </c>
      <c r="C81" s="47">
        <v>735</v>
      </c>
      <c r="D81" s="48">
        <v>308</v>
      </c>
      <c r="E81" s="48">
        <v>124</v>
      </c>
      <c r="F81" s="48">
        <v>24</v>
      </c>
      <c r="G81" s="48">
        <v>120</v>
      </c>
      <c r="H81" s="49">
        <v>159</v>
      </c>
      <c r="I81" s="50"/>
      <c r="J81" s="51">
        <v>18158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2215.38</v>
      </c>
      <c r="C86" s="61" t="s">
        <v>38</v>
      </c>
      <c r="D86" s="62" t="s">
        <v>38</v>
      </c>
      <c r="E86" s="62" t="s">
        <v>38</v>
      </c>
      <c r="F86" s="63"/>
      <c r="G86" s="64">
        <v>1683.77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47.05</v>
      </c>
      <c r="C87" s="71">
        <v>47</v>
      </c>
      <c r="D87" s="72">
        <v>0</v>
      </c>
      <c r="E87" s="72">
        <v>0</v>
      </c>
      <c r="F87" s="73">
        <f>C87+D87-E87</f>
        <v>47</v>
      </c>
      <c r="G87" s="74">
        <v>47.05</v>
      </c>
      <c r="H87" s="75">
        <f>+G87-F87</f>
        <v>0.04999999999999716</v>
      </c>
      <c r="I87" s="71">
        <v>47</v>
      </c>
      <c r="J87" s="72">
        <v>0</v>
      </c>
      <c r="K87" s="72">
        <v>0</v>
      </c>
      <c r="L87" s="73">
        <f>I87+J87-K87</f>
        <v>47</v>
      </c>
      <c r="M87" s="76"/>
    </row>
    <row r="88" spans="1:13" s="10" customFormat="1" ht="15">
      <c r="A88" s="69" t="s">
        <v>40</v>
      </c>
      <c r="B88" s="70">
        <f>233.89+8.15</f>
        <v>242.04</v>
      </c>
      <c r="C88" s="71">
        <f>234+8</f>
        <v>242</v>
      </c>
      <c r="D88" s="72">
        <v>5</v>
      </c>
      <c r="E88" s="72">
        <f>113+8</f>
        <v>121</v>
      </c>
      <c r="F88" s="73">
        <f>C88+D88-E88</f>
        <v>126</v>
      </c>
      <c r="G88" s="74">
        <f>125.72</f>
        <v>125.72</v>
      </c>
      <c r="H88" s="75">
        <f>+G88-F88</f>
        <v>-0.28000000000000114</v>
      </c>
      <c r="I88" s="71">
        <v>126</v>
      </c>
      <c r="J88" s="72">
        <v>0</v>
      </c>
      <c r="K88" s="72">
        <v>126</v>
      </c>
      <c r="L88" s="73">
        <f>I88+J88-K88</f>
        <v>0</v>
      </c>
      <c r="M88" s="76"/>
    </row>
    <row r="89" spans="1:13" s="10" customFormat="1" ht="15">
      <c r="A89" s="69" t="s">
        <v>44</v>
      </c>
      <c r="B89" s="70">
        <v>504.95</v>
      </c>
      <c r="C89" s="71">
        <v>505</v>
      </c>
      <c r="D89" s="72">
        <v>691</v>
      </c>
      <c r="E89" s="72">
        <v>1191</v>
      </c>
      <c r="F89" s="73">
        <f>C89+D89-E89</f>
        <v>5</v>
      </c>
      <c r="G89" s="74">
        <v>5.38</v>
      </c>
      <c r="H89" s="75">
        <f>+G89-F89</f>
        <v>0.3799999999999999</v>
      </c>
      <c r="I89" s="77">
        <v>5</v>
      </c>
      <c r="J89" s="78">
        <v>735</v>
      </c>
      <c r="K89" s="78">
        <v>740</v>
      </c>
      <c r="L89" s="73">
        <f>I89+J89-K89</f>
        <v>0</v>
      </c>
      <c r="M89" s="76"/>
    </row>
    <row r="90" spans="1:13" s="10" customFormat="1" ht="15">
      <c r="A90" s="69" t="s">
        <v>41</v>
      </c>
      <c r="B90" s="70">
        <v>1421.34</v>
      </c>
      <c r="C90" s="79" t="s">
        <v>38</v>
      </c>
      <c r="D90" s="62" t="s">
        <v>38</v>
      </c>
      <c r="E90" s="80" t="s">
        <v>38</v>
      </c>
      <c r="F90" s="73"/>
      <c r="G90" s="74">
        <v>1505.62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118.97</v>
      </c>
      <c r="C91" s="84">
        <v>209</v>
      </c>
      <c r="D91" s="85">
        <v>266</v>
      </c>
      <c r="E91" s="112">
        <v>240</v>
      </c>
      <c r="F91" s="106">
        <f>C91+D91-E91</f>
        <v>235</v>
      </c>
      <c r="G91" s="109">
        <v>138.71</v>
      </c>
      <c r="H91" s="110">
        <f>+G91-F91</f>
        <v>-96.28999999999999</v>
      </c>
      <c r="I91" s="111">
        <v>235</v>
      </c>
      <c r="J91" s="112">
        <v>133</v>
      </c>
      <c r="K91" s="112">
        <v>177</v>
      </c>
      <c r="L91" s="106">
        <f>I91+J91-K91</f>
        <v>191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62</v>
      </c>
      <c r="C97" s="91">
        <v>62</v>
      </c>
      <c r="D97" s="149"/>
      <c r="E97" s="89">
        <v>2010</v>
      </c>
      <c r="F97" s="418">
        <v>100</v>
      </c>
      <c r="G97" s="418"/>
      <c r="I97" s="89">
        <v>2010</v>
      </c>
      <c r="J97" s="90">
        <v>13290</v>
      </c>
      <c r="K97" s="91">
        <v>13290</v>
      </c>
    </row>
    <row r="98" spans="1:11" s="6" customFormat="1" ht="15.75" thickBot="1">
      <c r="A98" s="92">
        <v>2011</v>
      </c>
      <c r="B98" s="93">
        <v>62</v>
      </c>
      <c r="C98" s="108" t="s">
        <v>62</v>
      </c>
      <c r="D98" s="149"/>
      <c r="E98" s="92">
        <v>2011</v>
      </c>
      <c r="F98" s="419">
        <v>100</v>
      </c>
      <c r="G98" s="419"/>
      <c r="I98" s="92">
        <v>2011</v>
      </c>
      <c r="J98" s="93">
        <v>13290</v>
      </c>
      <c r="K98" s="108" t="s">
        <v>62</v>
      </c>
    </row>
  </sheetData>
  <mergeCells count="104">
    <mergeCell ref="F97:G97"/>
    <mergeCell ref="F98:G98"/>
    <mergeCell ref="A65:B66"/>
    <mergeCell ref="C65:C66"/>
    <mergeCell ref="E65:H66"/>
    <mergeCell ref="A67:B67"/>
    <mergeCell ref="E67:H67"/>
    <mergeCell ref="A68:B68"/>
    <mergeCell ref="E68:H68"/>
    <mergeCell ref="A69:B69"/>
    <mergeCell ref="A95:C95"/>
    <mergeCell ref="E95:G95"/>
    <mergeCell ref="I95:K95"/>
    <mergeCell ref="F96:G96"/>
    <mergeCell ref="H4:J4"/>
    <mergeCell ref="K4:L4"/>
    <mergeCell ref="A7:C7"/>
    <mergeCell ref="A62:C62"/>
    <mergeCell ref="A4:C6"/>
    <mergeCell ref="D4:D6"/>
    <mergeCell ref="E4:E6"/>
    <mergeCell ref="F4:G4"/>
    <mergeCell ref="A8:C8"/>
    <mergeCell ref="A9:C9"/>
    <mergeCell ref="I65:I66"/>
    <mergeCell ref="E69:H69"/>
    <mergeCell ref="A70:B70"/>
    <mergeCell ref="E70:H70"/>
    <mergeCell ref="A71:B71"/>
    <mergeCell ref="E71:H71"/>
    <mergeCell ref="A72:B72"/>
    <mergeCell ref="E72:H72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1:C61"/>
    <mergeCell ref="A57:C57"/>
    <mergeCell ref="A58:C58"/>
    <mergeCell ref="A59:C59"/>
    <mergeCell ref="A60:C60"/>
    <mergeCell ref="A73:B73"/>
    <mergeCell ref="E73:H73"/>
    <mergeCell ref="A74:B74"/>
    <mergeCell ref="E74:H74"/>
    <mergeCell ref="E75:H75"/>
    <mergeCell ref="A78:A80"/>
    <mergeCell ref="B78:B80"/>
    <mergeCell ref="C78:I78"/>
    <mergeCell ref="C79:C80"/>
    <mergeCell ref="D79:I79"/>
    <mergeCell ref="A2:N2"/>
    <mergeCell ref="A3:G3"/>
    <mergeCell ref="J78:J80"/>
    <mergeCell ref="A84:A85"/>
    <mergeCell ref="B84:B85"/>
    <mergeCell ref="C84:F84"/>
    <mergeCell ref="G84:G85"/>
    <mergeCell ref="H84:H85"/>
    <mergeCell ref="I84:L84"/>
    <mergeCell ref="A75:B7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4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K61" sqref="K61:M62"/>
    </sheetView>
  </sheetViews>
  <sheetFormatPr defaultColWidth="9.00390625" defaultRowHeight="12.75"/>
  <cols>
    <col min="1" max="1" width="27.875" style="138" customWidth="1"/>
    <col min="2" max="2" width="15.625" style="138" customWidth="1"/>
    <col min="3" max="3" width="13.375" style="138" customWidth="1"/>
    <col min="4" max="4" width="12.875" style="154" customWidth="1"/>
    <col min="5" max="5" width="12.875" style="147" customWidth="1"/>
    <col min="6" max="12" width="12.87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138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12106</v>
      </c>
      <c r="E7" s="169">
        <v>13095</v>
      </c>
      <c r="F7" s="170">
        <f>E7-D7</f>
        <v>989</v>
      </c>
      <c r="G7" s="171">
        <f>E7/D7</f>
        <v>1.0816950272592103</v>
      </c>
      <c r="H7" s="172">
        <v>12835</v>
      </c>
      <c r="I7" s="173"/>
      <c r="J7" s="174">
        <f>H7+I7</f>
        <v>12835</v>
      </c>
      <c r="K7" s="175">
        <f>J7-E7</f>
        <v>-260</v>
      </c>
      <c r="L7" s="176">
        <f>J7/E7</f>
        <v>0.9801450935471554</v>
      </c>
    </row>
    <row r="8" spans="1:12" ht="14.25">
      <c r="A8" s="465" t="s">
        <v>66</v>
      </c>
      <c r="B8" s="465"/>
      <c r="C8" s="465"/>
      <c r="D8" s="143">
        <v>6318</v>
      </c>
      <c r="E8" s="140">
        <v>6634</v>
      </c>
      <c r="F8" s="160">
        <f aca="true" t="shared" si="0" ref="F8:F60">E8-D8</f>
        <v>316</v>
      </c>
      <c r="G8" s="161">
        <f aca="true" t="shared" si="1" ref="G8:G60">E8/D8</f>
        <v>1.0500158277936056</v>
      </c>
      <c r="H8" s="141">
        <v>6875</v>
      </c>
      <c r="I8" s="142"/>
      <c r="J8" s="174">
        <f aca="true" t="shared" si="2" ref="J8:J59">H8+I8</f>
        <v>6875</v>
      </c>
      <c r="K8" s="164">
        <f aca="true" t="shared" si="3" ref="K8:K60">J8-E8</f>
        <v>241</v>
      </c>
      <c r="L8" s="165">
        <f aca="true" t="shared" si="4" ref="L8:L60">J8/E8</f>
        <v>1.0363280072354537</v>
      </c>
    </row>
    <row r="9" spans="1:12" ht="14.25">
      <c r="A9" s="465" t="s">
        <v>67</v>
      </c>
      <c r="B9" s="465"/>
      <c r="C9" s="465"/>
      <c r="D9" s="143">
        <v>4711</v>
      </c>
      <c r="E9" s="140">
        <v>5360</v>
      </c>
      <c r="F9" s="160">
        <f t="shared" si="0"/>
        <v>649</v>
      </c>
      <c r="G9" s="161">
        <f t="shared" si="1"/>
        <v>1.1377626830821481</v>
      </c>
      <c r="H9" s="141">
        <v>4850</v>
      </c>
      <c r="I9" s="142"/>
      <c r="J9" s="174">
        <f t="shared" si="2"/>
        <v>4850</v>
      </c>
      <c r="K9" s="164">
        <f t="shared" si="3"/>
        <v>-510</v>
      </c>
      <c r="L9" s="165">
        <f t="shared" si="4"/>
        <v>0.9048507462686567</v>
      </c>
    </row>
    <row r="10" spans="1:12" ht="14.25">
      <c r="A10" s="465" t="s">
        <v>68</v>
      </c>
      <c r="B10" s="465"/>
      <c r="C10" s="465"/>
      <c r="D10" s="143">
        <v>0</v>
      </c>
      <c r="E10" s="140">
        <v>0</v>
      </c>
      <c r="F10" s="160">
        <f t="shared" si="0"/>
        <v>0</v>
      </c>
      <c r="G10" s="161"/>
      <c r="H10" s="141">
        <v>0</v>
      </c>
      <c r="I10" s="142"/>
      <c r="J10" s="174">
        <f t="shared" si="2"/>
        <v>0</v>
      </c>
      <c r="K10" s="164">
        <f t="shared" si="3"/>
        <v>0</v>
      </c>
      <c r="L10" s="165"/>
    </row>
    <row r="11" spans="1:12" ht="14.25">
      <c r="A11" s="465" t="s">
        <v>69</v>
      </c>
      <c r="B11" s="465"/>
      <c r="C11" s="465"/>
      <c r="D11" s="143">
        <v>776</v>
      </c>
      <c r="E11" s="140">
        <v>784</v>
      </c>
      <c r="F11" s="160">
        <f t="shared" si="0"/>
        <v>8</v>
      </c>
      <c r="G11" s="161">
        <f t="shared" si="1"/>
        <v>1.0103092783505154</v>
      </c>
      <c r="H11" s="141">
        <v>780</v>
      </c>
      <c r="I11" s="142"/>
      <c r="J11" s="174">
        <f t="shared" si="2"/>
        <v>780</v>
      </c>
      <c r="K11" s="164">
        <f t="shared" si="3"/>
        <v>-4</v>
      </c>
      <c r="L11" s="165">
        <f t="shared" si="4"/>
        <v>0.9948979591836735</v>
      </c>
    </row>
    <row r="12" spans="1:12" ht="14.25">
      <c r="A12" s="465" t="s">
        <v>70</v>
      </c>
      <c r="B12" s="465"/>
      <c r="C12" s="465"/>
      <c r="D12" s="143">
        <v>301</v>
      </c>
      <c r="E12" s="140">
        <v>317</v>
      </c>
      <c r="F12" s="160">
        <f t="shared" si="0"/>
        <v>16</v>
      </c>
      <c r="G12" s="161">
        <f t="shared" si="1"/>
        <v>1.053156146179402</v>
      </c>
      <c r="H12" s="141">
        <v>330</v>
      </c>
      <c r="I12" s="142"/>
      <c r="J12" s="174">
        <f t="shared" si="2"/>
        <v>330</v>
      </c>
      <c r="K12" s="164">
        <f t="shared" si="3"/>
        <v>13</v>
      </c>
      <c r="L12" s="165">
        <f t="shared" si="4"/>
        <v>1.0410094637223974</v>
      </c>
    </row>
    <row r="13" spans="1:12" ht="14.25">
      <c r="A13" s="465" t="s">
        <v>71</v>
      </c>
      <c r="B13" s="465"/>
      <c r="C13" s="465"/>
      <c r="D13" s="143">
        <v>0</v>
      </c>
      <c r="E13" s="140">
        <v>0</v>
      </c>
      <c r="F13" s="160">
        <f t="shared" si="0"/>
        <v>0</v>
      </c>
      <c r="G13" s="161"/>
      <c r="H13" s="141">
        <v>0</v>
      </c>
      <c r="I13" s="142"/>
      <c r="J13" s="174">
        <f t="shared" si="2"/>
        <v>0</v>
      </c>
      <c r="K13" s="164">
        <f t="shared" si="3"/>
        <v>0</v>
      </c>
      <c r="L13" s="165"/>
    </row>
    <row r="14" spans="1:20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>
        <v>0</v>
      </c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>
        <v>0</v>
      </c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36</v>
      </c>
      <c r="E16" s="140">
        <v>188</v>
      </c>
      <c r="F16" s="160">
        <f t="shared" si="0"/>
        <v>152</v>
      </c>
      <c r="G16" s="161">
        <f t="shared" si="1"/>
        <v>5.222222222222222</v>
      </c>
      <c r="H16" s="141">
        <v>680</v>
      </c>
      <c r="I16" s="142"/>
      <c r="J16" s="174">
        <f t="shared" si="2"/>
        <v>680</v>
      </c>
      <c r="K16" s="164">
        <f t="shared" si="3"/>
        <v>492</v>
      </c>
      <c r="L16" s="165">
        <f t="shared" si="4"/>
        <v>3.617021276595745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4</v>
      </c>
      <c r="E17" s="140">
        <v>174</v>
      </c>
      <c r="F17" s="160">
        <f t="shared" si="0"/>
        <v>170</v>
      </c>
      <c r="G17" s="161">
        <f t="shared" si="1"/>
        <v>43.5</v>
      </c>
      <c r="H17" s="141">
        <v>660</v>
      </c>
      <c r="I17" s="142"/>
      <c r="J17" s="174">
        <f t="shared" si="2"/>
        <v>660</v>
      </c>
      <c r="K17" s="164">
        <f t="shared" si="3"/>
        <v>486</v>
      </c>
      <c r="L17" s="165">
        <f t="shared" si="4"/>
        <v>3.793103448275862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>
        <v>0</v>
      </c>
      <c r="E18" s="140">
        <v>0</v>
      </c>
      <c r="F18" s="160">
        <f t="shared" si="0"/>
        <v>0</v>
      </c>
      <c r="G18" s="161"/>
      <c r="H18" s="141">
        <v>0</v>
      </c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>
        <v>0</v>
      </c>
      <c r="E19" s="140">
        <v>0</v>
      </c>
      <c r="F19" s="160">
        <f t="shared" si="0"/>
        <v>0</v>
      </c>
      <c r="G19" s="161"/>
      <c r="H19" s="141">
        <v>0</v>
      </c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>
        <v>0</v>
      </c>
      <c r="E20" s="140">
        <v>0</v>
      </c>
      <c r="F20" s="160">
        <f t="shared" si="0"/>
        <v>0</v>
      </c>
      <c r="G20" s="161"/>
      <c r="H20" s="141">
        <v>0</v>
      </c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>
        <v>0</v>
      </c>
      <c r="E21" s="140">
        <v>0</v>
      </c>
      <c r="F21" s="160">
        <f t="shared" si="0"/>
        <v>0</v>
      </c>
      <c r="G21" s="161"/>
      <c r="H21" s="141">
        <v>0</v>
      </c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9699</v>
      </c>
      <c r="E22" s="177">
        <v>9350</v>
      </c>
      <c r="F22" s="160">
        <f t="shared" si="0"/>
        <v>-349</v>
      </c>
      <c r="G22" s="161">
        <f t="shared" si="1"/>
        <v>0.9640169089596866</v>
      </c>
      <c r="H22" s="172">
        <v>8351</v>
      </c>
      <c r="I22" s="173"/>
      <c r="J22" s="174">
        <f t="shared" si="2"/>
        <v>8351</v>
      </c>
      <c r="K22" s="164">
        <f t="shared" si="3"/>
        <v>-999</v>
      </c>
      <c r="L22" s="165">
        <f t="shared" si="4"/>
        <v>0.8931550802139038</v>
      </c>
    </row>
    <row r="23" spans="1:12" ht="14.25">
      <c r="A23" s="456" t="s">
        <v>81</v>
      </c>
      <c r="B23" s="456"/>
      <c r="C23" s="456"/>
      <c r="D23" s="143">
        <v>1539</v>
      </c>
      <c r="E23" s="140">
        <v>915</v>
      </c>
      <c r="F23" s="160">
        <f t="shared" si="0"/>
        <v>-624</v>
      </c>
      <c r="G23" s="161">
        <f t="shared" si="1"/>
        <v>0.594541910331384</v>
      </c>
      <c r="H23" s="141">
        <v>1401</v>
      </c>
      <c r="I23" s="142"/>
      <c r="J23" s="174">
        <f t="shared" si="2"/>
        <v>1401</v>
      </c>
      <c r="K23" s="164">
        <f t="shared" si="3"/>
        <v>486</v>
      </c>
      <c r="L23" s="165">
        <f t="shared" si="4"/>
        <v>1.5311475409836066</v>
      </c>
    </row>
    <row r="24" spans="1:12" ht="14.25">
      <c r="A24" s="456" t="s">
        <v>82</v>
      </c>
      <c r="B24" s="456"/>
      <c r="C24" s="456"/>
      <c r="D24" s="143">
        <v>8160</v>
      </c>
      <c r="E24" s="140">
        <v>8435</v>
      </c>
      <c r="F24" s="160">
        <f t="shared" si="0"/>
        <v>275</v>
      </c>
      <c r="G24" s="161">
        <f t="shared" si="1"/>
        <v>1.0337009803921569</v>
      </c>
      <c r="H24" s="141">
        <v>6950</v>
      </c>
      <c r="I24" s="142"/>
      <c r="J24" s="174">
        <f t="shared" si="2"/>
        <v>6950</v>
      </c>
      <c r="K24" s="164">
        <f t="shared" si="3"/>
        <v>-1485</v>
      </c>
      <c r="L24" s="165">
        <f t="shared" si="4"/>
        <v>0.8239478363959691</v>
      </c>
    </row>
    <row r="25" spans="1:12" ht="14.25">
      <c r="A25" s="456" t="s">
        <v>83</v>
      </c>
      <c r="B25" s="456"/>
      <c r="C25" s="456"/>
      <c r="D25" s="143">
        <v>0</v>
      </c>
      <c r="E25" s="140">
        <v>0</v>
      </c>
      <c r="F25" s="160">
        <f t="shared" si="0"/>
        <v>0</v>
      </c>
      <c r="G25" s="161"/>
      <c r="H25" s="141">
        <v>0</v>
      </c>
      <c r="I25" s="142"/>
      <c r="J25" s="174">
        <f t="shared" si="2"/>
        <v>0</v>
      </c>
      <c r="K25" s="164">
        <f t="shared" si="3"/>
        <v>0</v>
      </c>
      <c r="L25" s="165"/>
    </row>
    <row r="26" spans="1:12" ht="15" thickBot="1">
      <c r="A26" s="494" t="s">
        <v>118</v>
      </c>
      <c r="B26" s="494"/>
      <c r="C26" s="494"/>
      <c r="D26" s="159">
        <v>0</v>
      </c>
      <c r="E26" s="148">
        <v>0</v>
      </c>
      <c r="F26" s="162">
        <f t="shared" si="0"/>
        <v>0</v>
      </c>
      <c r="G26" s="163"/>
      <c r="H26" s="145">
        <v>0</v>
      </c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21841</v>
      </c>
      <c r="E27" s="180">
        <v>22633</v>
      </c>
      <c r="F27" s="181">
        <f t="shared" si="0"/>
        <v>792</v>
      </c>
      <c r="G27" s="182">
        <f t="shared" si="1"/>
        <v>1.0362620759122751</v>
      </c>
      <c r="H27" s="183">
        <v>21866</v>
      </c>
      <c r="I27" s="184"/>
      <c r="J27" s="185">
        <f t="shared" si="2"/>
        <v>21866</v>
      </c>
      <c r="K27" s="183">
        <f t="shared" si="3"/>
        <v>-767</v>
      </c>
      <c r="L27" s="186">
        <f t="shared" si="4"/>
        <v>0.9661114302125215</v>
      </c>
    </row>
    <row r="28" spans="1:12" ht="14.25">
      <c r="A28" s="495" t="s">
        <v>85</v>
      </c>
      <c r="B28" s="495"/>
      <c r="C28" s="495"/>
      <c r="D28" s="187">
        <v>3890</v>
      </c>
      <c r="E28" s="188">
        <v>3872</v>
      </c>
      <c r="F28" s="189">
        <f t="shared" si="0"/>
        <v>-18</v>
      </c>
      <c r="G28" s="190">
        <f t="shared" si="1"/>
        <v>0.9953727506426735</v>
      </c>
      <c r="H28" s="191">
        <v>3700</v>
      </c>
      <c r="I28" s="192"/>
      <c r="J28" s="193">
        <f t="shared" si="2"/>
        <v>3700</v>
      </c>
      <c r="K28" s="194">
        <f t="shared" si="3"/>
        <v>-172</v>
      </c>
      <c r="L28" s="195">
        <f t="shared" si="4"/>
        <v>0.9555785123966942</v>
      </c>
    </row>
    <row r="29" spans="1:12" ht="14.25">
      <c r="A29" s="441" t="s">
        <v>86</v>
      </c>
      <c r="B29" s="441"/>
      <c r="C29" s="441"/>
      <c r="D29" s="143">
        <v>2226</v>
      </c>
      <c r="E29" s="140">
        <v>2292</v>
      </c>
      <c r="F29" s="160">
        <f t="shared" si="0"/>
        <v>66</v>
      </c>
      <c r="G29" s="161">
        <f t="shared" si="1"/>
        <v>1.0296495956873315</v>
      </c>
      <c r="H29" s="141">
        <v>2350</v>
      </c>
      <c r="I29" s="142"/>
      <c r="J29" s="174">
        <f t="shared" si="2"/>
        <v>2350</v>
      </c>
      <c r="K29" s="164">
        <f t="shared" si="3"/>
        <v>58</v>
      </c>
      <c r="L29" s="165">
        <f t="shared" si="4"/>
        <v>1.0253054101221641</v>
      </c>
    </row>
    <row r="30" spans="1:12" ht="14.25">
      <c r="A30" s="441" t="s">
        <v>87</v>
      </c>
      <c r="B30" s="441"/>
      <c r="C30" s="441"/>
      <c r="D30" s="143">
        <v>50</v>
      </c>
      <c r="E30" s="140">
        <v>64</v>
      </c>
      <c r="F30" s="160">
        <f t="shared" si="0"/>
        <v>14</v>
      </c>
      <c r="G30" s="161">
        <f t="shared" si="1"/>
        <v>1.28</v>
      </c>
      <c r="H30" s="141">
        <v>70</v>
      </c>
      <c r="I30" s="142"/>
      <c r="J30" s="174">
        <f t="shared" si="2"/>
        <v>70</v>
      </c>
      <c r="K30" s="164">
        <f t="shared" si="3"/>
        <v>6</v>
      </c>
      <c r="L30" s="165">
        <f t="shared" si="4"/>
        <v>1.09375</v>
      </c>
    </row>
    <row r="31" spans="1:12" ht="14.25">
      <c r="A31" s="441" t="s">
        <v>88</v>
      </c>
      <c r="B31" s="441"/>
      <c r="C31" s="441"/>
      <c r="D31" s="143">
        <v>402</v>
      </c>
      <c r="E31" s="140">
        <v>585</v>
      </c>
      <c r="F31" s="160">
        <f t="shared" si="0"/>
        <v>183</v>
      </c>
      <c r="G31" s="161">
        <f t="shared" si="1"/>
        <v>1.455223880597015</v>
      </c>
      <c r="H31" s="141">
        <v>350</v>
      </c>
      <c r="I31" s="142"/>
      <c r="J31" s="174">
        <f t="shared" si="2"/>
        <v>350</v>
      </c>
      <c r="K31" s="164">
        <f t="shared" si="3"/>
        <v>-235</v>
      </c>
      <c r="L31" s="165">
        <f t="shared" si="4"/>
        <v>0.5982905982905983</v>
      </c>
    </row>
    <row r="32" spans="1:12" ht="14.25">
      <c r="A32" s="441" t="s">
        <v>89</v>
      </c>
      <c r="B32" s="441"/>
      <c r="C32" s="441"/>
      <c r="D32" s="143">
        <v>1212</v>
      </c>
      <c r="E32" s="140">
        <v>931</v>
      </c>
      <c r="F32" s="160">
        <f t="shared" si="0"/>
        <v>-281</v>
      </c>
      <c r="G32" s="161">
        <f t="shared" si="1"/>
        <v>0.7681518151815182</v>
      </c>
      <c r="H32" s="141">
        <v>930</v>
      </c>
      <c r="I32" s="142"/>
      <c r="J32" s="174">
        <f t="shared" si="2"/>
        <v>930</v>
      </c>
      <c r="K32" s="164">
        <f t="shared" si="3"/>
        <v>-1</v>
      </c>
      <c r="L32" s="165">
        <f t="shared" si="4"/>
        <v>0.9989258861439313</v>
      </c>
    </row>
    <row r="33" spans="1:12" ht="14.25">
      <c r="A33" s="441" t="s">
        <v>90</v>
      </c>
      <c r="B33" s="441"/>
      <c r="C33" s="441"/>
      <c r="D33" s="143">
        <v>0</v>
      </c>
      <c r="E33" s="140">
        <v>0</v>
      </c>
      <c r="F33" s="160">
        <f t="shared" si="0"/>
        <v>0</v>
      </c>
      <c r="G33" s="161"/>
      <c r="H33" s="141">
        <v>0</v>
      </c>
      <c r="I33" s="142"/>
      <c r="J33" s="174">
        <f t="shared" si="2"/>
        <v>0</v>
      </c>
      <c r="K33" s="164">
        <f t="shared" si="3"/>
        <v>0</v>
      </c>
      <c r="L33" s="165"/>
    </row>
    <row r="34" spans="1:12" ht="14.25">
      <c r="A34" s="441" t="s">
        <v>91</v>
      </c>
      <c r="B34" s="441"/>
      <c r="C34" s="441"/>
      <c r="D34" s="196">
        <v>1386</v>
      </c>
      <c r="E34" s="177">
        <v>1310</v>
      </c>
      <c r="F34" s="197">
        <f t="shared" si="0"/>
        <v>-76</v>
      </c>
      <c r="G34" s="198">
        <f t="shared" si="1"/>
        <v>0.9451659451659452</v>
      </c>
      <c r="H34" s="172">
        <v>1340</v>
      </c>
      <c r="I34" s="173"/>
      <c r="J34" s="174">
        <f t="shared" si="2"/>
        <v>1340</v>
      </c>
      <c r="K34" s="199">
        <f t="shared" si="3"/>
        <v>30</v>
      </c>
      <c r="L34" s="200">
        <f t="shared" si="4"/>
        <v>1.0229007633587786</v>
      </c>
    </row>
    <row r="35" spans="1:12" ht="14.25">
      <c r="A35" s="441" t="s">
        <v>92</v>
      </c>
      <c r="B35" s="441"/>
      <c r="C35" s="441"/>
      <c r="D35" s="143">
        <v>677</v>
      </c>
      <c r="E35" s="140">
        <v>554</v>
      </c>
      <c r="F35" s="160">
        <f t="shared" si="0"/>
        <v>-123</v>
      </c>
      <c r="G35" s="161">
        <f t="shared" si="1"/>
        <v>0.8183161004431314</v>
      </c>
      <c r="H35" s="141">
        <v>560</v>
      </c>
      <c r="I35" s="142"/>
      <c r="J35" s="174">
        <f t="shared" si="2"/>
        <v>560</v>
      </c>
      <c r="K35" s="164">
        <f t="shared" si="3"/>
        <v>6</v>
      </c>
      <c r="L35" s="165">
        <f t="shared" si="4"/>
        <v>1.0108303249097472</v>
      </c>
    </row>
    <row r="36" spans="1:12" ht="14.25">
      <c r="A36" s="441" t="s">
        <v>93</v>
      </c>
      <c r="B36" s="441"/>
      <c r="C36" s="441"/>
      <c r="D36" s="143">
        <v>635</v>
      </c>
      <c r="E36" s="140">
        <v>677</v>
      </c>
      <c r="F36" s="160">
        <f t="shared" si="0"/>
        <v>42</v>
      </c>
      <c r="G36" s="161">
        <f t="shared" si="1"/>
        <v>1.0661417322834645</v>
      </c>
      <c r="H36" s="141">
        <v>700</v>
      </c>
      <c r="I36" s="142"/>
      <c r="J36" s="174">
        <f t="shared" si="2"/>
        <v>700</v>
      </c>
      <c r="K36" s="164">
        <f t="shared" si="3"/>
        <v>23</v>
      </c>
      <c r="L36" s="165">
        <f t="shared" si="4"/>
        <v>1.03397341211226</v>
      </c>
    </row>
    <row r="37" spans="1:12" ht="14.25">
      <c r="A37" s="441" t="s">
        <v>94</v>
      </c>
      <c r="B37" s="441"/>
      <c r="C37" s="441"/>
      <c r="D37" s="143">
        <v>0</v>
      </c>
      <c r="E37" s="140">
        <v>0</v>
      </c>
      <c r="F37" s="160">
        <f t="shared" si="0"/>
        <v>0</v>
      </c>
      <c r="G37" s="161"/>
      <c r="H37" s="141">
        <v>0</v>
      </c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>
        <v>0</v>
      </c>
      <c r="E38" s="140">
        <v>0</v>
      </c>
      <c r="F38" s="160">
        <f t="shared" si="0"/>
        <v>0</v>
      </c>
      <c r="G38" s="161"/>
      <c r="H38" s="141">
        <v>0</v>
      </c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74</v>
      </c>
      <c r="E39" s="140">
        <v>79</v>
      </c>
      <c r="F39" s="160">
        <f t="shared" si="0"/>
        <v>5</v>
      </c>
      <c r="G39" s="161">
        <f t="shared" si="1"/>
        <v>1.0675675675675675</v>
      </c>
      <c r="H39" s="141">
        <v>80</v>
      </c>
      <c r="I39" s="142"/>
      <c r="J39" s="174">
        <f t="shared" si="2"/>
        <v>80</v>
      </c>
      <c r="K39" s="164">
        <f t="shared" si="3"/>
        <v>1</v>
      </c>
      <c r="L39" s="165">
        <f t="shared" si="4"/>
        <v>1.0126582278481013</v>
      </c>
    </row>
    <row r="40" spans="1:12" ht="14.25">
      <c r="A40" s="441" t="s">
        <v>97</v>
      </c>
      <c r="B40" s="441"/>
      <c r="C40" s="441"/>
      <c r="D40" s="143">
        <v>0</v>
      </c>
      <c r="E40" s="140">
        <v>0</v>
      </c>
      <c r="F40" s="160">
        <f t="shared" si="0"/>
        <v>0</v>
      </c>
      <c r="G40" s="161"/>
      <c r="H40" s="141">
        <v>0</v>
      </c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1247</v>
      </c>
      <c r="E41" s="140">
        <v>1308</v>
      </c>
      <c r="F41" s="160">
        <f t="shared" si="0"/>
        <v>61</v>
      </c>
      <c r="G41" s="161">
        <f t="shared" si="1"/>
        <v>1.0489174017642342</v>
      </c>
      <c r="H41" s="141">
        <v>775</v>
      </c>
      <c r="I41" s="142"/>
      <c r="J41" s="174">
        <v>775</v>
      </c>
      <c r="K41" s="164">
        <f t="shared" si="3"/>
        <v>-533</v>
      </c>
      <c r="L41" s="165">
        <f t="shared" si="4"/>
        <v>0.5925076452599388</v>
      </c>
    </row>
    <row r="42" spans="1:12" ht="14.25">
      <c r="A42" s="441" t="s">
        <v>99</v>
      </c>
      <c r="B42" s="441"/>
      <c r="C42" s="441"/>
      <c r="D42" s="143">
        <v>24</v>
      </c>
      <c r="E42" s="140">
        <v>66</v>
      </c>
      <c r="F42" s="160">
        <f t="shared" si="0"/>
        <v>42</v>
      </c>
      <c r="G42" s="161">
        <f t="shared" si="1"/>
        <v>2.75</v>
      </c>
      <c r="H42" s="141">
        <v>70</v>
      </c>
      <c r="I42" s="142"/>
      <c r="J42" s="174">
        <f t="shared" si="2"/>
        <v>70</v>
      </c>
      <c r="K42" s="164">
        <f t="shared" si="3"/>
        <v>4</v>
      </c>
      <c r="L42" s="165">
        <f t="shared" si="4"/>
        <v>1.0606060606060606</v>
      </c>
    </row>
    <row r="43" spans="1:12" ht="14.25">
      <c r="A43" s="441" t="s">
        <v>100</v>
      </c>
      <c r="B43" s="441"/>
      <c r="C43" s="441"/>
      <c r="D43" s="143">
        <v>5</v>
      </c>
      <c r="E43" s="140">
        <v>5</v>
      </c>
      <c r="F43" s="160">
        <f t="shared" si="0"/>
        <v>0</v>
      </c>
      <c r="G43" s="161">
        <f t="shared" si="1"/>
        <v>1</v>
      </c>
      <c r="H43" s="141">
        <v>5</v>
      </c>
      <c r="I43" s="142"/>
      <c r="J43" s="174">
        <f t="shared" si="2"/>
        <v>5</v>
      </c>
      <c r="K43" s="164">
        <f t="shared" si="3"/>
        <v>0</v>
      </c>
      <c r="L43" s="165">
        <f t="shared" si="4"/>
        <v>1</v>
      </c>
    </row>
    <row r="44" spans="1:12" ht="14.25">
      <c r="A44" s="441" t="s">
        <v>101</v>
      </c>
      <c r="B44" s="441"/>
      <c r="C44" s="441"/>
      <c r="D44" s="143">
        <v>888</v>
      </c>
      <c r="E44" s="140">
        <v>916</v>
      </c>
      <c r="F44" s="160">
        <f t="shared" si="0"/>
        <v>28</v>
      </c>
      <c r="G44" s="161">
        <f t="shared" si="1"/>
        <v>1.0315315315315314</v>
      </c>
      <c r="H44" s="141">
        <v>920</v>
      </c>
      <c r="I44" s="142"/>
      <c r="J44" s="174">
        <f t="shared" si="2"/>
        <v>920</v>
      </c>
      <c r="K44" s="164">
        <f t="shared" si="3"/>
        <v>4</v>
      </c>
      <c r="L44" s="165">
        <f t="shared" si="4"/>
        <v>1.0043668122270741</v>
      </c>
    </row>
    <row r="45" spans="1:15" ht="14.25">
      <c r="A45" s="441" t="s">
        <v>102</v>
      </c>
      <c r="B45" s="441"/>
      <c r="C45" s="441"/>
      <c r="D45" s="143">
        <v>79</v>
      </c>
      <c r="E45" s="140">
        <v>58</v>
      </c>
      <c r="F45" s="160">
        <f t="shared" si="0"/>
        <v>-21</v>
      </c>
      <c r="G45" s="161">
        <f t="shared" si="1"/>
        <v>0.7341772151898734</v>
      </c>
      <c r="H45" s="141">
        <v>60</v>
      </c>
      <c r="I45" s="142"/>
      <c r="J45" s="174">
        <f t="shared" si="2"/>
        <v>60</v>
      </c>
      <c r="K45" s="164">
        <f t="shared" si="3"/>
        <v>2</v>
      </c>
      <c r="L45" s="165">
        <f t="shared" si="4"/>
        <v>1.0344827586206897</v>
      </c>
      <c r="O45" s="147"/>
    </row>
    <row r="46" spans="1:12" ht="14.25">
      <c r="A46" s="441" t="s">
        <v>103</v>
      </c>
      <c r="B46" s="441"/>
      <c r="C46" s="441"/>
      <c r="D46" s="143">
        <v>6</v>
      </c>
      <c r="E46" s="140">
        <v>6</v>
      </c>
      <c r="F46" s="160">
        <f t="shared" si="0"/>
        <v>0</v>
      </c>
      <c r="G46" s="161">
        <f t="shared" si="1"/>
        <v>1</v>
      </c>
      <c r="H46" s="141">
        <v>0</v>
      </c>
      <c r="I46" s="142"/>
      <c r="J46" s="174">
        <f t="shared" si="2"/>
        <v>0</v>
      </c>
      <c r="K46" s="164">
        <f t="shared" si="3"/>
        <v>-6</v>
      </c>
      <c r="L46" s="165">
        <f t="shared" si="4"/>
        <v>0</v>
      </c>
    </row>
    <row r="47" spans="1:12" ht="14.25">
      <c r="A47" s="441" t="s">
        <v>104</v>
      </c>
      <c r="B47" s="441"/>
      <c r="C47" s="441"/>
      <c r="D47" s="143">
        <v>803</v>
      </c>
      <c r="E47" s="140">
        <v>852</v>
      </c>
      <c r="F47" s="160">
        <f t="shared" si="0"/>
        <v>49</v>
      </c>
      <c r="G47" s="161">
        <f t="shared" si="1"/>
        <v>1.0610211706102117</v>
      </c>
      <c r="H47" s="141">
        <v>860</v>
      </c>
      <c r="I47" s="142"/>
      <c r="J47" s="174">
        <f t="shared" si="2"/>
        <v>860</v>
      </c>
      <c r="K47" s="164">
        <f t="shared" si="3"/>
        <v>8</v>
      </c>
      <c r="L47" s="165">
        <f t="shared" si="4"/>
        <v>1.0093896713615023</v>
      </c>
    </row>
    <row r="48" spans="1:12" ht="14.25">
      <c r="A48" s="441" t="s">
        <v>105</v>
      </c>
      <c r="B48" s="441"/>
      <c r="C48" s="441"/>
      <c r="D48" s="196">
        <v>13847</v>
      </c>
      <c r="E48" s="177">
        <v>14521</v>
      </c>
      <c r="F48" s="197">
        <f t="shared" si="0"/>
        <v>674</v>
      </c>
      <c r="G48" s="198">
        <f t="shared" si="1"/>
        <v>1.0486748032064708</v>
      </c>
      <c r="H48" s="172">
        <v>14518</v>
      </c>
      <c r="I48" s="173"/>
      <c r="J48" s="174">
        <f t="shared" si="2"/>
        <v>14518</v>
      </c>
      <c r="K48" s="199">
        <f t="shared" si="3"/>
        <v>-3</v>
      </c>
      <c r="L48" s="200">
        <f t="shared" si="4"/>
        <v>0.9997934026582191</v>
      </c>
    </row>
    <row r="49" spans="1:12" ht="14.25">
      <c r="A49" s="441" t="s">
        <v>106</v>
      </c>
      <c r="B49" s="441"/>
      <c r="C49" s="441"/>
      <c r="D49" s="143">
        <v>10332</v>
      </c>
      <c r="E49" s="140">
        <v>10703</v>
      </c>
      <c r="F49" s="160">
        <f t="shared" si="0"/>
        <v>371</v>
      </c>
      <c r="G49" s="161">
        <f t="shared" si="1"/>
        <v>1.0359078590785908</v>
      </c>
      <c r="H49" s="141">
        <v>10703</v>
      </c>
      <c r="I49" s="142"/>
      <c r="J49" s="174">
        <f t="shared" si="2"/>
        <v>10703</v>
      </c>
      <c r="K49" s="164">
        <f t="shared" si="3"/>
        <v>0</v>
      </c>
      <c r="L49" s="165">
        <f t="shared" si="4"/>
        <v>1</v>
      </c>
    </row>
    <row r="50" spans="1:12" ht="14.25">
      <c r="A50" s="441" t="s">
        <v>107</v>
      </c>
      <c r="B50" s="441"/>
      <c r="C50" s="441"/>
      <c r="D50" s="143">
        <v>10055</v>
      </c>
      <c r="E50" s="140">
        <v>10403</v>
      </c>
      <c r="F50" s="160">
        <f t="shared" si="0"/>
        <v>348</v>
      </c>
      <c r="G50" s="161">
        <f t="shared" si="1"/>
        <v>1.03460964694182</v>
      </c>
      <c r="H50" s="141">
        <v>10403</v>
      </c>
      <c r="I50" s="142"/>
      <c r="J50" s="174">
        <f t="shared" si="2"/>
        <v>10403</v>
      </c>
      <c r="K50" s="164">
        <f t="shared" si="3"/>
        <v>0</v>
      </c>
      <c r="L50" s="165">
        <f t="shared" si="4"/>
        <v>1</v>
      </c>
    </row>
    <row r="51" spans="1:12" ht="14.25">
      <c r="A51" s="441" t="s">
        <v>108</v>
      </c>
      <c r="B51" s="441"/>
      <c r="C51" s="441"/>
      <c r="D51" s="143">
        <v>277</v>
      </c>
      <c r="E51" s="140">
        <v>300</v>
      </c>
      <c r="F51" s="160">
        <f t="shared" si="0"/>
        <v>23</v>
      </c>
      <c r="G51" s="161">
        <f t="shared" si="1"/>
        <v>1.0830324909747293</v>
      </c>
      <c r="H51" s="141">
        <v>300</v>
      </c>
      <c r="I51" s="142"/>
      <c r="J51" s="174">
        <f t="shared" si="2"/>
        <v>300</v>
      </c>
      <c r="K51" s="164">
        <f t="shared" si="3"/>
        <v>0</v>
      </c>
      <c r="L51" s="165">
        <f t="shared" si="4"/>
        <v>1</v>
      </c>
    </row>
    <row r="52" spans="1:12" ht="14.25">
      <c r="A52" s="441" t="s">
        <v>109</v>
      </c>
      <c r="B52" s="441"/>
      <c r="C52" s="441"/>
      <c r="D52" s="143">
        <v>3515</v>
      </c>
      <c r="E52" s="140">
        <v>3818</v>
      </c>
      <c r="F52" s="160">
        <f t="shared" si="0"/>
        <v>303</v>
      </c>
      <c r="G52" s="161">
        <f t="shared" si="1"/>
        <v>1.0862019914651493</v>
      </c>
      <c r="H52" s="141">
        <v>3815</v>
      </c>
      <c r="I52" s="142"/>
      <c r="J52" s="174">
        <f t="shared" si="2"/>
        <v>3815</v>
      </c>
      <c r="K52" s="164">
        <f t="shared" si="3"/>
        <v>-3</v>
      </c>
      <c r="L52" s="165">
        <f t="shared" si="4"/>
        <v>0.999214248297538</v>
      </c>
    </row>
    <row r="53" spans="1:12" ht="14.25">
      <c r="A53" s="441" t="s">
        <v>110</v>
      </c>
      <c r="B53" s="441"/>
      <c r="C53" s="441"/>
      <c r="D53" s="143">
        <v>0</v>
      </c>
      <c r="E53" s="140">
        <v>0</v>
      </c>
      <c r="F53" s="160">
        <f t="shared" si="0"/>
        <v>0</v>
      </c>
      <c r="G53" s="161"/>
      <c r="H53" s="141">
        <v>0</v>
      </c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>
        <v>18</v>
      </c>
      <c r="E54" s="140">
        <v>18</v>
      </c>
      <c r="F54" s="160">
        <f t="shared" si="0"/>
        <v>0</v>
      </c>
      <c r="G54" s="161">
        <f t="shared" si="1"/>
        <v>1</v>
      </c>
      <c r="H54" s="141">
        <v>20</v>
      </c>
      <c r="I54" s="142"/>
      <c r="J54" s="174">
        <f t="shared" si="2"/>
        <v>20</v>
      </c>
      <c r="K54" s="164">
        <f t="shared" si="3"/>
        <v>2</v>
      </c>
      <c r="L54" s="165">
        <f t="shared" si="4"/>
        <v>1.1111111111111112</v>
      </c>
    </row>
    <row r="55" spans="1:12" ht="14.25">
      <c r="A55" s="441" t="s">
        <v>112</v>
      </c>
      <c r="B55" s="441"/>
      <c r="C55" s="441"/>
      <c r="D55" s="143">
        <v>78</v>
      </c>
      <c r="E55" s="140">
        <v>139</v>
      </c>
      <c r="F55" s="160">
        <f t="shared" si="0"/>
        <v>61</v>
      </c>
      <c r="G55" s="161">
        <f t="shared" si="1"/>
        <v>1.7820512820512822</v>
      </c>
      <c r="H55" s="141">
        <v>150</v>
      </c>
      <c r="I55" s="142"/>
      <c r="J55" s="174">
        <f t="shared" si="2"/>
        <v>150</v>
      </c>
      <c r="K55" s="164">
        <f t="shared" si="3"/>
        <v>11</v>
      </c>
      <c r="L55" s="165">
        <f t="shared" si="4"/>
        <v>1.079136690647482</v>
      </c>
    </row>
    <row r="56" spans="1:12" ht="14.25">
      <c r="A56" s="441" t="s">
        <v>113</v>
      </c>
      <c r="B56" s="441"/>
      <c r="C56" s="441"/>
      <c r="D56" s="143">
        <v>0</v>
      </c>
      <c r="E56" s="140">
        <v>0</v>
      </c>
      <c r="F56" s="160">
        <f t="shared" si="0"/>
        <v>0</v>
      </c>
      <c r="G56" s="161"/>
      <c r="H56" s="141">
        <v>0</v>
      </c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357</v>
      </c>
      <c r="E57" s="140">
        <v>374</v>
      </c>
      <c r="F57" s="160">
        <f t="shared" si="0"/>
        <v>17</v>
      </c>
      <c r="G57" s="161">
        <f t="shared" si="1"/>
        <v>1.0476190476190477</v>
      </c>
      <c r="H57" s="141">
        <v>368</v>
      </c>
      <c r="I57" s="142"/>
      <c r="J57" s="174">
        <f t="shared" si="2"/>
        <v>368</v>
      </c>
      <c r="K57" s="164">
        <f t="shared" si="3"/>
        <v>-6</v>
      </c>
      <c r="L57" s="165">
        <f t="shared" si="4"/>
        <v>0.983957219251337</v>
      </c>
    </row>
    <row r="58" spans="1:12" ht="14.25">
      <c r="A58" s="441" t="s">
        <v>115</v>
      </c>
      <c r="B58" s="441"/>
      <c r="C58" s="441"/>
      <c r="D58" s="143">
        <v>0</v>
      </c>
      <c r="E58" s="140">
        <v>0</v>
      </c>
      <c r="F58" s="160">
        <f t="shared" si="0"/>
        <v>0</v>
      </c>
      <c r="G58" s="161"/>
      <c r="H58" s="141">
        <v>0</v>
      </c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>
        <v>0</v>
      </c>
      <c r="E59" s="148">
        <v>0</v>
      </c>
      <c r="F59" s="162">
        <f t="shared" si="0"/>
        <v>0</v>
      </c>
      <c r="G59" s="163"/>
      <c r="H59" s="145">
        <v>0</v>
      </c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21740</v>
      </c>
      <c r="E60" s="180">
        <v>22529</v>
      </c>
      <c r="F60" s="181">
        <f t="shared" si="0"/>
        <v>789</v>
      </c>
      <c r="G60" s="182">
        <f t="shared" si="1"/>
        <v>1.036292548298068</v>
      </c>
      <c r="H60" s="183">
        <v>21866</v>
      </c>
      <c r="I60" s="184"/>
      <c r="J60" s="185">
        <v>21866</v>
      </c>
      <c r="K60" s="183">
        <f t="shared" si="3"/>
        <v>-663</v>
      </c>
      <c r="L60" s="186">
        <f t="shared" si="4"/>
        <v>0.9705712637045586</v>
      </c>
    </row>
    <row r="61" spans="1:14" s="6" customFormat="1" ht="15">
      <c r="A61" s="447" t="s">
        <v>17</v>
      </c>
      <c r="B61" s="447"/>
      <c r="C61" s="447"/>
      <c r="D61" s="96">
        <v>101</v>
      </c>
      <c r="E61" s="96">
        <v>104</v>
      </c>
      <c r="F61" s="96"/>
      <c r="G61" s="96"/>
      <c r="H61" s="96">
        <v>0</v>
      </c>
      <c r="I61" s="96"/>
      <c r="J61" s="96">
        <f>J27-J60</f>
        <v>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308</v>
      </c>
      <c r="B67" s="382"/>
      <c r="C67" s="13">
        <v>100</v>
      </c>
      <c r="D67" s="14"/>
      <c r="E67" s="382" t="s">
        <v>309</v>
      </c>
      <c r="F67" s="382"/>
      <c r="G67" s="382"/>
      <c r="H67" s="382"/>
      <c r="I67" s="15">
        <v>250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203</v>
      </c>
      <c r="B68" s="382"/>
      <c r="C68" s="13">
        <v>100</v>
      </c>
      <c r="D68" s="14"/>
      <c r="E68" s="380" t="s">
        <v>204</v>
      </c>
      <c r="F68" s="380"/>
      <c r="G68" s="380"/>
      <c r="H68" s="380"/>
      <c r="I68" s="16">
        <v>200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177</v>
      </c>
      <c r="B69" s="382"/>
      <c r="C69" s="13">
        <v>108</v>
      </c>
      <c r="D69" s="14"/>
      <c r="E69" s="380" t="s">
        <v>310</v>
      </c>
      <c r="F69" s="380"/>
      <c r="G69" s="380"/>
      <c r="H69" s="380"/>
      <c r="I69" s="16">
        <v>150</v>
      </c>
      <c r="J69" s="11"/>
      <c r="K69" s="21" t="s">
        <v>45</v>
      </c>
      <c r="L69" s="22"/>
      <c r="M69" s="23"/>
      <c r="N69" s="24"/>
    </row>
    <row r="70" spans="1:14" s="6" customFormat="1" ht="15">
      <c r="A70" s="382"/>
      <c r="B70" s="382"/>
      <c r="C70" s="13"/>
      <c r="D70" s="14"/>
      <c r="E70" s="380" t="s">
        <v>311</v>
      </c>
      <c r="F70" s="380"/>
      <c r="G70" s="380"/>
      <c r="H70" s="380"/>
      <c r="I70" s="16">
        <v>175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308</v>
      </c>
      <c r="D75" s="36"/>
      <c r="E75" s="404" t="s">
        <v>12</v>
      </c>
      <c r="F75" s="404"/>
      <c r="G75" s="404"/>
      <c r="H75" s="404"/>
      <c r="I75" s="37">
        <f>SUM(I67:I74)</f>
        <v>775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16369</v>
      </c>
      <c r="B81" s="46">
        <v>5801</v>
      </c>
      <c r="C81" s="47">
        <v>368</v>
      </c>
      <c r="D81" s="48">
        <v>139</v>
      </c>
      <c r="E81" s="48">
        <v>114</v>
      </c>
      <c r="F81" s="48">
        <v>6</v>
      </c>
      <c r="G81" s="48">
        <v>7</v>
      </c>
      <c r="H81" s="49">
        <v>102</v>
      </c>
      <c r="I81" s="50"/>
      <c r="J81" s="51">
        <v>10200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2355.11</v>
      </c>
      <c r="C86" s="61" t="s">
        <v>38</v>
      </c>
      <c r="D86" s="62" t="s">
        <v>38</v>
      </c>
      <c r="E86" s="62" t="s">
        <v>38</v>
      </c>
      <c r="F86" s="63"/>
      <c r="G86" s="64">
        <v>1222.47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187.71</v>
      </c>
      <c r="C87" s="71">
        <v>188</v>
      </c>
      <c r="D87" s="72">
        <v>0</v>
      </c>
      <c r="E87" s="72">
        <v>148</v>
      </c>
      <c r="F87" s="73">
        <f>C87+D87-E87</f>
        <v>40</v>
      </c>
      <c r="G87" s="74">
        <v>40.19</v>
      </c>
      <c r="H87" s="75">
        <f>+G87-F87</f>
        <v>0.18999999999999773</v>
      </c>
      <c r="I87" s="71">
        <v>40</v>
      </c>
      <c r="J87" s="72">
        <v>0</v>
      </c>
      <c r="K87" s="72">
        <v>0</v>
      </c>
      <c r="L87" s="73">
        <f>I87+J87-K87</f>
        <v>40</v>
      </c>
      <c r="M87" s="76"/>
    </row>
    <row r="88" spans="1:13" s="10" customFormat="1" ht="15">
      <c r="A88" s="69" t="s">
        <v>40</v>
      </c>
      <c r="B88" s="70">
        <f>513.05</f>
        <v>513.05</v>
      </c>
      <c r="C88" s="71">
        <v>513</v>
      </c>
      <c r="D88" s="72">
        <v>106</v>
      </c>
      <c r="E88" s="72">
        <v>27</v>
      </c>
      <c r="F88" s="73">
        <f>C88+D88-E88</f>
        <v>592</v>
      </c>
      <c r="G88" s="74">
        <f>591.62</f>
        <v>591.62</v>
      </c>
      <c r="H88" s="75">
        <f>+G88-F88</f>
        <v>-0.37999999999999545</v>
      </c>
      <c r="I88" s="71">
        <v>592</v>
      </c>
      <c r="J88" s="72">
        <v>112</v>
      </c>
      <c r="K88" s="72">
        <v>660</v>
      </c>
      <c r="L88" s="73">
        <f>I88+J88-K88</f>
        <v>44</v>
      </c>
      <c r="M88" s="76"/>
    </row>
    <row r="89" spans="1:13" s="10" customFormat="1" ht="15">
      <c r="A89" s="69" t="s">
        <v>44</v>
      </c>
      <c r="B89" s="70">
        <v>242.83</v>
      </c>
      <c r="C89" s="71">
        <v>243</v>
      </c>
      <c r="D89" s="72">
        <v>374</v>
      </c>
      <c r="E89" s="72">
        <v>358</v>
      </c>
      <c r="F89" s="73">
        <f>C89+D89-E89</f>
        <v>259</v>
      </c>
      <c r="G89" s="74">
        <v>259.16</v>
      </c>
      <c r="H89" s="75">
        <f>+G89-F89</f>
        <v>0.160000000000025</v>
      </c>
      <c r="I89" s="77">
        <v>259</v>
      </c>
      <c r="J89" s="78">
        <v>368</v>
      </c>
      <c r="K89" s="78">
        <v>308</v>
      </c>
      <c r="L89" s="73">
        <f>I89+J89-K89</f>
        <v>319</v>
      </c>
      <c r="M89" s="76"/>
    </row>
    <row r="90" spans="1:13" s="10" customFormat="1" ht="15">
      <c r="A90" s="69" t="s">
        <v>41</v>
      </c>
      <c r="B90" s="70">
        <v>1411.52</v>
      </c>
      <c r="C90" s="79" t="s">
        <v>38</v>
      </c>
      <c r="D90" s="62" t="s">
        <v>38</v>
      </c>
      <c r="E90" s="80" t="s">
        <v>38</v>
      </c>
      <c r="F90" s="73"/>
      <c r="G90" s="74">
        <v>331.3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130.61</v>
      </c>
      <c r="C91" s="84">
        <v>148</v>
      </c>
      <c r="D91" s="85">
        <v>208</v>
      </c>
      <c r="E91" s="112">
        <v>172</v>
      </c>
      <c r="F91" s="106">
        <f>C91+D91-E91</f>
        <v>184</v>
      </c>
      <c r="G91" s="109">
        <v>183.89</v>
      </c>
      <c r="H91" s="110">
        <f>+G91-F91</f>
        <v>-0.11000000000001364</v>
      </c>
      <c r="I91" s="111">
        <v>184</v>
      </c>
      <c r="J91" s="112">
        <v>104</v>
      </c>
      <c r="K91" s="112">
        <v>170</v>
      </c>
      <c r="L91" s="106">
        <f>I91+J91-K91</f>
        <v>118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44</v>
      </c>
      <c r="C97" s="91">
        <v>43.61</v>
      </c>
      <c r="D97" s="149"/>
      <c r="E97" s="89">
        <v>2010</v>
      </c>
      <c r="F97" s="418">
        <v>80</v>
      </c>
      <c r="G97" s="418"/>
      <c r="I97" s="89">
        <v>2010</v>
      </c>
      <c r="J97" s="90">
        <v>10255</v>
      </c>
      <c r="K97" s="91">
        <v>10402.524</v>
      </c>
    </row>
    <row r="98" spans="1:11" s="6" customFormat="1" ht="15.75" thickBot="1">
      <c r="A98" s="92">
        <v>2011</v>
      </c>
      <c r="B98" s="93">
        <v>44</v>
      </c>
      <c r="C98" s="108" t="s">
        <v>62</v>
      </c>
      <c r="D98" s="149"/>
      <c r="E98" s="92">
        <v>2011</v>
      </c>
      <c r="F98" s="419">
        <v>80</v>
      </c>
      <c r="G98" s="419"/>
      <c r="I98" s="92">
        <v>2011</v>
      </c>
      <c r="J98" s="93">
        <v>10403</v>
      </c>
      <c r="K98" s="108" t="s">
        <v>62</v>
      </c>
    </row>
  </sheetData>
  <mergeCells count="104">
    <mergeCell ref="F96:G96"/>
    <mergeCell ref="F97:G97"/>
    <mergeCell ref="F98:G98"/>
    <mergeCell ref="A65:B66"/>
    <mergeCell ref="C65:C66"/>
    <mergeCell ref="E65:H66"/>
    <mergeCell ref="A67:B67"/>
    <mergeCell ref="E67:H67"/>
    <mergeCell ref="A68:B68"/>
    <mergeCell ref="E68:H68"/>
    <mergeCell ref="H4:J4"/>
    <mergeCell ref="K4:L4"/>
    <mergeCell ref="A7:C7"/>
    <mergeCell ref="A62:C62"/>
    <mergeCell ref="A4:C6"/>
    <mergeCell ref="D4:D6"/>
    <mergeCell ref="E4:E6"/>
    <mergeCell ref="F4:G4"/>
    <mergeCell ref="A10:C10"/>
    <mergeCell ref="A11:C11"/>
    <mergeCell ref="I65:I66"/>
    <mergeCell ref="A70:B70"/>
    <mergeCell ref="E70:H70"/>
    <mergeCell ref="A71:B71"/>
    <mergeCell ref="E71:H71"/>
    <mergeCell ref="A69:B69"/>
    <mergeCell ref="E69:H69"/>
    <mergeCell ref="A14:C14"/>
    <mergeCell ref="A15:C15"/>
    <mergeCell ref="A16:C16"/>
    <mergeCell ref="A8:C8"/>
    <mergeCell ref="A9:C9"/>
    <mergeCell ref="A12:C12"/>
    <mergeCell ref="A13:C13"/>
    <mergeCell ref="A72:B72"/>
    <mergeCell ref="E72:H72"/>
    <mergeCell ref="A73:B73"/>
    <mergeCell ref="E73:H73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3:C43"/>
    <mergeCell ref="A44:C44"/>
    <mergeCell ref="A37:C37"/>
    <mergeCell ref="A38:C38"/>
    <mergeCell ref="A39:C39"/>
    <mergeCell ref="A40:C40"/>
    <mergeCell ref="A41:C41"/>
    <mergeCell ref="A42:C42"/>
    <mergeCell ref="A49:C49"/>
    <mergeCell ref="A50:C50"/>
    <mergeCell ref="A51:C51"/>
    <mergeCell ref="A45:C45"/>
    <mergeCell ref="A46:C46"/>
    <mergeCell ref="A47:C47"/>
    <mergeCell ref="A48:C48"/>
    <mergeCell ref="A56:C56"/>
    <mergeCell ref="A57:C57"/>
    <mergeCell ref="A58:C58"/>
    <mergeCell ref="A59:C59"/>
    <mergeCell ref="A95:C95"/>
    <mergeCell ref="A74:B74"/>
    <mergeCell ref="A75:B75"/>
    <mergeCell ref="A78:A80"/>
    <mergeCell ref="B78:B80"/>
    <mergeCell ref="C78:I78"/>
    <mergeCell ref="C79:C80"/>
    <mergeCell ref="D79:I79"/>
    <mergeCell ref="E95:G95"/>
    <mergeCell ref="I95:K95"/>
    <mergeCell ref="J78:J80"/>
    <mergeCell ref="A84:A85"/>
    <mergeCell ref="B84:B85"/>
    <mergeCell ref="C84:F84"/>
    <mergeCell ref="G84:G85"/>
    <mergeCell ref="H84:H85"/>
    <mergeCell ref="I84:L84"/>
    <mergeCell ref="A2:N2"/>
    <mergeCell ref="A3:G3"/>
    <mergeCell ref="E74:H74"/>
    <mergeCell ref="E75:H75"/>
    <mergeCell ref="A60:C60"/>
    <mergeCell ref="A61:C61"/>
    <mergeCell ref="A52:C52"/>
    <mergeCell ref="A53:C53"/>
    <mergeCell ref="A54:C54"/>
    <mergeCell ref="A55:C5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4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67">
      <selection activeCell="N69" sqref="N69"/>
    </sheetView>
  </sheetViews>
  <sheetFormatPr defaultColWidth="9.00390625" defaultRowHeight="12.75"/>
  <cols>
    <col min="1" max="1" width="27.875" style="138" customWidth="1"/>
    <col min="2" max="2" width="12.625" style="138" customWidth="1"/>
    <col min="3" max="3" width="14.25390625" style="138" customWidth="1"/>
    <col min="4" max="4" width="13.125" style="154" customWidth="1"/>
    <col min="5" max="5" width="13.125" style="147" customWidth="1"/>
    <col min="6" max="12" width="13.1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139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65</v>
      </c>
      <c r="B7" s="483"/>
      <c r="C7" s="483"/>
      <c r="D7" s="168">
        <v>11258</v>
      </c>
      <c r="E7" s="169">
        <v>11686</v>
      </c>
      <c r="F7" s="170">
        <f>E7-D7</f>
        <v>428</v>
      </c>
      <c r="G7" s="171">
        <f>E7/D7</f>
        <v>1.0380174098418902</v>
      </c>
      <c r="H7" s="172">
        <f>H8+H9+H10+H11+H12+H13</f>
        <v>12047</v>
      </c>
      <c r="I7" s="173"/>
      <c r="J7" s="174">
        <f>H7+I7</f>
        <v>12047</v>
      </c>
      <c r="K7" s="175">
        <f>J7-E7</f>
        <v>361</v>
      </c>
      <c r="L7" s="176">
        <f>J7/E7</f>
        <v>1.0308916652404587</v>
      </c>
    </row>
    <row r="8" spans="1:12" ht="14.25">
      <c r="A8" s="465" t="s">
        <v>66</v>
      </c>
      <c r="B8" s="465"/>
      <c r="C8" s="465"/>
      <c r="D8" s="143">
        <v>5806</v>
      </c>
      <c r="E8" s="140">
        <v>5934</v>
      </c>
      <c r="F8" s="160">
        <f aca="true" t="shared" si="0" ref="F8:F60">E8-D8</f>
        <v>128</v>
      </c>
      <c r="G8" s="161">
        <f aca="true" t="shared" si="1" ref="G8:G60">E8/D8</f>
        <v>1.0220461591457113</v>
      </c>
      <c r="H8" s="141">
        <v>6023</v>
      </c>
      <c r="I8" s="142"/>
      <c r="J8" s="174">
        <f aca="true" t="shared" si="2" ref="J8:J60">H8+I8</f>
        <v>6023</v>
      </c>
      <c r="K8" s="164">
        <f aca="true" t="shared" si="3" ref="K8:K60">J8-E8</f>
        <v>89</v>
      </c>
      <c r="L8" s="165">
        <f aca="true" t="shared" si="4" ref="L8:L60">J8/E8</f>
        <v>1.0149983147960904</v>
      </c>
    </row>
    <row r="9" spans="1:12" ht="14.25">
      <c r="A9" s="465" t="s">
        <v>67</v>
      </c>
      <c r="B9" s="465"/>
      <c r="C9" s="465"/>
      <c r="D9" s="143">
        <v>4030</v>
      </c>
      <c r="E9" s="140">
        <v>4085</v>
      </c>
      <c r="F9" s="160">
        <f t="shared" si="0"/>
        <v>55</v>
      </c>
      <c r="G9" s="161">
        <f t="shared" si="1"/>
        <v>1.0136476426799008</v>
      </c>
      <c r="H9" s="141">
        <v>4312</v>
      </c>
      <c r="I9" s="142"/>
      <c r="J9" s="174">
        <f t="shared" si="2"/>
        <v>4312</v>
      </c>
      <c r="K9" s="164">
        <f t="shared" si="3"/>
        <v>227</v>
      </c>
      <c r="L9" s="165">
        <f t="shared" si="4"/>
        <v>1.0555691554467563</v>
      </c>
    </row>
    <row r="10" spans="1:12" ht="14.25">
      <c r="A10" s="465" t="s">
        <v>68</v>
      </c>
      <c r="B10" s="465"/>
      <c r="C10" s="465"/>
      <c r="D10" s="143">
        <v>169</v>
      </c>
      <c r="E10" s="140">
        <v>175</v>
      </c>
      <c r="F10" s="160">
        <f t="shared" si="0"/>
        <v>6</v>
      </c>
      <c r="G10" s="161">
        <f t="shared" si="1"/>
        <v>1.0355029585798816</v>
      </c>
      <c r="H10" s="141">
        <v>175</v>
      </c>
      <c r="I10" s="142"/>
      <c r="J10" s="174">
        <f t="shared" si="2"/>
        <v>175</v>
      </c>
      <c r="K10" s="164">
        <f t="shared" si="3"/>
        <v>0</v>
      </c>
      <c r="L10" s="165">
        <f t="shared" si="4"/>
        <v>1</v>
      </c>
    </row>
    <row r="11" spans="1:12" ht="14.25">
      <c r="A11" s="465" t="s">
        <v>69</v>
      </c>
      <c r="B11" s="465"/>
      <c r="C11" s="465"/>
      <c r="D11" s="143">
        <v>927</v>
      </c>
      <c r="E11" s="140">
        <v>952</v>
      </c>
      <c r="F11" s="160">
        <f t="shared" si="0"/>
        <v>25</v>
      </c>
      <c r="G11" s="161">
        <f t="shared" si="1"/>
        <v>1.0269687162891046</v>
      </c>
      <c r="H11" s="141">
        <v>1140</v>
      </c>
      <c r="I11" s="142"/>
      <c r="J11" s="174">
        <f t="shared" si="2"/>
        <v>1140</v>
      </c>
      <c r="K11" s="164">
        <f t="shared" si="3"/>
        <v>188</v>
      </c>
      <c r="L11" s="165">
        <f t="shared" si="4"/>
        <v>1.1974789915966386</v>
      </c>
    </row>
    <row r="12" spans="1:12" ht="14.25">
      <c r="A12" s="465" t="s">
        <v>70</v>
      </c>
      <c r="B12" s="465"/>
      <c r="C12" s="465"/>
      <c r="D12" s="143">
        <v>245</v>
      </c>
      <c r="E12" s="140">
        <v>337</v>
      </c>
      <c r="F12" s="160">
        <f t="shared" si="0"/>
        <v>92</v>
      </c>
      <c r="G12" s="161">
        <f t="shared" si="1"/>
        <v>1.3755102040816327</v>
      </c>
      <c r="H12" s="141">
        <v>260</v>
      </c>
      <c r="I12" s="142"/>
      <c r="J12" s="174">
        <f t="shared" si="2"/>
        <v>260</v>
      </c>
      <c r="K12" s="164">
        <f t="shared" si="3"/>
        <v>-77</v>
      </c>
      <c r="L12" s="165">
        <f t="shared" si="4"/>
        <v>0.771513353115727</v>
      </c>
    </row>
    <row r="13" spans="1:12" ht="14.25">
      <c r="A13" s="465" t="s">
        <v>71</v>
      </c>
      <c r="B13" s="465"/>
      <c r="C13" s="465"/>
      <c r="D13" s="143">
        <v>81</v>
      </c>
      <c r="E13" s="140">
        <v>260</v>
      </c>
      <c r="F13" s="160">
        <f t="shared" si="0"/>
        <v>179</v>
      </c>
      <c r="G13" s="161">
        <f t="shared" si="1"/>
        <v>3.2098765432098766</v>
      </c>
      <c r="H13" s="141">
        <v>137</v>
      </c>
      <c r="I13" s="142"/>
      <c r="J13" s="174">
        <f t="shared" si="2"/>
        <v>137</v>
      </c>
      <c r="K13" s="164">
        <f t="shared" si="3"/>
        <v>-123</v>
      </c>
      <c r="L13" s="165">
        <f t="shared" si="4"/>
        <v>0.5269230769230769</v>
      </c>
    </row>
    <row r="14" spans="1:20" ht="15">
      <c r="A14" s="456" t="s">
        <v>72</v>
      </c>
      <c r="B14" s="456"/>
      <c r="C14" s="456"/>
      <c r="D14" s="143"/>
      <c r="E14" s="177">
        <v>0</v>
      </c>
      <c r="F14" s="160">
        <f t="shared" si="0"/>
        <v>0</v>
      </c>
      <c r="G14" s="161"/>
      <c r="H14" s="172">
        <v>0</v>
      </c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/>
      <c r="E15" s="140"/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174</v>
      </c>
      <c r="E16" s="140">
        <v>241</v>
      </c>
      <c r="F16" s="160">
        <f t="shared" si="0"/>
        <v>67</v>
      </c>
      <c r="G16" s="161">
        <f t="shared" si="1"/>
        <v>1.3850574712643677</v>
      </c>
      <c r="H16" s="141">
        <v>200</v>
      </c>
      <c r="I16" s="142"/>
      <c r="J16" s="174">
        <f t="shared" si="2"/>
        <v>200</v>
      </c>
      <c r="K16" s="164">
        <f t="shared" si="3"/>
        <v>-41</v>
      </c>
      <c r="L16" s="165">
        <f t="shared" si="4"/>
        <v>0.8298755186721992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136</v>
      </c>
      <c r="E17" s="140">
        <v>222</v>
      </c>
      <c r="F17" s="160">
        <f t="shared" si="0"/>
        <v>86</v>
      </c>
      <c r="G17" s="161">
        <f t="shared" si="1"/>
        <v>1.6323529411764706</v>
      </c>
      <c r="H17" s="141">
        <v>200</v>
      </c>
      <c r="I17" s="142"/>
      <c r="J17" s="174">
        <f t="shared" si="2"/>
        <v>200</v>
      </c>
      <c r="K17" s="164">
        <f t="shared" si="3"/>
        <v>-22</v>
      </c>
      <c r="L17" s="165">
        <f t="shared" si="4"/>
        <v>0.9009009009009009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/>
      <c r="E20" s="140"/>
      <c r="F20" s="160">
        <f t="shared" si="0"/>
        <v>0</v>
      </c>
      <c r="G20" s="161"/>
      <c r="H20" s="141"/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12813</v>
      </c>
      <c r="E22" s="177">
        <v>12734</v>
      </c>
      <c r="F22" s="160">
        <f t="shared" si="0"/>
        <v>-79</v>
      </c>
      <c r="G22" s="161">
        <f t="shared" si="1"/>
        <v>0.9938343869507531</v>
      </c>
      <c r="H22" s="172">
        <v>9932</v>
      </c>
      <c r="I22" s="173"/>
      <c r="J22" s="174">
        <f t="shared" si="2"/>
        <v>9932</v>
      </c>
      <c r="K22" s="164">
        <f t="shared" si="3"/>
        <v>-2802</v>
      </c>
      <c r="L22" s="165">
        <f t="shared" si="4"/>
        <v>0.7799591644416523</v>
      </c>
    </row>
    <row r="23" spans="1:12" ht="14.25">
      <c r="A23" s="456" t="s">
        <v>81</v>
      </c>
      <c r="B23" s="456"/>
      <c r="C23" s="456"/>
      <c r="D23" s="143">
        <v>3847</v>
      </c>
      <c r="E23" s="140">
        <v>3204</v>
      </c>
      <c r="F23" s="160">
        <f t="shared" si="0"/>
        <v>-643</v>
      </c>
      <c r="G23" s="161">
        <f t="shared" si="1"/>
        <v>0.8328567715102677</v>
      </c>
      <c r="H23" s="141">
        <v>1260</v>
      </c>
      <c r="I23" s="142"/>
      <c r="J23" s="174">
        <f t="shared" si="2"/>
        <v>1260</v>
      </c>
      <c r="K23" s="164">
        <f t="shared" si="3"/>
        <v>-1944</v>
      </c>
      <c r="L23" s="165">
        <f t="shared" si="4"/>
        <v>0.39325842696629215</v>
      </c>
    </row>
    <row r="24" spans="1:12" ht="14.25">
      <c r="A24" s="456" t="s">
        <v>82</v>
      </c>
      <c r="B24" s="456"/>
      <c r="C24" s="456"/>
      <c r="D24" s="143">
        <v>8966</v>
      </c>
      <c r="E24" s="140">
        <v>9530</v>
      </c>
      <c r="F24" s="160">
        <f t="shared" si="0"/>
        <v>564</v>
      </c>
      <c r="G24" s="161">
        <f t="shared" si="1"/>
        <v>1.0629043051527995</v>
      </c>
      <c r="H24" s="141">
        <v>8672</v>
      </c>
      <c r="I24" s="142"/>
      <c r="J24" s="174">
        <f t="shared" si="2"/>
        <v>8672</v>
      </c>
      <c r="K24" s="164">
        <f t="shared" si="3"/>
        <v>-858</v>
      </c>
      <c r="L24" s="165">
        <f t="shared" si="4"/>
        <v>0.9099685204616998</v>
      </c>
    </row>
    <row r="25" spans="1:12" ht="14.25">
      <c r="A25" s="456" t="s">
        <v>83</v>
      </c>
      <c r="B25" s="456"/>
      <c r="C25" s="456"/>
      <c r="D25" s="143"/>
      <c r="E25" s="140"/>
      <c r="F25" s="160">
        <f t="shared" si="0"/>
        <v>0</v>
      </c>
      <c r="G25" s="161"/>
      <c r="H25" s="141">
        <v>0</v>
      </c>
      <c r="I25" s="142"/>
      <c r="J25" s="174">
        <f t="shared" si="2"/>
        <v>0</v>
      </c>
      <c r="K25" s="164">
        <f t="shared" si="3"/>
        <v>0</v>
      </c>
      <c r="L25" s="165"/>
    </row>
    <row r="26" spans="1:12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24245</v>
      </c>
      <c r="E27" s="180">
        <v>24718</v>
      </c>
      <c r="F27" s="181">
        <f t="shared" si="0"/>
        <v>473</v>
      </c>
      <c r="G27" s="182">
        <f t="shared" si="1"/>
        <v>1.0195091771499278</v>
      </c>
      <c r="H27" s="183">
        <f>H7+H16+H22</f>
        <v>22179</v>
      </c>
      <c r="I27" s="184"/>
      <c r="J27" s="185">
        <f t="shared" si="2"/>
        <v>22179</v>
      </c>
      <c r="K27" s="183">
        <f t="shared" si="3"/>
        <v>-2539</v>
      </c>
      <c r="L27" s="186">
        <f t="shared" si="4"/>
        <v>0.897281333441217</v>
      </c>
    </row>
    <row r="28" spans="1:12" ht="14.25">
      <c r="A28" s="495" t="s">
        <v>85</v>
      </c>
      <c r="B28" s="495"/>
      <c r="C28" s="495"/>
      <c r="D28" s="187">
        <v>4204</v>
      </c>
      <c r="E28" s="188">
        <v>3715</v>
      </c>
      <c r="F28" s="189">
        <f t="shared" si="0"/>
        <v>-489</v>
      </c>
      <c r="G28" s="190">
        <f t="shared" si="1"/>
        <v>0.8836822074215034</v>
      </c>
      <c r="H28" s="191">
        <f>H29+H30+H31+H32+H33</f>
        <v>3506</v>
      </c>
      <c r="I28" s="192"/>
      <c r="J28" s="193">
        <f t="shared" si="2"/>
        <v>3506</v>
      </c>
      <c r="K28" s="194">
        <f t="shared" si="3"/>
        <v>-209</v>
      </c>
      <c r="L28" s="195">
        <f t="shared" si="4"/>
        <v>0.9437415881561239</v>
      </c>
    </row>
    <row r="29" spans="1:12" ht="14.25">
      <c r="A29" s="441" t="s">
        <v>86</v>
      </c>
      <c r="B29" s="441"/>
      <c r="C29" s="441"/>
      <c r="D29" s="143">
        <v>1825</v>
      </c>
      <c r="E29" s="140">
        <v>1942</v>
      </c>
      <c r="F29" s="160">
        <f t="shared" si="0"/>
        <v>117</v>
      </c>
      <c r="G29" s="161">
        <f t="shared" si="1"/>
        <v>1.0641095890410959</v>
      </c>
      <c r="H29" s="141">
        <v>2016</v>
      </c>
      <c r="I29" s="142"/>
      <c r="J29" s="174">
        <f t="shared" si="2"/>
        <v>2016</v>
      </c>
      <c r="K29" s="164">
        <f t="shared" si="3"/>
        <v>74</v>
      </c>
      <c r="L29" s="165">
        <f t="shared" si="4"/>
        <v>1.0381050463439754</v>
      </c>
    </row>
    <row r="30" spans="1:12" ht="14.25">
      <c r="A30" s="441" t="s">
        <v>87</v>
      </c>
      <c r="B30" s="441"/>
      <c r="C30" s="441"/>
      <c r="D30" s="143">
        <v>112</v>
      </c>
      <c r="E30" s="140">
        <v>159</v>
      </c>
      <c r="F30" s="160">
        <f t="shared" si="0"/>
        <v>47</v>
      </c>
      <c r="G30" s="161">
        <f t="shared" si="1"/>
        <v>1.4196428571428572</v>
      </c>
      <c r="H30" s="141">
        <v>180</v>
      </c>
      <c r="I30" s="142"/>
      <c r="J30" s="174">
        <f t="shared" si="2"/>
        <v>180</v>
      </c>
      <c r="K30" s="164">
        <f t="shared" si="3"/>
        <v>21</v>
      </c>
      <c r="L30" s="165">
        <f t="shared" si="4"/>
        <v>1.1320754716981132</v>
      </c>
    </row>
    <row r="31" spans="1:12" ht="14.25">
      <c r="A31" s="441" t="s">
        <v>88</v>
      </c>
      <c r="B31" s="441"/>
      <c r="C31" s="441"/>
      <c r="D31" s="143">
        <v>1060</v>
      </c>
      <c r="E31" s="140">
        <v>663</v>
      </c>
      <c r="F31" s="160">
        <f t="shared" si="0"/>
        <v>-397</v>
      </c>
      <c r="G31" s="161">
        <f t="shared" si="1"/>
        <v>0.6254716981132076</v>
      </c>
      <c r="H31" s="141">
        <v>250</v>
      </c>
      <c r="I31" s="142"/>
      <c r="J31" s="174">
        <f t="shared" si="2"/>
        <v>250</v>
      </c>
      <c r="K31" s="164">
        <f t="shared" si="3"/>
        <v>-413</v>
      </c>
      <c r="L31" s="165">
        <f t="shared" si="4"/>
        <v>0.3770739064856712</v>
      </c>
    </row>
    <row r="32" spans="1:12" ht="14.25">
      <c r="A32" s="441" t="s">
        <v>89</v>
      </c>
      <c r="B32" s="441"/>
      <c r="C32" s="441"/>
      <c r="D32" s="143">
        <v>468</v>
      </c>
      <c r="E32" s="140">
        <v>395</v>
      </c>
      <c r="F32" s="160">
        <f t="shared" si="0"/>
        <v>-73</v>
      </c>
      <c r="G32" s="161">
        <f t="shared" si="1"/>
        <v>0.844017094017094</v>
      </c>
      <c r="H32" s="141">
        <v>410</v>
      </c>
      <c r="I32" s="142"/>
      <c r="J32" s="174">
        <f t="shared" si="2"/>
        <v>410</v>
      </c>
      <c r="K32" s="164">
        <f t="shared" si="3"/>
        <v>15</v>
      </c>
      <c r="L32" s="165">
        <f t="shared" si="4"/>
        <v>1.0379746835443038</v>
      </c>
    </row>
    <row r="33" spans="1:12" ht="14.25">
      <c r="A33" s="441" t="s">
        <v>90</v>
      </c>
      <c r="B33" s="441"/>
      <c r="C33" s="441"/>
      <c r="D33" s="143">
        <v>739</v>
      </c>
      <c r="E33" s="140">
        <v>556</v>
      </c>
      <c r="F33" s="160">
        <f t="shared" si="0"/>
        <v>-183</v>
      </c>
      <c r="G33" s="161">
        <f t="shared" si="1"/>
        <v>0.7523680649526387</v>
      </c>
      <c r="H33" s="141">
        <v>650</v>
      </c>
      <c r="I33" s="142"/>
      <c r="J33" s="174">
        <f t="shared" si="2"/>
        <v>650</v>
      </c>
      <c r="K33" s="164">
        <f t="shared" si="3"/>
        <v>94</v>
      </c>
      <c r="L33" s="165">
        <f t="shared" si="4"/>
        <v>1.169064748201439</v>
      </c>
    </row>
    <row r="34" spans="1:12" ht="14.25">
      <c r="A34" s="441" t="s">
        <v>91</v>
      </c>
      <c r="B34" s="441"/>
      <c r="C34" s="441"/>
      <c r="D34" s="196">
        <v>894</v>
      </c>
      <c r="E34" s="177">
        <v>676</v>
      </c>
      <c r="F34" s="197">
        <f t="shared" si="0"/>
        <v>-218</v>
      </c>
      <c r="G34" s="198">
        <f t="shared" si="1"/>
        <v>0.756152125279642</v>
      </c>
      <c r="H34" s="172">
        <v>830</v>
      </c>
      <c r="I34" s="173"/>
      <c r="J34" s="174">
        <f t="shared" si="2"/>
        <v>830</v>
      </c>
      <c r="K34" s="199">
        <f t="shared" si="3"/>
        <v>154</v>
      </c>
      <c r="L34" s="200">
        <f t="shared" si="4"/>
        <v>1.227810650887574</v>
      </c>
    </row>
    <row r="35" spans="1:12" ht="14.25">
      <c r="A35" s="441" t="s">
        <v>92</v>
      </c>
      <c r="B35" s="441"/>
      <c r="C35" s="441"/>
      <c r="D35" s="143">
        <v>865</v>
      </c>
      <c r="E35" s="140">
        <v>652</v>
      </c>
      <c r="F35" s="160">
        <f t="shared" si="0"/>
        <v>-213</v>
      </c>
      <c r="G35" s="161">
        <f t="shared" si="1"/>
        <v>0.753757225433526</v>
      </c>
      <c r="H35" s="141">
        <v>665</v>
      </c>
      <c r="I35" s="142"/>
      <c r="J35" s="174">
        <f t="shared" si="2"/>
        <v>665</v>
      </c>
      <c r="K35" s="164">
        <f t="shared" si="3"/>
        <v>13</v>
      </c>
      <c r="L35" s="165">
        <f t="shared" si="4"/>
        <v>1.0199386503067485</v>
      </c>
    </row>
    <row r="36" spans="1:12" ht="14.25">
      <c r="A36" s="441" t="s">
        <v>93</v>
      </c>
      <c r="B36" s="441"/>
      <c r="C36" s="441"/>
      <c r="D36" s="143">
        <v>29</v>
      </c>
      <c r="E36" s="140">
        <v>24</v>
      </c>
      <c r="F36" s="160">
        <f t="shared" si="0"/>
        <v>-5</v>
      </c>
      <c r="G36" s="161">
        <f t="shared" si="1"/>
        <v>0.8275862068965517</v>
      </c>
      <c r="H36" s="141">
        <v>25</v>
      </c>
      <c r="I36" s="142"/>
      <c r="J36" s="174">
        <f t="shared" si="2"/>
        <v>25</v>
      </c>
      <c r="K36" s="164">
        <f t="shared" si="3"/>
        <v>1</v>
      </c>
      <c r="L36" s="165">
        <f t="shared" si="4"/>
        <v>1.0416666666666667</v>
      </c>
    </row>
    <row r="37" spans="1:12" ht="14.25">
      <c r="A37" s="441" t="s">
        <v>94</v>
      </c>
      <c r="B37" s="441"/>
      <c r="C37" s="441"/>
      <c r="D37" s="143"/>
      <c r="E37" s="140"/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>
        <v>0</v>
      </c>
      <c r="E39" s="140">
        <v>0</v>
      </c>
      <c r="F39" s="160">
        <f t="shared" si="0"/>
        <v>0</v>
      </c>
      <c r="G39" s="161"/>
      <c r="H39" s="141">
        <v>140</v>
      </c>
      <c r="I39" s="142"/>
      <c r="J39" s="174">
        <f t="shared" si="2"/>
        <v>140</v>
      </c>
      <c r="K39" s="164">
        <f t="shared" si="3"/>
        <v>140</v>
      </c>
      <c r="L39" s="165"/>
    </row>
    <row r="40" spans="1:12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1344</v>
      </c>
      <c r="E41" s="140">
        <v>471</v>
      </c>
      <c r="F41" s="160">
        <f t="shared" si="0"/>
        <v>-873</v>
      </c>
      <c r="G41" s="161">
        <f t="shared" si="1"/>
        <v>0.35044642857142855</v>
      </c>
      <c r="H41" s="141">
        <v>280</v>
      </c>
      <c r="I41" s="142"/>
      <c r="J41" s="174">
        <f t="shared" si="2"/>
        <v>280</v>
      </c>
      <c r="K41" s="164">
        <f t="shared" si="3"/>
        <v>-191</v>
      </c>
      <c r="L41" s="165">
        <f t="shared" si="4"/>
        <v>0.5944798301486199</v>
      </c>
    </row>
    <row r="42" spans="1:12" ht="14.25">
      <c r="A42" s="441" t="s">
        <v>99</v>
      </c>
      <c r="B42" s="441"/>
      <c r="C42" s="441"/>
      <c r="D42" s="143">
        <v>183</v>
      </c>
      <c r="E42" s="140">
        <v>235</v>
      </c>
      <c r="F42" s="160">
        <f t="shared" si="0"/>
        <v>52</v>
      </c>
      <c r="G42" s="161">
        <f t="shared" si="1"/>
        <v>1.284153005464481</v>
      </c>
      <c r="H42" s="141">
        <v>130</v>
      </c>
      <c r="I42" s="142"/>
      <c r="J42" s="174">
        <f t="shared" si="2"/>
        <v>130</v>
      </c>
      <c r="K42" s="164">
        <f t="shared" si="3"/>
        <v>-105</v>
      </c>
      <c r="L42" s="165">
        <f t="shared" si="4"/>
        <v>0.5531914893617021</v>
      </c>
    </row>
    <row r="43" spans="1:12" ht="14.25">
      <c r="A43" s="441" t="s">
        <v>100</v>
      </c>
      <c r="B43" s="441"/>
      <c r="C43" s="441"/>
      <c r="D43" s="143">
        <v>82</v>
      </c>
      <c r="E43" s="140">
        <v>51</v>
      </c>
      <c r="F43" s="160">
        <f t="shared" si="0"/>
        <v>-31</v>
      </c>
      <c r="G43" s="161">
        <f t="shared" si="1"/>
        <v>0.6219512195121951</v>
      </c>
      <c r="H43" s="141">
        <v>50</v>
      </c>
      <c r="I43" s="142"/>
      <c r="J43" s="174">
        <f t="shared" si="2"/>
        <v>50</v>
      </c>
      <c r="K43" s="164">
        <f t="shared" si="3"/>
        <v>-1</v>
      </c>
      <c r="L43" s="165">
        <f t="shared" si="4"/>
        <v>0.9803921568627451</v>
      </c>
    </row>
    <row r="44" spans="1:12" ht="14.25">
      <c r="A44" s="441" t="s">
        <v>101</v>
      </c>
      <c r="B44" s="441"/>
      <c r="C44" s="441"/>
      <c r="D44" s="143">
        <v>2601</v>
      </c>
      <c r="E44" s="140">
        <v>3011</v>
      </c>
      <c r="F44" s="160">
        <f t="shared" si="0"/>
        <v>410</v>
      </c>
      <c r="G44" s="161">
        <f t="shared" si="1"/>
        <v>1.1576316801230295</v>
      </c>
      <c r="H44" s="141">
        <v>2650</v>
      </c>
      <c r="I44" s="142"/>
      <c r="J44" s="174">
        <f t="shared" si="2"/>
        <v>2650</v>
      </c>
      <c r="K44" s="164">
        <f t="shared" si="3"/>
        <v>-361</v>
      </c>
      <c r="L44" s="165">
        <f t="shared" si="4"/>
        <v>0.8801062769843906</v>
      </c>
    </row>
    <row r="45" spans="1:15" ht="14.25">
      <c r="A45" s="441" t="s">
        <v>102</v>
      </c>
      <c r="B45" s="441"/>
      <c r="C45" s="441"/>
      <c r="D45" s="143">
        <v>131</v>
      </c>
      <c r="E45" s="140">
        <v>132</v>
      </c>
      <c r="F45" s="160">
        <f t="shared" si="0"/>
        <v>1</v>
      </c>
      <c r="G45" s="161">
        <f t="shared" si="1"/>
        <v>1.0076335877862594</v>
      </c>
      <c r="H45" s="141">
        <v>140</v>
      </c>
      <c r="I45" s="142"/>
      <c r="J45" s="174">
        <f t="shared" si="2"/>
        <v>140</v>
      </c>
      <c r="K45" s="164">
        <f t="shared" si="3"/>
        <v>8</v>
      </c>
      <c r="L45" s="165">
        <f t="shared" si="4"/>
        <v>1.0606060606060606</v>
      </c>
      <c r="O45" s="147"/>
    </row>
    <row r="46" spans="1:12" ht="14.25">
      <c r="A46" s="441" t="s">
        <v>103</v>
      </c>
      <c r="B46" s="441"/>
      <c r="C46" s="441"/>
      <c r="D46" s="143"/>
      <c r="E46" s="140"/>
      <c r="F46" s="160">
        <f t="shared" si="0"/>
        <v>0</v>
      </c>
      <c r="G46" s="161"/>
      <c r="H46" s="141"/>
      <c r="I46" s="142"/>
      <c r="J46" s="174">
        <f t="shared" si="2"/>
        <v>0</v>
      </c>
      <c r="K46" s="164">
        <f t="shared" si="3"/>
        <v>0</v>
      </c>
      <c r="L46" s="165"/>
    </row>
    <row r="47" spans="1:12" ht="14.25">
      <c r="A47" s="441" t="s">
        <v>104</v>
      </c>
      <c r="B47" s="441"/>
      <c r="C47" s="441"/>
      <c r="D47" s="143">
        <v>2470</v>
      </c>
      <c r="E47" s="140">
        <v>2879</v>
      </c>
      <c r="F47" s="160">
        <f t="shared" si="0"/>
        <v>409</v>
      </c>
      <c r="G47" s="161">
        <f t="shared" si="1"/>
        <v>1.165587044534413</v>
      </c>
      <c r="H47" s="141">
        <v>2710</v>
      </c>
      <c r="I47" s="142"/>
      <c r="J47" s="174">
        <f t="shared" si="2"/>
        <v>2710</v>
      </c>
      <c r="K47" s="164">
        <f t="shared" si="3"/>
        <v>-169</v>
      </c>
      <c r="L47" s="165">
        <f t="shared" si="4"/>
        <v>0.9412990621743661</v>
      </c>
    </row>
    <row r="48" spans="1:12" ht="14.25">
      <c r="A48" s="441" t="s">
        <v>105</v>
      </c>
      <c r="B48" s="441"/>
      <c r="C48" s="441"/>
      <c r="D48" s="196">
        <v>14005</v>
      </c>
      <c r="E48" s="177">
        <v>15363</v>
      </c>
      <c r="F48" s="197">
        <f t="shared" si="0"/>
        <v>1358</v>
      </c>
      <c r="G48" s="198">
        <f t="shared" si="1"/>
        <v>1.096965369510889</v>
      </c>
      <c r="H48" s="172">
        <f>H52+H49</f>
        <v>17437</v>
      </c>
      <c r="I48" s="173"/>
      <c r="J48" s="174">
        <f t="shared" si="2"/>
        <v>17437</v>
      </c>
      <c r="K48" s="199">
        <f t="shared" si="3"/>
        <v>2074</v>
      </c>
      <c r="L48" s="200">
        <f t="shared" si="4"/>
        <v>1.1349996745427324</v>
      </c>
    </row>
    <row r="49" spans="1:12" ht="14.25">
      <c r="A49" s="441" t="s">
        <v>106</v>
      </c>
      <c r="B49" s="441"/>
      <c r="C49" s="441"/>
      <c r="D49" s="143">
        <v>10412</v>
      </c>
      <c r="E49" s="140">
        <v>11292</v>
      </c>
      <c r="F49" s="160">
        <f t="shared" si="0"/>
        <v>880</v>
      </c>
      <c r="G49" s="161">
        <f t="shared" si="1"/>
        <v>1.0845178640030735</v>
      </c>
      <c r="H49" s="141">
        <f>H50+H51</f>
        <v>12919</v>
      </c>
      <c r="I49" s="142"/>
      <c r="J49" s="174">
        <f t="shared" si="2"/>
        <v>12919</v>
      </c>
      <c r="K49" s="164">
        <f t="shared" si="3"/>
        <v>1627</v>
      </c>
      <c r="L49" s="165">
        <f t="shared" si="4"/>
        <v>1.144084307474318</v>
      </c>
    </row>
    <row r="50" spans="1:12" ht="14.25">
      <c r="A50" s="441" t="s">
        <v>107</v>
      </c>
      <c r="B50" s="441"/>
      <c r="C50" s="441"/>
      <c r="D50" s="143">
        <v>10103</v>
      </c>
      <c r="E50" s="140">
        <v>10990</v>
      </c>
      <c r="F50" s="160">
        <f t="shared" si="0"/>
        <v>887</v>
      </c>
      <c r="G50" s="161">
        <f t="shared" si="1"/>
        <v>1.0877957042462636</v>
      </c>
      <c r="H50" s="141">
        <f>10990+1560</f>
        <v>12550</v>
      </c>
      <c r="I50" s="142"/>
      <c r="J50" s="174">
        <f t="shared" si="2"/>
        <v>12550</v>
      </c>
      <c r="K50" s="164">
        <f t="shared" si="3"/>
        <v>1560</v>
      </c>
      <c r="L50" s="165">
        <f t="shared" si="4"/>
        <v>1.1419472247497726</v>
      </c>
    </row>
    <row r="51" spans="1:12" ht="14.25">
      <c r="A51" s="441" t="s">
        <v>108</v>
      </c>
      <c r="B51" s="441"/>
      <c r="C51" s="441"/>
      <c r="D51" s="143">
        <v>309</v>
      </c>
      <c r="E51" s="140">
        <v>302</v>
      </c>
      <c r="F51" s="160">
        <f t="shared" si="0"/>
        <v>-7</v>
      </c>
      <c r="G51" s="161">
        <f t="shared" si="1"/>
        <v>0.9773462783171522</v>
      </c>
      <c r="H51" s="141">
        <v>369</v>
      </c>
      <c r="I51" s="142"/>
      <c r="J51" s="174">
        <f t="shared" si="2"/>
        <v>369</v>
      </c>
      <c r="K51" s="164">
        <f t="shared" si="3"/>
        <v>67</v>
      </c>
      <c r="L51" s="165">
        <f t="shared" si="4"/>
        <v>1.2218543046357615</v>
      </c>
    </row>
    <row r="52" spans="1:12" ht="14.25">
      <c r="A52" s="441" t="s">
        <v>109</v>
      </c>
      <c r="B52" s="441"/>
      <c r="C52" s="441"/>
      <c r="D52" s="143">
        <v>3593</v>
      </c>
      <c r="E52" s="140">
        <v>4071</v>
      </c>
      <c r="F52" s="160">
        <f t="shared" si="0"/>
        <v>478</v>
      </c>
      <c r="G52" s="161">
        <f t="shared" si="1"/>
        <v>1.1330364597829112</v>
      </c>
      <c r="H52" s="141">
        <f>3956+562</f>
        <v>4518</v>
      </c>
      <c r="I52" s="142"/>
      <c r="J52" s="174">
        <f t="shared" si="2"/>
        <v>4518</v>
      </c>
      <c r="K52" s="164">
        <f t="shared" si="3"/>
        <v>447</v>
      </c>
      <c r="L52" s="165">
        <f t="shared" si="4"/>
        <v>1.109801031687546</v>
      </c>
    </row>
    <row r="53" spans="1:12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/>
      <c r="I53" s="142"/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>
        <v>31</v>
      </c>
      <c r="E54" s="140">
        <v>3</v>
      </c>
      <c r="F54" s="160">
        <f t="shared" si="0"/>
        <v>-28</v>
      </c>
      <c r="G54" s="161">
        <f t="shared" si="1"/>
        <v>0.0967741935483871</v>
      </c>
      <c r="H54" s="141">
        <v>5</v>
      </c>
      <c r="I54" s="142"/>
      <c r="J54" s="174">
        <f t="shared" si="2"/>
        <v>5</v>
      </c>
      <c r="K54" s="164">
        <f t="shared" si="3"/>
        <v>2</v>
      </c>
      <c r="L54" s="165">
        <f t="shared" si="4"/>
        <v>1.6666666666666667</v>
      </c>
    </row>
    <row r="55" spans="1:12" ht="14.25">
      <c r="A55" s="441" t="s">
        <v>112</v>
      </c>
      <c r="B55" s="441"/>
      <c r="C55" s="441"/>
      <c r="D55" s="143">
        <v>126</v>
      </c>
      <c r="E55" s="140">
        <v>145</v>
      </c>
      <c r="F55" s="160">
        <f t="shared" si="0"/>
        <v>19</v>
      </c>
      <c r="G55" s="161">
        <f t="shared" si="1"/>
        <v>1.1507936507936507</v>
      </c>
      <c r="H55" s="141">
        <v>150</v>
      </c>
      <c r="I55" s="142"/>
      <c r="J55" s="174">
        <f t="shared" si="2"/>
        <v>150</v>
      </c>
      <c r="K55" s="164">
        <f t="shared" si="3"/>
        <v>5</v>
      </c>
      <c r="L55" s="165">
        <f t="shared" si="4"/>
        <v>1.0344827586206897</v>
      </c>
    </row>
    <row r="56" spans="1:12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/>
      <c r="I56" s="142"/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767</v>
      </c>
      <c r="E57" s="140">
        <v>1047</v>
      </c>
      <c r="F57" s="160">
        <f t="shared" si="0"/>
        <v>280</v>
      </c>
      <c r="G57" s="161">
        <f t="shared" si="1"/>
        <v>1.365058670143416</v>
      </c>
      <c r="H57" s="141">
        <v>1399</v>
      </c>
      <c r="I57" s="142"/>
      <c r="J57" s="174">
        <f t="shared" si="2"/>
        <v>1399</v>
      </c>
      <c r="K57" s="164">
        <f t="shared" si="3"/>
        <v>352</v>
      </c>
      <c r="L57" s="165">
        <f t="shared" si="4"/>
        <v>1.3361986628462272</v>
      </c>
    </row>
    <row r="58" spans="1:12" ht="14.25">
      <c r="A58" s="441" t="s">
        <v>148</v>
      </c>
      <c r="B58" s="441"/>
      <c r="C58" s="441"/>
      <c r="D58" s="143">
        <v>0</v>
      </c>
      <c r="E58" s="140">
        <v>0</v>
      </c>
      <c r="F58" s="160">
        <f t="shared" si="0"/>
        <v>0</v>
      </c>
      <c r="G58" s="161"/>
      <c r="H58" s="141">
        <v>0</v>
      </c>
      <c r="I58" s="142"/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116</v>
      </c>
      <c r="B59" s="493"/>
      <c r="C59" s="493"/>
      <c r="D59" s="159"/>
      <c r="E59" s="148"/>
      <c r="F59" s="162">
        <f t="shared" si="0"/>
        <v>0</v>
      </c>
      <c r="G59" s="163"/>
      <c r="H59" s="145"/>
      <c r="I59" s="146"/>
      <c r="J59" s="178">
        <f t="shared" si="2"/>
        <v>0</v>
      </c>
      <c r="K59" s="166">
        <f t="shared" si="3"/>
        <v>0</v>
      </c>
      <c r="L59" s="167"/>
    </row>
    <row r="60" spans="1:12" ht="15.75" thickBot="1">
      <c r="A60" s="462" t="s">
        <v>117</v>
      </c>
      <c r="B60" s="462"/>
      <c r="C60" s="462"/>
      <c r="D60" s="179">
        <v>24237</v>
      </c>
      <c r="E60" s="180">
        <v>24717</v>
      </c>
      <c r="F60" s="181">
        <f t="shared" si="0"/>
        <v>480</v>
      </c>
      <c r="G60" s="182">
        <f t="shared" si="1"/>
        <v>1.0198044312414902</v>
      </c>
      <c r="H60" s="183">
        <f>H28+H34+H41+H42+H43+H44+H48+H54+H55+H57</f>
        <v>26437</v>
      </c>
      <c r="I60" s="184"/>
      <c r="J60" s="185">
        <f t="shared" si="2"/>
        <v>26437</v>
      </c>
      <c r="K60" s="183">
        <f t="shared" si="3"/>
        <v>1720</v>
      </c>
      <c r="L60" s="186">
        <f t="shared" si="4"/>
        <v>1.069587733139135</v>
      </c>
    </row>
    <row r="61" spans="1:14" s="6" customFormat="1" ht="15">
      <c r="A61" s="447" t="s">
        <v>17</v>
      </c>
      <c r="B61" s="447"/>
      <c r="C61" s="447"/>
      <c r="D61" s="96">
        <v>8</v>
      </c>
      <c r="E61" s="96">
        <v>1</v>
      </c>
      <c r="F61" s="96"/>
      <c r="G61" s="96"/>
      <c r="H61" s="96">
        <f>H27-H60</f>
        <v>-4258</v>
      </c>
      <c r="I61" s="96"/>
      <c r="J61" s="96">
        <f>H61</f>
        <v>-4258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>
        <v>0</v>
      </c>
      <c r="E62" s="97">
        <v>0</v>
      </c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3.5" customHeight="1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177</v>
      </c>
      <c r="B67" s="382"/>
      <c r="C67" s="13">
        <v>848</v>
      </c>
      <c r="D67" s="14"/>
      <c r="E67" s="382" t="s">
        <v>205</v>
      </c>
      <c r="F67" s="382"/>
      <c r="G67" s="382"/>
      <c r="H67" s="382"/>
      <c r="I67" s="15">
        <v>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211</v>
      </c>
      <c r="B68" s="382"/>
      <c r="C68" s="13">
        <v>200</v>
      </c>
      <c r="D68" s="14"/>
      <c r="E68" s="380" t="s">
        <v>206</v>
      </c>
      <c r="F68" s="380"/>
      <c r="G68" s="380"/>
      <c r="H68" s="380"/>
      <c r="I68" s="16">
        <v>30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/>
      <c r="B69" s="382"/>
      <c r="C69" s="13"/>
      <c r="D69" s="14"/>
      <c r="E69" s="380" t="s">
        <v>207</v>
      </c>
      <c r="F69" s="380"/>
      <c r="G69" s="380"/>
      <c r="H69" s="380"/>
      <c r="I69" s="16">
        <v>40</v>
      </c>
      <c r="J69" s="11"/>
      <c r="K69" s="21" t="s">
        <v>45</v>
      </c>
      <c r="L69" s="22"/>
      <c r="M69" s="23"/>
      <c r="N69" s="24"/>
    </row>
    <row r="70" spans="1:14" s="6" customFormat="1" ht="15">
      <c r="A70" s="382"/>
      <c r="B70" s="382"/>
      <c r="C70" s="13"/>
      <c r="D70" s="14"/>
      <c r="E70" s="380" t="s">
        <v>208</v>
      </c>
      <c r="F70" s="380"/>
      <c r="G70" s="380"/>
      <c r="H70" s="380"/>
      <c r="I70" s="16">
        <v>45</v>
      </c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 t="s">
        <v>209</v>
      </c>
      <c r="F71" s="380"/>
      <c r="G71" s="380"/>
      <c r="H71" s="380"/>
      <c r="I71" s="28">
        <v>55</v>
      </c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 t="s">
        <v>210</v>
      </c>
      <c r="F72" s="380"/>
      <c r="G72" s="380"/>
      <c r="H72" s="380"/>
      <c r="I72" s="28">
        <v>60</v>
      </c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1048</v>
      </c>
      <c r="D75" s="36"/>
      <c r="E75" s="404" t="s">
        <v>12</v>
      </c>
      <c r="F75" s="404"/>
      <c r="G75" s="404"/>
      <c r="H75" s="404"/>
      <c r="I75" s="37">
        <f>SUM(I67:I74)</f>
        <v>280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24751</v>
      </c>
      <c r="B81" s="46">
        <v>6717</v>
      </c>
      <c r="C81" s="47">
        <v>1399</v>
      </c>
      <c r="D81" s="48">
        <v>42</v>
      </c>
      <c r="E81" s="48">
        <v>128</v>
      </c>
      <c r="F81" s="48">
        <v>0</v>
      </c>
      <c r="G81" s="48">
        <v>363</v>
      </c>
      <c r="H81" s="49">
        <v>3</v>
      </c>
      <c r="I81" s="50">
        <v>863</v>
      </c>
      <c r="J81" s="51">
        <v>16635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1066</v>
      </c>
      <c r="C86" s="61" t="s">
        <v>38</v>
      </c>
      <c r="D86" s="62" t="s">
        <v>38</v>
      </c>
      <c r="E86" s="62" t="s">
        <v>38</v>
      </c>
      <c r="F86" s="63"/>
      <c r="G86" s="64">
        <v>1191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73</v>
      </c>
      <c r="C87" s="71">
        <v>73</v>
      </c>
      <c r="D87" s="72">
        <v>0</v>
      </c>
      <c r="E87" s="72">
        <v>0</v>
      </c>
      <c r="F87" s="73">
        <f>C87+D87-E87</f>
        <v>73</v>
      </c>
      <c r="G87" s="74">
        <v>73</v>
      </c>
      <c r="H87" s="75">
        <f>+G87-F87</f>
        <v>0</v>
      </c>
      <c r="I87" s="71">
        <v>73</v>
      </c>
      <c r="J87" s="72">
        <v>0</v>
      </c>
      <c r="K87" s="72">
        <v>0</v>
      </c>
      <c r="L87" s="73">
        <f>I87+J87-K87</f>
        <v>73</v>
      </c>
      <c r="M87" s="76"/>
    </row>
    <row r="88" spans="1:13" s="10" customFormat="1" ht="15">
      <c r="A88" s="69" t="s">
        <v>40</v>
      </c>
      <c r="B88" s="70">
        <f>83+3</f>
        <v>86</v>
      </c>
      <c r="C88" s="71">
        <f>83+3</f>
        <v>86</v>
      </c>
      <c r="D88" s="72">
        <f>9+22</f>
        <v>31</v>
      </c>
      <c r="E88" s="72">
        <v>22</v>
      </c>
      <c r="F88" s="73">
        <f>C88+D88-E88</f>
        <v>95</v>
      </c>
      <c r="G88" s="74">
        <f>92+3</f>
        <v>95</v>
      </c>
      <c r="H88" s="75">
        <f>+G88-F88</f>
        <v>0</v>
      </c>
      <c r="I88" s="71">
        <v>95</v>
      </c>
      <c r="J88" s="72">
        <v>6</v>
      </c>
      <c r="K88" s="72">
        <v>98</v>
      </c>
      <c r="L88" s="73">
        <f>I88+J88-K88</f>
        <v>3</v>
      </c>
      <c r="M88" s="76"/>
    </row>
    <row r="89" spans="1:13" s="10" customFormat="1" ht="15">
      <c r="A89" s="69" t="s">
        <v>44</v>
      </c>
      <c r="B89" s="70">
        <v>158</v>
      </c>
      <c r="C89" s="71">
        <v>158</v>
      </c>
      <c r="D89" s="72">
        <v>1047</v>
      </c>
      <c r="E89" s="72">
        <v>806</v>
      </c>
      <c r="F89" s="73">
        <f>C89+D89-E89</f>
        <v>399</v>
      </c>
      <c r="G89" s="74">
        <v>399</v>
      </c>
      <c r="H89" s="75">
        <f>+G89-F89</f>
        <v>0</v>
      </c>
      <c r="I89" s="77">
        <v>399</v>
      </c>
      <c r="J89" s="78">
        <v>1489</v>
      </c>
      <c r="K89" s="78">
        <v>1048</v>
      </c>
      <c r="L89" s="73">
        <f>I89+J89-K89</f>
        <v>840</v>
      </c>
      <c r="M89" s="76"/>
    </row>
    <row r="90" spans="1:13" s="10" customFormat="1" ht="15">
      <c r="A90" s="69" t="s">
        <v>41</v>
      </c>
      <c r="B90" s="70">
        <v>749</v>
      </c>
      <c r="C90" s="79" t="s">
        <v>38</v>
      </c>
      <c r="D90" s="62" t="s">
        <v>38</v>
      </c>
      <c r="E90" s="80" t="s">
        <v>38</v>
      </c>
      <c r="F90" s="73"/>
      <c r="G90" s="74">
        <v>624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213</v>
      </c>
      <c r="C91" s="84">
        <v>246</v>
      </c>
      <c r="D91" s="85">
        <v>249</v>
      </c>
      <c r="E91" s="112">
        <v>329</v>
      </c>
      <c r="F91" s="106">
        <f>C91+D91-E91</f>
        <v>166</v>
      </c>
      <c r="G91" s="109">
        <v>140</v>
      </c>
      <c r="H91" s="110">
        <f>+G91-F91</f>
        <v>-26</v>
      </c>
      <c r="I91" s="111">
        <v>166</v>
      </c>
      <c r="J91" s="112">
        <v>120</v>
      </c>
      <c r="K91" s="112">
        <v>200</v>
      </c>
      <c r="L91" s="106">
        <f>I91+J91-K91</f>
        <v>86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56</v>
      </c>
      <c r="C97" s="91">
        <v>50.3</v>
      </c>
      <c r="D97" s="149"/>
      <c r="E97" s="89">
        <v>2010</v>
      </c>
      <c r="F97" s="418">
        <v>75</v>
      </c>
      <c r="G97" s="418"/>
      <c r="I97" s="89">
        <v>2010</v>
      </c>
      <c r="J97" s="90">
        <v>10990</v>
      </c>
      <c r="K97" s="91">
        <v>10990</v>
      </c>
    </row>
    <row r="98" spans="1:11" s="6" customFormat="1" ht="15.75" thickBot="1">
      <c r="A98" s="92">
        <v>2011</v>
      </c>
      <c r="B98" s="259">
        <v>55.5</v>
      </c>
      <c r="C98" s="108" t="s">
        <v>62</v>
      </c>
      <c r="D98" s="149"/>
      <c r="E98" s="92">
        <v>2011</v>
      </c>
      <c r="F98" s="419">
        <v>75</v>
      </c>
      <c r="G98" s="419"/>
      <c r="I98" s="92">
        <v>2011</v>
      </c>
      <c r="J98" s="93">
        <v>12550</v>
      </c>
      <c r="K98" s="108" t="s">
        <v>62</v>
      </c>
    </row>
  </sheetData>
  <mergeCells count="104">
    <mergeCell ref="I95:K95"/>
    <mergeCell ref="F96:G96"/>
    <mergeCell ref="F97:G97"/>
    <mergeCell ref="F98:G98"/>
    <mergeCell ref="A7:C7"/>
    <mergeCell ref="A62:C62"/>
    <mergeCell ref="A95:C95"/>
    <mergeCell ref="E95:G95"/>
    <mergeCell ref="A65:B66"/>
    <mergeCell ref="C65:C66"/>
    <mergeCell ref="E65:H66"/>
    <mergeCell ref="A67:B67"/>
    <mergeCell ref="E67:H67"/>
    <mergeCell ref="A68:B68"/>
    <mergeCell ref="E4:E6"/>
    <mergeCell ref="F4:G4"/>
    <mergeCell ref="H4:J4"/>
    <mergeCell ref="K4:L4"/>
    <mergeCell ref="A4:C6"/>
    <mergeCell ref="D4:D6"/>
    <mergeCell ref="I65:I66"/>
    <mergeCell ref="E68:H68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E71:H71"/>
    <mergeCell ref="A72:B72"/>
    <mergeCell ref="E72:H72"/>
    <mergeCell ref="A69:B69"/>
    <mergeCell ref="E69:H69"/>
    <mergeCell ref="A70:B70"/>
    <mergeCell ref="E70:H70"/>
    <mergeCell ref="A71:B71"/>
    <mergeCell ref="H84:H85"/>
    <mergeCell ref="I84:L84"/>
    <mergeCell ref="A75:B75"/>
    <mergeCell ref="E75:H75"/>
    <mergeCell ref="A78:A80"/>
    <mergeCell ref="B78:B80"/>
    <mergeCell ref="C78:I78"/>
    <mergeCell ref="A84:A85"/>
    <mergeCell ref="B84:B85"/>
    <mergeCell ref="C84:F84"/>
    <mergeCell ref="G84:G85"/>
    <mergeCell ref="A2:N2"/>
    <mergeCell ref="A3:G3"/>
    <mergeCell ref="J78:J80"/>
    <mergeCell ref="C79:C80"/>
    <mergeCell ref="D79:I79"/>
    <mergeCell ref="A73:B73"/>
    <mergeCell ref="E73:H73"/>
    <mergeCell ref="A74:B74"/>
    <mergeCell ref="E74:H7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5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Normal="90" zoomScaleSheetLayoutView="70" workbookViewId="0" topLeftCell="A31">
      <selection activeCell="M66" sqref="M66"/>
    </sheetView>
  </sheetViews>
  <sheetFormatPr defaultColWidth="9.00390625" defaultRowHeight="12.75"/>
  <cols>
    <col min="1" max="1" width="27.875" style="138" customWidth="1"/>
    <col min="2" max="2" width="15.625" style="138" customWidth="1"/>
    <col min="3" max="3" width="12.375" style="138" customWidth="1"/>
    <col min="4" max="4" width="12.00390625" style="154" customWidth="1"/>
    <col min="5" max="5" width="12.00390625" style="147" customWidth="1"/>
    <col min="6" max="12" width="12.00390625" style="138" customWidth="1"/>
    <col min="13" max="13" width="9.75390625" style="138" customWidth="1"/>
    <col min="14" max="14" width="10.25390625" style="138" customWidth="1"/>
    <col min="15" max="15" width="10.75390625" style="138" customWidth="1"/>
    <col min="16" max="16384" width="9.125" style="138" customWidth="1"/>
  </cols>
  <sheetData>
    <row r="2" spans="1:14" s="6" customFormat="1" ht="15">
      <c r="A2" s="407" t="s">
        <v>165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ht="14.25">
      <c r="A7" s="483" t="s">
        <v>163</v>
      </c>
      <c r="B7" s="483"/>
      <c r="C7" s="483"/>
      <c r="D7" s="168">
        <v>11859</v>
      </c>
      <c r="E7" s="169">
        <v>11552</v>
      </c>
      <c r="F7" s="170">
        <f>E7-D7</f>
        <v>-307</v>
      </c>
      <c r="G7" s="171">
        <f>E7/D7</f>
        <v>0.9741124884054305</v>
      </c>
      <c r="H7" s="172">
        <v>11092</v>
      </c>
      <c r="I7" s="173"/>
      <c r="J7" s="174">
        <f>H7+I7</f>
        <v>11092</v>
      </c>
      <c r="K7" s="175">
        <f>J7-E7</f>
        <v>-460</v>
      </c>
      <c r="L7" s="176">
        <f>J7/E7</f>
        <v>0.9601800554016621</v>
      </c>
    </row>
    <row r="8" spans="1:12" ht="14.25">
      <c r="A8" s="465" t="s">
        <v>66</v>
      </c>
      <c r="B8" s="465"/>
      <c r="C8" s="465"/>
      <c r="D8" s="143">
        <v>5278</v>
      </c>
      <c r="E8" s="140">
        <v>5301</v>
      </c>
      <c r="F8" s="160">
        <f aca="true" t="shared" si="0" ref="F8:F61">E8-D8</f>
        <v>23</v>
      </c>
      <c r="G8" s="161">
        <f aca="true" t="shared" si="1" ref="G8:G61">E8/D8</f>
        <v>1.004357711254263</v>
      </c>
      <c r="H8" s="141">
        <v>5080</v>
      </c>
      <c r="I8" s="142">
        <v>0</v>
      </c>
      <c r="J8" s="174">
        <f aca="true" t="shared" si="2" ref="J8:J60">H8+I8</f>
        <v>5080</v>
      </c>
      <c r="K8" s="164">
        <f aca="true" t="shared" si="3" ref="K8:K61">J8-E8</f>
        <v>-221</v>
      </c>
      <c r="L8" s="165">
        <f aca="true" t="shared" si="4" ref="L8:L61">J8/E8</f>
        <v>0.9583097528768157</v>
      </c>
    </row>
    <row r="9" spans="1:12" ht="14.25">
      <c r="A9" s="465" t="s">
        <v>67</v>
      </c>
      <c r="B9" s="465"/>
      <c r="C9" s="465"/>
      <c r="D9" s="143">
        <v>5191</v>
      </c>
      <c r="E9" s="140">
        <v>5438</v>
      </c>
      <c r="F9" s="160">
        <f t="shared" si="0"/>
        <v>247</v>
      </c>
      <c r="G9" s="161">
        <f t="shared" si="1"/>
        <v>1.0475823540743594</v>
      </c>
      <c r="H9" s="141">
        <v>5210</v>
      </c>
      <c r="I9" s="142">
        <v>0</v>
      </c>
      <c r="J9" s="174">
        <f t="shared" si="2"/>
        <v>5210</v>
      </c>
      <c r="K9" s="164">
        <f t="shared" si="3"/>
        <v>-228</v>
      </c>
      <c r="L9" s="165">
        <f t="shared" si="4"/>
        <v>0.9580728208900331</v>
      </c>
    </row>
    <row r="10" spans="1:12" ht="14.25">
      <c r="A10" s="465" t="s">
        <v>68</v>
      </c>
      <c r="B10" s="465"/>
      <c r="C10" s="465"/>
      <c r="D10" s="143">
        <v>0</v>
      </c>
      <c r="E10" s="140">
        <v>5</v>
      </c>
      <c r="F10" s="160">
        <f t="shared" si="0"/>
        <v>5</v>
      </c>
      <c r="G10" s="161"/>
      <c r="H10" s="141">
        <v>2</v>
      </c>
      <c r="I10" s="142">
        <v>0</v>
      </c>
      <c r="J10" s="174">
        <f t="shared" si="2"/>
        <v>2</v>
      </c>
      <c r="K10" s="164">
        <f t="shared" si="3"/>
        <v>-3</v>
      </c>
      <c r="L10" s="165">
        <f t="shared" si="4"/>
        <v>0.4</v>
      </c>
    </row>
    <row r="11" spans="1:12" ht="14.25">
      <c r="A11" s="465" t="s">
        <v>69</v>
      </c>
      <c r="B11" s="465"/>
      <c r="C11" s="465"/>
      <c r="D11" s="143">
        <v>1213</v>
      </c>
      <c r="E11" s="140">
        <v>640</v>
      </c>
      <c r="F11" s="160">
        <f t="shared" si="0"/>
        <v>-573</v>
      </c>
      <c r="G11" s="161">
        <f t="shared" si="1"/>
        <v>0.5276174773289365</v>
      </c>
      <c r="H11" s="141">
        <v>640</v>
      </c>
      <c r="I11" s="142">
        <v>0</v>
      </c>
      <c r="J11" s="174">
        <f t="shared" si="2"/>
        <v>640</v>
      </c>
      <c r="K11" s="164">
        <f t="shared" si="3"/>
        <v>0</v>
      </c>
      <c r="L11" s="165">
        <f t="shared" si="4"/>
        <v>1</v>
      </c>
    </row>
    <row r="12" spans="1:12" ht="14.25">
      <c r="A12" s="465" t="s">
        <v>164</v>
      </c>
      <c r="B12" s="465"/>
      <c r="C12" s="465"/>
      <c r="D12" s="143">
        <v>176</v>
      </c>
      <c r="E12" s="140">
        <v>167</v>
      </c>
      <c r="F12" s="160">
        <f t="shared" si="0"/>
        <v>-9</v>
      </c>
      <c r="G12" s="161">
        <f t="shared" si="1"/>
        <v>0.9488636363636364</v>
      </c>
      <c r="H12" s="141">
        <v>160</v>
      </c>
      <c r="I12" s="142">
        <v>0</v>
      </c>
      <c r="J12" s="174">
        <f t="shared" si="2"/>
        <v>160</v>
      </c>
      <c r="K12" s="164">
        <f t="shared" si="3"/>
        <v>-7</v>
      </c>
      <c r="L12" s="165">
        <f t="shared" si="4"/>
        <v>0.9580838323353293</v>
      </c>
    </row>
    <row r="13" spans="1:12" ht="14.25">
      <c r="A13" s="465" t="s">
        <v>71</v>
      </c>
      <c r="B13" s="465"/>
      <c r="C13" s="465"/>
      <c r="D13" s="143">
        <v>1</v>
      </c>
      <c r="E13" s="140">
        <v>1</v>
      </c>
      <c r="F13" s="160">
        <f t="shared" si="0"/>
        <v>0</v>
      </c>
      <c r="G13" s="161">
        <f t="shared" si="1"/>
        <v>1</v>
      </c>
      <c r="H13" s="141">
        <v>0</v>
      </c>
      <c r="I13" s="142">
        <v>0</v>
      </c>
      <c r="J13" s="174">
        <f t="shared" si="2"/>
        <v>0</v>
      </c>
      <c r="K13" s="164">
        <f t="shared" si="3"/>
        <v>-1</v>
      </c>
      <c r="L13" s="165">
        <f t="shared" si="4"/>
        <v>0</v>
      </c>
    </row>
    <row r="14" spans="1:20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/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/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ht="14.25">
      <c r="A16" s="456" t="s">
        <v>74</v>
      </c>
      <c r="B16" s="456"/>
      <c r="C16" s="456"/>
      <c r="D16" s="143">
        <v>371</v>
      </c>
      <c r="E16" s="140">
        <v>544</v>
      </c>
      <c r="F16" s="160">
        <f t="shared" si="0"/>
        <v>173</v>
      </c>
      <c r="G16" s="161">
        <f t="shared" si="1"/>
        <v>1.4663072776280324</v>
      </c>
      <c r="H16" s="141">
        <v>96</v>
      </c>
      <c r="I16" s="142">
        <v>0</v>
      </c>
      <c r="J16" s="174">
        <f t="shared" si="2"/>
        <v>96</v>
      </c>
      <c r="K16" s="164">
        <f t="shared" si="3"/>
        <v>-448</v>
      </c>
      <c r="L16" s="165">
        <f t="shared" si="4"/>
        <v>0.17647058823529413</v>
      </c>
      <c r="N16" s="139"/>
      <c r="O16" s="139"/>
      <c r="P16" s="139"/>
      <c r="Q16" s="139"/>
      <c r="R16" s="139"/>
      <c r="S16" s="139"/>
      <c r="T16" s="139"/>
    </row>
    <row r="17" spans="1:20" ht="14.25">
      <c r="A17" s="456" t="s">
        <v>75</v>
      </c>
      <c r="B17" s="456"/>
      <c r="C17" s="456"/>
      <c r="D17" s="143">
        <v>287</v>
      </c>
      <c r="E17" s="140">
        <v>219</v>
      </c>
      <c r="F17" s="160">
        <f t="shared" si="0"/>
        <v>-68</v>
      </c>
      <c r="G17" s="161">
        <f t="shared" si="1"/>
        <v>0.7630662020905923</v>
      </c>
      <c r="H17" s="141">
        <v>96</v>
      </c>
      <c r="I17" s="142">
        <v>0</v>
      </c>
      <c r="J17" s="174">
        <f t="shared" si="2"/>
        <v>96</v>
      </c>
      <c r="K17" s="164">
        <f t="shared" si="3"/>
        <v>-123</v>
      </c>
      <c r="L17" s="165">
        <f t="shared" si="4"/>
        <v>0.4383561643835616</v>
      </c>
      <c r="N17" s="144"/>
      <c r="O17" s="144"/>
      <c r="P17" s="144"/>
      <c r="Q17" s="144"/>
      <c r="R17" s="144"/>
      <c r="S17" s="144"/>
      <c r="T17" s="144"/>
    </row>
    <row r="18" spans="1:12" ht="14.25">
      <c r="A18" s="456" t="s">
        <v>76</v>
      </c>
      <c r="B18" s="456"/>
      <c r="C18" s="456"/>
      <c r="D18" s="143"/>
      <c r="E18" s="140"/>
      <c r="F18" s="160">
        <f t="shared" si="0"/>
        <v>0</v>
      </c>
      <c r="G18" s="161"/>
      <c r="H18" s="141"/>
      <c r="I18" s="142"/>
      <c r="J18" s="174">
        <f t="shared" si="2"/>
        <v>0</v>
      </c>
      <c r="K18" s="164">
        <f t="shared" si="3"/>
        <v>0</v>
      </c>
      <c r="L18" s="165"/>
    </row>
    <row r="19" spans="1:12" ht="14.25">
      <c r="A19" s="456" t="s">
        <v>77</v>
      </c>
      <c r="B19" s="456"/>
      <c r="C19" s="456"/>
      <c r="D19" s="143"/>
      <c r="E19" s="140"/>
      <c r="F19" s="160">
        <f t="shared" si="0"/>
        <v>0</v>
      </c>
      <c r="G19" s="161"/>
      <c r="H19" s="141"/>
      <c r="I19" s="142"/>
      <c r="J19" s="174">
        <f t="shared" si="2"/>
        <v>0</v>
      </c>
      <c r="K19" s="164">
        <f t="shared" si="3"/>
        <v>0</v>
      </c>
      <c r="L19" s="165"/>
    </row>
    <row r="20" spans="1:12" ht="14.25">
      <c r="A20" s="456" t="s">
        <v>78</v>
      </c>
      <c r="B20" s="456"/>
      <c r="C20" s="456"/>
      <c r="D20" s="143"/>
      <c r="E20" s="140"/>
      <c r="F20" s="160">
        <f t="shared" si="0"/>
        <v>0</v>
      </c>
      <c r="G20" s="161"/>
      <c r="H20" s="141"/>
      <c r="I20" s="142"/>
      <c r="J20" s="174">
        <f t="shared" si="2"/>
        <v>0</v>
      </c>
      <c r="K20" s="164">
        <f t="shared" si="3"/>
        <v>0</v>
      </c>
      <c r="L20" s="165"/>
    </row>
    <row r="21" spans="1:12" ht="14.25">
      <c r="A21" s="456" t="s">
        <v>79</v>
      </c>
      <c r="B21" s="456"/>
      <c r="C21" s="456"/>
      <c r="D21" s="143"/>
      <c r="E21" s="140"/>
      <c r="F21" s="160">
        <f t="shared" si="0"/>
        <v>0</v>
      </c>
      <c r="G21" s="161"/>
      <c r="H21" s="141"/>
      <c r="I21" s="142"/>
      <c r="J21" s="174">
        <f t="shared" si="2"/>
        <v>0</v>
      </c>
      <c r="K21" s="164">
        <f t="shared" si="3"/>
        <v>0</v>
      </c>
      <c r="L21" s="165"/>
    </row>
    <row r="22" spans="1:12" ht="14.25">
      <c r="A22" s="456" t="s">
        <v>80</v>
      </c>
      <c r="B22" s="456"/>
      <c r="C22" s="456"/>
      <c r="D22" s="143">
        <v>8761</v>
      </c>
      <c r="E22" s="177">
        <v>10269</v>
      </c>
      <c r="F22" s="160">
        <f t="shared" si="0"/>
        <v>1508</v>
      </c>
      <c r="G22" s="161">
        <f t="shared" si="1"/>
        <v>1.172126469581098</v>
      </c>
      <c r="H22" s="172">
        <v>10046</v>
      </c>
      <c r="I22" s="173">
        <v>0</v>
      </c>
      <c r="J22" s="174">
        <f t="shared" si="2"/>
        <v>10046</v>
      </c>
      <c r="K22" s="164">
        <f t="shared" si="3"/>
        <v>-223</v>
      </c>
      <c r="L22" s="165">
        <f t="shared" si="4"/>
        <v>0.9782841561982666</v>
      </c>
    </row>
    <row r="23" spans="1:12" ht="14.25">
      <c r="A23" s="456" t="s">
        <v>81</v>
      </c>
      <c r="B23" s="456"/>
      <c r="C23" s="456"/>
      <c r="D23" s="143">
        <v>1726</v>
      </c>
      <c r="E23" s="140">
        <v>3238</v>
      </c>
      <c r="F23" s="160">
        <f t="shared" si="0"/>
        <v>1512</v>
      </c>
      <c r="G23" s="161">
        <f t="shared" si="1"/>
        <v>1.8760139049826188</v>
      </c>
      <c r="H23" s="141">
        <v>1226</v>
      </c>
      <c r="I23" s="142">
        <v>0</v>
      </c>
      <c r="J23" s="174">
        <f t="shared" si="2"/>
        <v>1226</v>
      </c>
      <c r="K23" s="164">
        <f t="shared" si="3"/>
        <v>-2012</v>
      </c>
      <c r="L23" s="165">
        <f t="shared" si="4"/>
        <v>0.3786287831995059</v>
      </c>
    </row>
    <row r="24" spans="1:12" ht="14.25">
      <c r="A24" s="456" t="s">
        <v>82</v>
      </c>
      <c r="B24" s="456"/>
      <c r="C24" s="456"/>
      <c r="D24" s="143">
        <v>7035</v>
      </c>
      <c r="E24" s="140">
        <v>7031</v>
      </c>
      <c r="F24" s="160">
        <f t="shared" si="0"/>
        <v>-4</v>
      </c>
      <c r="G24" s="161">
        <f t="shared" si="1"/>
        <v>0.9994314143567875</v>
      </c>
      <c r="H24" s="141">
        <v>8820</v>
      </c>
      <c r="I24" s="142">
        <v>0</v>
      </c>
      <c r="J24" s="174">
        <f t="shared" si="2"/>
        <v>8820</v>
      </c>
      <c r="K24" s="164">
        <f t="shared" si="3"/>
        <v>1789</v>
      </c>
      <c r="L24" s="165">
        <f t="shared" si="4"/>
        <v>1.2544446024747546</v>
      </c>
    </row>
    <row r="25" spans="1:12" ht="14.25">
      <c r="A25" s="456" t="s">
        <v>83</v>
      </c>
      <c r="B25" s="456"/>
      <c r="C25" s="456"/>
      <c r="D25" s="143"/>
      <c r="E25" s="140"/>
      <c r="F25" s="160">
        <f t="shared" si="0"/>
        <v>0</v>
      </c>
      <c r="G25" s="161"/>
      <c r="H25" s="141"/>
      <c r="I25" s="142"/>
      <c r="J25" s="174">
        <f t="shared" si="2"/>
        <v>0</v>
      </c>
      <c r="K25" s="164">
        <f t="shared" si="3"/>
        <v>0</v>
      </c>
      <c r="L25" s="165"/>
    </row>
    <row r="26" spans="1:12" ht="15" thickBot="1">
      <c r="A26" s="494" t="s">
        <v>118</v>
      </c>
      <c r="B26" s="494"/>
      <c r="C26" s="494"/>
      <c r="D26" s="159"/>
      <c r="E26" s="148"/>
      <c r="F26" s="162">
        <f t="shared" si="0"/>
        <v>0</v>
      </c>
      <c r="G26" s="163"/>
      <c r="H26" s="145"/>
      <c r="I26" s="146"/>
      <c r="J26" s="178">
        <f t="shared" si="2"/>
        <v>0</v>
      </c>
      <c r="K26" s="166">
        <f t="shared" si="3"/>
        <v>0</v>
      </c>
      <c r="L26" s="167"/>
    </row>
    <row r="27" spans="1:12" ht="15.75" thickBot="1">
      <c r="A27" s="462" t="s">
        <v>84</v>
      </c>
      <c r="B27" s="462"/>
      <c r="C27" s="462"/>
      <c r="D27" s="179">
        <v>20991</v>
      </c>
      <c r="E27" s="180">
        <v>22365</v>
      </c>
      <c r="F27" s="181">
        <f t="shared" si="0"/>
        <v>1374</v>
      </c>
      <c r="G27" s="182">
        <f t="shared" si="1"/>
        <v>1.0654566242675432</v>
      </c>
      <c r="H27" s="183">
        <v>21234</v>
      </c>
      <c r="I27" s="184"/>
      <c r="J27" s="185">
        <f t="shared" si="2"/>
        <v>21234</v>
      </c>
      <c r="K27" s="183">
        <f t="shared" si="3"/>
        <v>-1131</v>
      </c>
      <c r="L27" s="186">
        <f t="shared" si="4"/>
        <v>0.9494299128101945</v>
      </c>
    </row>
    <row r="28" spans="1:12" ht="14.25">
      <c r="A28" s="495" t="s">
        <v>85</v>
      </c>
      <c r="B28" s="495"/>
      <c r="C28" s="495"/>
      <c r="D28" s="187">
        <v>2556</v>
      </c>
      <c r="E28" s="188">
        <v>2539</v>
      </c>
      <c r="F28" s="189">
        <f t="shared" si="0"/>
        <v>-17</v>
      </c>
      <c r="G28" s="190">
        <f t="shared" si="1"/>
        <v>0.9933489827856025</v>
      </c>
      <c r="H28" s="191">
        <v>1607</v>
      </c>
      <c r="I28" s="192">
        <v>0</v>
      </c>
      <c r="J28" s="193">
        <f t="shared" si="2"/>
        <v>1607</v>
      </c>
      <c r="K28" s="194">
        <f t="shared" si="3"/>
        <v>-932</v>
      </c>
      <c r="L28" s="195">
        <f t="shared" si="4"/>
        <v>0.632926348956282</v>
      </c>
    </row>
    <row r="29" spans="1:12" ht="14.25">
      <c r="A29" s="441" t="s">
        <v>86</v>
      </c>
      <c r="B29" s="441"/>
      <c r="C29" s="441"/>
      <c r="D29" s="143">
        <v>1792</v>
      </c>
      <c r="E29" s="140">
        <v>1503</v>
      </c>
      <c r="F29" s="160">
        <f t="shared" si="0"/>
        <v>-289</v>
      </c>
      <c r="G29" s="161">
        <f t="shared" si="1"/>
        <v>0.8387276785714286</v>
      </c>
      <c r="H29" s="141">
        <v>635</v>
      </c>
      <c r="I29" s="142">
        <v>0</v>
      </c>
      <c r="J29" s="174">
        <f t="shared" si="2"/>
        <v>635</v>
      </c>
      <c r="K29" s="164">
        <f t="shared" si="3"/>
        <v>-868</v>
      </c>
      <c r="L29" s="165">
        <f t="shared" si="4"/>
        <v>0.42248835662009315</v>
      </c>
    </row>
    <row r="30" spans="1:12" ht="14.25">
      <c r="A30" s="441" t="s">
        <v>87</v>
      </c>
      <c r="B30" s="441"/>
      <c r="C30" s="441"/>
      <c r="D30" s="143">
        <v>67</v>
      </c>
      <c r="E30" s="140">
        <v>110</v>
      </c>
      <c r="F30" s="160">
        <f t="shared" si="0"/>
        <v>43</v>
      </c>
      <c r="G30" s="161">
        <f t="shared" si="1"/>
        <v>1.6417910447761195</v>
      </c>
      <c r="H30" s="141">
        <v>120</v>
      </c>
      <c r="I30" s="142">
        <v>0</v>
      </c>
      <c r="J30" s="174">
        <f t="shared" si="2"/>
        <v>120</v>
      </c>
      <c r="K30" s="164">
        <f t="shared" si="3"/>
        <v>10</v>
      </c>
      <c r="L30" s="165">
        <f t="shared" si="4"/>
        <v>1.0909090909090908</v>
      </c>
    </row>
    <row r="31" spans="1:12" ht="14.25">
      <c r="A31" s="441" t="s">
        <v>88</v>
      </c>
      <c r="B31" s="441"/>
      <c r="C31" s="441"/>
      <c r="D31" s="143">
        <v>195</v>
      </c>
      <c r="E31" s="140">
        <v>232</v>
      </c>
      <c r="F31" s="160">
        <f t="shared" si="0"/>
        <v>37</v>
      </c>
      <c r="G31" s="161">
        <f t="shared" si="1"/>
        <v>1.1897435897435897</v>
      </c>
      <c r="H31" s="141">
        <v>200</v>
      </c>
      <c r="I31" s="142">
        <v>0</v>
      </c>
      <c r="J31" s="174">
        <f t="shared" si="2"/>
        <v>200</v>
      </c>
      <c r="K31" s="164">
        <f t="shared" si="3"/>
        <v>-32</v>
      </c>
      <c r="L31" s="165">
        <f t="shared" si="4"/>
        <v>0.8620689655172413</v>
      </c>
    </row>
    <row r="32" spans="1:12" ht="14.25">
      <c r="A32" s="441" t="s">
        <v>89</v>
      </c>
      <c r="B32" s="441"/>
      <c r="C32" s="441"/>
      <c r="D32" s="143">
        <v>491</v>
      </c>
      <c r="E32" s="140">
        <v>682</v>
      </c>
      <c r="F32" s="160">
        <f t="shared" si="0"/>
        <v>191</v>
      </c>
      <c r="G32" s="161">
        <f t="shared" si="1"/>
        <v>1.3890020366598779</v>
      </c>
      <c r="H32" s="141">
        <v>640</v>
      </c>
      <c r="I32" s="142">
        <v>0</v>
      </c>
      <c r="J32" s="174">
        <f t="shared" si="2"/>
        <v>640</v>
      </c>
      <c r="K32" s="164">
        <f t="shared" si="3"/>
        <v>-42</v>
      </c>
      <c r="L32" s="165">
        <f t="shared" si="4"/>
        <v>0.9384164222873901</v>
      </c>
    </row>
    <row r="33" spans="1:12" ht="14.25">
      <c r="A33" s="441" t="s">
        <v>90</v>
      </c>
      <c r="B33" s="441"/>
      <c r="C33" s="441"/>
      <c r="D33" s="143">
        <v>11</v>
      </c>
      <c r="E33" s="140">
        <v>12</v>
      </c>
      <c r="F33" s="160">
        <f t="shared" si="0"/>
        <v>1</v>
      </c>
      <c r="G33" s="161">
        <f t="shared" si="1"/>
        <v>1.0909090909090908</v>
      </c>
      <c r="H33" s="141">
        <v>12</v>
      </c>
      <c r="I33" s="142">
        <v>0</v>
      </c>
      <c r="J33" s="174">
        <f t="shared" si="2"/>
        <v>12</v>
      </c>
      <c r="K33" s="164">
        <f t="shared" si="3"/>
        <v>0</v>
      </c>
      <c r="L33" s="165">
        <f t="shared" si="4"/>
        <v>1</v>
      </c>
    </row>
    <row r="34" spans="1:12" ht="14.25">
      <c r="A34" s="441" t="s">
        <v>91</v>
      </c>
      <c r="B34" s="441"/>
      <c r="C34" s="441"/>
      <c r="D34" s="196">
        <v>983</v>
      </c>
      <c r="E34" s="177"/>
      <c r="F34" s="197">
        <f t="shared" si="0"/>
        <v>-983</v>
      </c>
      <c r="G34" s="198">
        <f t="shared" si="1"/>
        <v>0</v>
      </c>
      <c r="H34" s="172">
        <v>282</v>
      </c>
      <c r="I34" s="173">
        <v>0</v>
      </c>
      <c r="J34" s="174">
        <f t="shared" si="2"/>
        <v>282</v>
      </c>
      <c r="K34" s="199">
        <f t="shared" si="3"/>
        <v>282</v>
      </c>
      <c r="L34" s="200"/>
    </row>
    <row r="35" spans="1:12" ht="14.25">
      <c r="A35" s="441" t="s">
        <v>92</v>
      </c>
      <c r="B35" s="441"/>
      <c r="C35" s="441"/>
      <c r="D35" s="143">
        <v>418</v>
      </c>
      <c r="E35" s="140">
        <v>371</v>
      </c>
      <c r="F35" s="160">
        <f t="shared" si="0"/>
        <v>-47</v>
      </c>
      <c r="G35" s="161">
        <f t="shared" si="1"/>
        <v>0.8875598086124402</v>
      </c>
      <c r="H35" s="141">
        <v>95</v>
      </c>
      <c r="I35" s="142">
        <v>0</v>
      </c>
      <c r="J35" s="174">
        <f t="shared" si="2"/>
        <v>95</v>
      </c>
      <c r="K35" s="164">
        <f t="shared" si="3"/>
        <v>-276</v>
      </c>
      <c r="L35" s="165">
        <f t="shared" si="4"/>
        <v>0.2560646900269542</v>
      </c>
    </row>
    <row r="36" spans="1:12" ht="14.25">
      <c r="A36" s="441" t="s">
        <v>93</v>
      </c>
      <c r="B36" s="441"/>
      <c r="C36" s="441"/>
      <c r="D36" s="143">
        <v>565</v>
      </c>
      <c r="E36" s="140">
        <v>604</v>
      </c>
      <c r="F36" s="160">
        <f t="shared" si="0"/>
        <v>39</v>
      </c>
      <c r="G36" s="161">
        <f t="shared" si="1"/>
        <v>1.0690265486725663</v>
      </c>
      <c r="H36" s="141">
        <v>160</v>
      </c>
      <c r="I36" s="142">
        <v>0</v>
      </c>
      <c r="J36" s="174">
        <f t="shared" si="2"/>
        <v>160</v>
      </c>
      <c r="K36" s="164">
        <f t="shared" si="3"/>
        <v>-444</v>
      </c>
      <c r="L36" s="165">
        <f t="shared" si="4"/>
        <v>0.26490066225165565</v>
      </c>
    </row>
    <row r="37" spans="1:12" ht="14.25">
      <c r="A37" s="441" t="s">
        <v>94</v>
      </c>
      <c r="B37" s="441"/>
      <c r="C37" s="441"/>
      <c r="D37" s="143"/>
      <c r="E37" s="140">
        <v>0</v>
      </c>
      <c r="F37" s="160">
        <f t="shared" si="0"/>
        <v>0</v>
      </c>
      <c r="G37" s="161"/>
      <c r="H37" s="141"/>
      <c r="I37" s="142"/>
      <c r="J37" s="174">
        <f t="shared" si="2"/>
        <v>0</v>
      </c>
      <c r="K37" s="164">
        <f t="shared" si="3"/>
        <v>0</v>
      </c>
      <c r="L37" s="165"/>
    </row>
    <row r="38" spans="1:12" ht="14.25">
      <c r="A38" s="441" t="s">
        <v>95</v>
      </c>
      <c r="B38" s="441"/>
      <c r="C38" s="441"/>
      <c r="D38" s="143"/>
      <c r="E38" s="140"/>
      <c r="F38" s="160">
        <f t="shared" si="0"/>
        <v>0</v>
      </c>
      <c r="G38" s="161"/>
      <c r="H38" s="141"/>
      <c r="I38" s="142"/>
      <c r="J38" s="174">
        <f t="shared" si="2"/>
        <v>0</v>
      </c>
      <c r="K38" s="164">
        <f t="shared" si="3"/>
        <v>0</v>
      </c>
      <c r="L38" s="165"/>
    </row>
    <row r="39" spans="1:12" ht="14.25">
      <c r="A39" s="441" t="s">
        <v>96</v>
      </c>
      <c r="B39" s="441"/>
      <c r="C39" s="441"/>
      <c r="D39" s="143"/>
      <c r="E39" s="140">
        <v>11</v>
      </c>
      <c r="F39" s="160">
        <f t="shared" si="0"/>
        <v>11</v>
      </c>
      <c r="G39" s="161"/>
      <c r="H39" s="141">
        <v>27</v>
      </c>
      <c r="I39" s="142">
        <v>0</v>
      </c>
      <c r="J39" s="174">
        <f t="shared" si="2"/>
        <v>27</v>
      </c>
      <c r="K39" s="164">
        <f t="shared" si="3"/>
        <v>16</v>
      </c>
      <c r="L39" s="165">
        <f t="shared" si="4"/>
        <v>2.4545454545454546</v>
      </c>
    </row>
    <row r="40" spans="1:12" ht="14.25">
      <c r="A40" s="441" t="s">
        <v>97</v>
      </c>
      <c r="B40" s="441"/>
      <c r="C40" s="441"/>
      <c r="D40" s="143"/>
      <c r="E40" s="140"/>
      <c r="F40" s="160">
        <f t="shared" si="0"/>
        <v>0</v>
      </c>
      <c r="G40" s="161"/>
      <c r="H40" s="141"/>
      <c r="I40" s="142"/>
      <c r="J40" s="174">
        <f t="shared" si="2"/>
        <v>0</v>
      </c>
      <c r="K40" s="164">
        <f t="shared" si="3"/>
        <v>0</v>
      </c>
      <c r="L40" s="165"/>
    </row>
    <row r="41" spans="1:12" ht="14.25">
      <c r="A41" s="441" t="s">
        <v>98</v>
      </c>
      <c r="B41" s="441"/>
      <c r="C41" s="441"/>
      <c r="D41" s="143">
        <v>245</v>
      </c>
      <c r="E41" s="140">
        <v>211</v>
      </c>
      <c r="F41" s="160">
        <f t="shared" si="0"/>
        <v>-34</v>
      </c>
      <c r="G41" s="161">
        <f t="shared" si="1"/>
        <v>0.8612244897959184</v>
      </c>
      <c r="H41" s="141">
        <v>140</v>
      </c>
      <c r="I41" s="142">
        <v>0</v>
      </c>
      <c r="J41" s="174">
        <f t="shared" si="2"/>
        <v>140</v>
      </c>
      <c r="K41" s="164">
        <f t="shared" si="3"/>
        <v>-71</v>
      </c>
      <c r="L41" s="165">
        <f t="shared" si="4"/>
        <v>0.6635071090047393</v>
      </c>
    </row>
    <row r="42" spans="1:12" ht="14.25">
      <c r="A42" s="441" t="s">
        <v>99</v>
      </c>
      <c r="B42" s="441"/>
      <c r="C42" s="441"/>
      <c r="D42" s="143">
        <v>106</v>
      </c>
      <c r="E42" s="140">
        <v>127</v>
      </c>
      <c r="F42" s="160">
        <f t="shared" si="0"/>
        <v>21</v>
      </c>
      <c r="G42" s="161">
        <f t="shared" si="1"/>
        <v>1.1981132075471699</v>
      </c>
      <c r="H42" s="141">
        <v>132</v>
      </c>
      <c r="I42" s="142">
        <v>0</v>
      </c>
      <c r="J42" s="174">
        <f t="shared" si="2"/>
        <v>132</v>
      </c>
      <c r="K42" s="164">
        <f t="shared" si="3"/>
        <v>5</v>
      </c>
      <c r="L42" s="165">
        <f t="shared" si="4"/>
        <v>1.0393700787401574</v>
      </c>
    </row>
    <row r="43" spans="1:12" ht="14.25">
      <c r="A43" s="441" t="s">
        <v>100</v>
      </c>
      <c r="B43" s="441"/>
      <c r="C43" s="441"/>
      <c r="D43" s="143">
        <v>4</v>
      </c>
      <c r="E43" s="140">
        <v>12</v>
      </c>
      <c r="F43" s="160">
        <f t="shared" si="0"/>
        <v>8</v>
      </c>
      <c r="G43" s="161">
        <f t="shared" si="1"/>
        <v>3</v>
      </c>
      <c r="H43" s="141">
        <v>0</v>
      </c>
      <c r="I43" s="142">
        <v>0</v>
      </c>
      <c r="J43" s="174">
        <f t="shared" si="2"/>
        <v>0</v>
      </c>
      <c r="K43" s="164">
        <f t="shared" si="3"/>
        <v>-12</v>
      </c>
      <c r="L43" s="165">
        <f t="shared" si="4"/>
        <v>0</v>
      </c>
    </row>
    <row r="44" spans="1:12" ht="14.25">
      <c r="A44" s="441" t="s">
        <v>101</v>
      </c>
      <c r="B44" s="441"/>
      <c r="C44" s="441"/>
      <c r="D44" s="143">
        <v>2266</v>
      </c>
      <c r="E44" s="140">
        <v>3147</v>
      </c>
      <c r="F44" s="160">
        <f t="shared" si="0"/>
        <v>881</v>
      </c>
      <c r="G44" s="161">
        <f t="shared" si="1"/>
        <v>1.3887908208296558</v>
      </c>
      <c r="H44" s="141">
        <v>5295</v>
      </c>
      <c r="I44" s="142">
        <v>0</v>
      </c>
      <c r="J44" s="174">
        <f t="shared" si="2"/>
        <v>5295</v>
      </c>
      <c r="K44" s="164">
        <f t="shared" si="3"/>
        <v>2148</v>
      </c>
      <c r="L44" s="165">
        <f t="shared" si="4"/>
        <v>1.682554814108675</v>
      </c>
    </row>
    <row r="45" spans="1:15" ht="14.25">
      <c r="A45" s="441" t="s">
        <v>102</v>
      </c>
      <c r="B45" s="441"/>
      <c r="C45" s="441"/>
      <c r="D45" s="143">
        <v>106</v>
      </c>
      <c r="E45" s="140">
        <v>148</v>
      </c>
      <c r="F45" s="160">
        <f t="shared" si="0"/>
        <v>42</v>
      </c>
      <c r="G45" s="161">
        <f t="shared" si="1"/>
        <v>1.3962264150943395</v>
      </c>
      <c r="H45" s="141">
        <v>160</v>
      </c>
      <c r="I45" s="142">
        <v>0</v>
      </c>
      <c r="J45" s="174">
        <f t="shared" si="2"/>
        <v>160</v>
      </c>
      <c r="K45" s="164">
        <f t="shared" si="3"/>
        <v>12</v>
      </c>
      <c r="L45" s="165">
        <f t="shared" si="4"/>
        <v>1.0810810810810811</v>
      </c>
      <c r="O45" s="147"/>
    </row>
    <row r="46" spans="1:12" ht="14.25">
      <c r="A46" s="441" t="s">
        <v>103</v>
      </c>
      <c r="B46" s="441"/>
      <c r="C46" s="441"/>
      <c r="D46" s="143">
        <v>1794</v>
      </c>
      <c r="E46" s="140">
        <v>2156</v>
      </c>
      <c r="F46" s="160">
        <f t="shared" si="0"/>
        <v>362</v>
      </c>
      <c r="G46" s="161">
        <f t="shared" si="1"/>
        <v>1.201783723522854</v>
      </c>
      <c r="H46" s="141">
        <v>3260</v>
      </c>
      <c r="I46" s="142">
        <v>0</v>
      </c>
      <c r="J46" s="174">
        <f t="shared" si="2"/>
        <v>3260</v>
      </c>
      <c r="K46" s="164">
        <f t="shared" si="3"/>
        <v>1104</v>
      </c>
      <c r="L46" s="165">
        <f t="shared" si="4"/>
        <v>1.5120593692022264</v>
      </c>
    </row>
    <row r="47" spans="1:12" ht="14.25">
      <c r="A47" s="441" t="s">
        <v>104</v>
      </c>
      <c r="B47" s="441"/>
      <c r="C47" s="441"/>
      <c r="D47" s="143">
        <v>363</v>
      </c>
      <c r="E47" s="140">
        <v>843</v>
      </c>
      <c r="F47" s="160">
        <f t="shared" si="0"/>
        <v>480</v>
      </c>
      <c r="G47" s="161">
        <f t="shared" si="1"/>
        <v>2.322314049586777</v>
      </c>
      <c r="H47" s="141">
        <v>1875</v>
      </c>
      <c r="I47" s="142">
        <v>0</v>
      </c>
      <c r="J47" s="174">
        <f t="shared" si="2"/>
        <v>1875</v>
      </c>
      <c r="K47" s="164">
        <f t="shared" si="3"/>
        <v>1032</v>
      </c>
      <c r="L47" s="165">
        <f t="shared" si="4"/>
        <v>2.224199288256228</v>
      </c>
    </row>
    <row r="48" spans="1:12" ht="14.25">
      <c r="A48" s="441" t="s">
        <v>105</v>
      </c>
      <c r="B48" s="441"/>
      <c r="C48" s="441"/>
      <c r="D48" s="196">
        <v>14045</v>
      </c>
      <c r="E48" s="177">
        <v>14797</v>
      </c>
      <c r="F48" s="197">
        <f t="shared" si="0"/>
        <v>752</v>
      </c>
      <c r="G48" s="198">
        <f t="shared" si="1"/>
        <v>1.0535421858312566</v>
      </c>
      <c r="H48" s="172">
        <v>14640</v>
      </c>
      <c r="I48" s="173">
        <v>0</v>
      </c>
      <c r="J48" s="174">
        <f t="shared" si="2"/>
        <v>14640</v>
      </c>
      <c r="K48" s="199">
        <f t="shared" si="3"/>
        <v>-157</v>
      </c>
      <c r="L48" s="200">
        <f t="shared" si="4"/>
        <v>0.9893897411637494</v>
      </c>
    </row>
    <row r="49" spans="1:12" ht="14.25">
      <c r="A49" s="441" t="s">
        <v>106</v>
      </c>
      <c r="B49" s="441"/>
      <c r="C49" s="441"/>
      <c r="D49" s="143">
        <v>10471</v>
      </c>
      <c r="E49" s="140">
        <v>11018</v>
      </c>
      <c r="F49" s="160">
        <f t="shared" si="0"/>
        <v>547</v>
      </c>
      <c r="G49" s="161">
        <f t="shared" si="1"/>
        <v>1.0522395186706142</v>
      </c>
      <c r="H49" s="141">
        <v>10640</v>
      </c>
      <c r="I49" s="142">
        <v>0</v>
      </c>
      <c r="J49" s="174">
        <f t="shared" si="2"/>
        <v>10640</v>
      </c>
      <c r="K49" s="164">
        <f t="shared" si="3"/>
        <v>-378</v>
      </c>
      <c r="L49" s="165">
        <f t="shared" si="4"/>
        <v>0.96569250317662</v>
      </c>
    </row>
    <row r="50" spans="1:12" ht="14.25">
      <c r="A50" s="441" t="s">
        <v>107</v>
      </c>
      <c r="B50" s="441"/>
      <c r="C50" s="441"/>
      <c r="D50" s="143">
        <v>10403</v>
      </c>
      <c r="E50" s="140">
        <v>10325</v>
      </c>
      <c r="F50" s="160">
        <f t="shared" si="0"/>
        <v>-78</v>
      </c>
      <c r="G50" s="161">
        <f t="shared" si="1"/>
        <v>0.992502162837643</v>
      </c>
      <c r="H50" s="141">
        <v>10560</v>
      </c>
      <c r="I50" s="142">
        <v>0</v>
      </c>
      <c r="J50" s="174">
        <f t="shared" si="2"/>
        <v>10560</v>
      </c>
      <c r="K50" s="164">
        <f t="shared" si="3"/>
        <v>235</v>
      </c>
      <c r="L50" s="165">
        <f t="shared" si="4"/>
        <v>1.0227602905569007</v>
      </c>
    </row>
    <row r="51" spans="1:12" ht="14.25">
      <c r="A51" s="441" t="s">
        <v>108</v>
      </c>
      <c r="B51" s="441"/>
      <c r="C51" s="441"/>
      <c r="D51" s="143">
        <v>68</v>
      </c>
      <c r="E51" s="140">
        <v>693</v>
      </c>
      <c r="F51" s="160">
        <f t="shared" si="0"/>
        <v>625</v>
      </c>
      <c r="G51" s="161">
        <f t="shared" si="1"/>
        <v>10.191176470588236</v>
      </c>
      <c r="H51" s="141">
        <v>80</v>
      </c>
      <c r="I51" s="142">
        <v>0</v>
      </c>
      <c r="J51" s="174">
        <f t="shared" si="2"/>
        <v>80</v>
      </c>
      <c r="K51" s="164">
        <f t="shared" si="3"/>
        <v>-613</v>
      </c>
      <c r="L51" s="165">
        <f t="shared" si="4"/>
        <v>0.11544011544011544</v>
      </c>
    </row>
    <row r="52" spans="1:12" ht="14.25">
      <c r="A52" s="441" t="s">
        <v>109</v>
      </c>
      <c r="B52" s="441"/>
      <c r="C52" s="441"/>
      <c r="D52" s="143">
        <v>3574</v>
      </c>
      <c r="E52" s="140">
        <v>3779</v>
      </c>
      <c r="F52" s="160">
        <f t="shared" si="0"/>
        <v>205</v>
      </c>
      <c r="G52" s="161">
        <f t="shared" si="1"/>
        <v>1.057358701734751</v>
      </c>
      <c r="H52" s="141">
        <v>4000</v>
      </c>
      <c r="I52" s="142">
        <v>0</v>
      </c>
      <c r="J52" s="174">
        <f t="shared" si="2"/>
        <v>4000</v>
      </c>
      <c r="K52" s="164">
        <f t="shared" si="3"/>
        <v>221</v>
      </c>
      <c r="L52" s="165">
        <f t="shared" si="4"/>
        <v>1.0584810796507012</v>
      </c>
    </row>
    <row r="53" spans="1:12" ht="14.25">
      <c r="A53" s="441" t="s">
        <v>110</v>
      </c>
      <c r="B53" s="441"/>
      <c r="C53" s="441"/>
      <c r="D53" s="143"/>
      <c r="E53" s="140"/>
      <c r="F53" s="160">
        <f t="shared" si="0"/>
        <v>0</v>
      </c>
      <c r="G53" s="161"/>
      <c r="H53" s="141">
        <v>0</v>
      </c>
      <c r="I53" s="142">
        <v>0</v>
      </c>
      <c r="J53" s="174">
        <f t="shared" si="2"/>
        <v>0</v>
      </c>
      <c r="K53" s="164">
        <f t="shared" si="3"/>
        <v>0</v>
      </c>
      <c r="L53" s="165"/>
    </row>
    <row r="54" spans="1:12" ht="14.25">
      <c r="A54" s="441" t="s">
        <v>111</v>
      </c>
      <c r="B54" s="441"/>
      <c r="C54" s="441"/>
      <c r="D54" s="143">
        <v>2</v>
      </c>
      <c r="E54" s="140">
        <v>1</v>
      </c>
      <c r="F54" s="160">
        <f t="shared" si="0"/>
        <v>-1</v>
      </c>
      <c r="G54" s="161">
        <f t="shared" si="1"/>
        <v>0.5</v>
      </c>
      <c r="H54" s="141">
        <v>3</v>
      </c>
      <c r="I54" s="142">
        <v>0</v>
      </c>
      <c r="J54" s="174">
        <f t="shared" si="2"/>
        <v>3</v>
      </c>
      <c r="K54" s="164">
        <f t="shared" si="3"/>
        <v>2</v>
      </c>
      <c r="L54" s="165">
        <f t="shared" si="4"/>
        <v>3</v>
      </c>
    </row>
    <row r="55" spans="1:12" ht="14.25">
      <c r="A55" s="441" t="s">
        <v>112</v>
      </c>
      <c r="B55" s="441"/>
      <c r="C55" s="441"/>
      <c r="D55" s="143">
        <v>105</v>
      </c>
      <c r="E55" s="140">
        <v>86</v>
      </c>
      <c r="F55" s="160">
        <f t="shared" si="0"/>
        <v>-19</v>
      </c>
      <c r="G55" s="161">
        <f t="shared" si="1"/>
        <v>0.819047619047619</v>
      </c>
      <c r="H55" s="141">
        <v>85</v>
      </c>
      <c r="I55" s="142">
        <v>0</v>
      </c>
      <c r="J55" s="174">
        <f t="shared" si="2"/>
        <v>85</v>
      </c>
      <c r="K55" s="164">
        <f t="shared" si="3"/>
        <v>-1</v>
      </c>
      <c r="L55" s="165">
        <f t="shared" si="4"/>
        <v>0.9883720930232558</v>
      </c>
    </row>
    <row r="56" spans="1:12" ht="14.25">
      <c r="A56" s="441" t="s">
        <v>113</v>
      </c>
      <c r="B56" s="441"/>
      <c r="C56" s="441"/>
      <c r="D56" s="143"/>
      <c r="E56" s="140"/>
      <c r="F56" s="160">
        <f t="shared" si="0"/>
        <v>0</v>
      </c>
      <c r="G56" s="161"/>
      <c r="H56" s="141">
        <v>0</v>
      </c>
      <c r="I56" s="142">
        <v>0</v>
      </c>
      <c r="J56" s="174">
        <f t="shared" si="2"/>
        <v>0</v>
      </c>
      <c r="K56" s="164">
        <f t="shared" si="3"/>
        <v>0</v>
      </c>
      <c r="L56" s="165"/>
    </row>
    <row r="57" spans="1:12" ht="14.25">
      <c r="A57" s="441" t="s">
        <v>114</v>
      </c>
      <c r="B57" s="441"/>
      <c r="C57" s="441"/>
      <c r="D57" s="143">
        <v>520</v>
      </c>
      <c r="E57" s="140">
        <v>400</v>
      </c>
      <c r="F57" s="160">
        <f t="shared" si="0"/>
        <v>-120</v>
      </c>
      <c r="G57" s="161">
        <f t="shared" si="1"/>
        <v>0.7692307692307693</v>
      </c>
      <c r="H57" s="141">
        <v>193</v>
      </c>
      <c r="I57" s="142">
        <v>0</v>
      </c>
      <c r="J57" s="174">
        <f t="shared" si="2"/>
        <v>193</v>
      </c>
      <c r="K57" s="164">
        <f t="shared" si="3"/>
        <v>-207</v>
      </c>
      <c r="L57" s="165">
        <f t="shared" si="4"/>
        <v>0.4825</v>
      </c>
    </row>
    <row r="58" spans="1:12" ht="14.25">
      <c r="A58" s="441" t="s">
        <v>115</v>
      </c>
      <c r="B58" s="441"/>
      <c r="C58" s="441"/>
      <c r="D58" s="143"/>
      <c r="E58" s="140"/>
      <c r="F58" s="160">
        <f t="shared" si="0"/>
        <v>0</v>
      </c>
      <c r="G58" s="161"/>
      <c r="H58" s="141">
        <v>0</v>
      </c>
      <c r="I58" s="142">
        <v>0</v>
      </c>
      <c r="J58" s="174">
        <f t="shared" si="2"/>
        <v>0</v>
      </c>
      <c r="K58" s="164">
        <f t="shared" si="3"/>
        <v>0</v>
      </c>
      <c r="L58" s="165"/>
    </row>
    <row r="59" spans="1:12" ht="15" thickBot="1">
      <c r="A59" s="493" t="s">
        <v>162</v>
      </c>
      <c r="B59" s="493"/>
      <c r="C59" s="493"/>
      <c r="D59" s="159"/>
      <c r="E59" s="148">
        <v>27</v>
      </c>
      <c r="F59" s="162">
        <f t="shared" si="0"/>
        <v>27</v>
      </c>
      <c r="G59" s="163"/>
      <c r="H59" s="145">
        <v>23</v>
      </c>
      <c r="I59" s="146">
        <v>0</v>
      </c>
      <c r="J59" s="178">
        <f t="shared" si="2"/>
        <v>23</v>
      </c>
      <c r="K59" s="166">
        <f t="shared" si="3"/>
        <v>-4</v>
      </c>
      <c r="L59" s="167">
        <f t="shared" si="4"/>
        <v>0.8518518518518519</v>
      </c>
    </row>
    <row r="60" spans="1:12" ht="15.75" thickBot="1">
      <c r="A60" s="462" t="s">
        <v>117</v>
      </c>
      <c r="B60" s="462"/>
      <c r="C60" s="462"/>
      <c r="D60" s="179">
        <v>20832</v>
      </c>
      <c r="E60" s="180">
        <v>22333</v>
      </c>
      <c r="F60" s="181">
        <f t="shared" si="0"/>
        <v>1501</v>
      </c>
      <c r="G60" s="182">
        <f t="shared" si="1"/>
        <v>1.0720526113671276</v>
      </c>
      <c r="H60" s="183">
        <v>22400</v>
      </c>
      <c r="I60" s="184"/>
      <c r="J60" s="185">
        <f t="shared" si="2"/>
        <v>22400</v>
      </c>
      <c r="K60" s="183">
        <f t="shared" si="3"/>
        <v>67</v>
      </c>
      <c r="L60" s="186">
        <f t="shared" si="4"/>
        <v>1.0030000447767877</v>
      </c>
    </row>
    <row r="61" spans="1:14" s="6" customFormat="1" ht="15">
      <c r="A61" s="447" t="s">
        <v>17</v>
      </c>
      <c r="B61" s="447"/>
      <c r="C61" s="447"/>
      <c r="D61" s="96">
        <v>159</v>
      </c>
      <c r="E61" s="96">
        <v>32</v>
      </c>
      <c r="F61" s="96">
        <f t="shared" si="0"/>
        <v>-127</v>
      </c>
      <c r="G61" s="96">
        <f t="shared" si="1"/>
        <v>0.20125786163522014</v>
      </c>
      <c r="H61" s="96">
        <f>H27-H60</f>
        <v>-1166</v>
      </c>
      <c r="I61" s="96">
        <v>0</v>
      </c>
      <c r="J61" s="96">
        <f>J27-J60</f>
        <v>-1166</v>
      </c>
      <c r="K61" s="115">
        <f t="shared" si="3"/>
        <v>-1198</v>
      </c>
      <c r="L61" s="115">
        <f t="shared" si="4"/>
        <v>-36.4375</v>
      </c>
      <c r="N61" s="8"/>
    </row>
    <row r="62" spans="1:14" s="6" customFormat="1" ht="15">
      <c r="A62" s="447" t="s">
        <v>18</v>
      </c>
      <c r="B62" s="447"/>
      <c r="C62" s="447"/>
      <c r="D62" s="97"/>
      <c r="E62" s="97"/>
      <c r="F62" s="98"/>
      <c r="G62" s="116"/>
      <c r="H62" s="10"/>
      <c r="I62" s="10"/>
      <c r="J62" s="10"/>
      <c r="K62" s="10"/>
      <c r="L62" s="10"/>
      <c r="N62" s="8"/>
    </row>
    <row r="63" spans="1:15" s="10" customFormat="1" ht="15">
      <c r="A63" s="14"/>
      <c r="B63" s="40"/>
      <c r="C63" s="40"/>
      <c r="D63" s="149"/>
      <c r="E63" s="113"/>
      <c r="F63" s="40"/>
      <c r="G63" s="40"/>
      <c r="H63" s="41"/>
      <c r="I63" s="52"/>
      <c r="J63" s="42"/>
      <c r="K63" s="14"/>
      <c r="L63" s="40"/>
      <c r="M63" s="40"/>
      <c r="N63" s="40"/>
      <c r="O63" s="41"/>
    </row>
    <row r="64" ht="1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212</v>
      </c>
      <c r="B67" s="382"/>
      <c r="C67" s="13">
        <v>350</v>
      </c>
      <c r="D67" s="14"/>
      <c r="E67" s="382" t="s">
        <v>312</v>
      </c>
      <c r="F67" s="382"/>
      <c r="G67" s="382"/>
      <c r="H67" s="382"/>
      <c r="I67" s="15">
        <v>20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213</v>
      </c>
      <c r="B68" s="382"/>
      <c r="C68" s="13">
        <v>60</v>
      </c>
      <c r="D68" s="14"/>
      <c r="E68" s="380" t="s">
        <v>214</v>
      </c>
      <c r="F68" s="380"/>
      <c r="G68" s="380"/>
      <c r="H68" s="380"/>
      <c r="I68" s="16">
        <v>90</v>
      </c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/>
      <c r="B69" s="382"/>
      <c r="C69" s="13"/>
      <c r="D69" s="14"/>
      <c r="E69" s="380" t="s">
        <v>215</v>
      </c>
      <c r="F69" s="380"/>
      <c r="G69" s="380"/>
      <c r="H69" s="380"/>
      <c r="I69" s="16">
        <v>30</v>
      </c>
      <c r="J69" s="11"/>
      <c r="K69" s="21" t="s">
        <v>45</v>
      </c>
      <c r="L69" s="22"/>
      <c r="M69" s="23"/>
      <c r="N69" s="24"/>
    </row>
    <row r="70" spans="1:14" s="6" customFormat="1" ht="15">
      <c r="A70" s="382"/>
      <c r="B70" s="382"/>
      <c r="C70" s="13"/>
      <c r="D70" s="14"/>
      <c r="E70" s="380"/>
      <c r="F70" s="380"/>
      <c r="G70" s="380"/>
      <c r="H70" s="380"/>
      <c r="I70" s="16"/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/>
      <c r="B71" s="384"/>
      <c r="C71" s="15"/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410</v>
      </c>
      <c r="D75" s="36"/>
      <c r="E75" s="404" t="s">
        <v>12</v>
      </c>
      <c r="F75" s="404"/>
      <c r="G75" s="404"/>
      <c r="H75" s="404"/>
      <c r="I75" s="37">
        <f>SUM(I67:I74)</f>
        <v>140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2211</v>
      </c>
      <c r="B81" s="46">
        <v>1034</v>
      </c>
      <c r="C81" s="47">
        <v>193</v>
      </c>
      <c r="D81" s="48">
        <v>132</v>
      </c>
      <c r="E81" s="48">
        <v>61</v>
      </c>
      <c r="F81" s="48"/>
      <c r="G81" s="48"/>
      <c r="H81" s="49"/>
      <c r="I81" s="50"/>
      <c r="J81" s="51">
        <v>984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2185.54</v>
      </c>
      <c r="C86" s="61" t="s">
        <v>38</v>
      </c>
      <c r="D86" s="62" t="s">
        <v>38</v>
      </c>
      <c r="E86" s="62" t="s">
        <v>38</v>
      </c>
      <c r="F86" s="63"/>
      <c r="G86" s="64">
        <v>1420.29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0.71</v>
      </c>
      <c r="C87" s="71">
        <v>1</v>
      </c>
      <c r="D87" s="72">
        <v>0</v>
      </c>
      <c r="E87" s="72">
        <v>1</v>
      </c>
      <c r="F87" s="73">
        <v>0</v>
      </c>
      <c r="G87" s="74">
        <v>0</v>
      </c>
      <c r="H87" s="75">
        <f>+G87-F87</f>
        <v>0</v>
      </c>
      <c r="I87" s="71">
        <v>0</v>
      </c>
      <c r="J87" s="72">
        <v>0</v>
      </c>
      <c r="K87" s="72"/>
      <c r="L87" s="73">
        <f>I87+J87-K87</f>
        <v>0</v>
      </c>
      <c r="M87" s="76"/>
    </row>
    <row r="88" spans="1:13" s="10" customFormat="1" ht="15">
      <c r="A88" s="69" t="s">
        <v>40</v>
      </c>
      <c r="B88" s="70">
        <f>10</f>
        <v>10</v>
      </c>
      <c r="C88" s="71">
        <v>0</v>
      </c>
      <c r="D88" s="72">
        <f>159+84</f>
        <v>243</v>
      </c>
      <c r="E88" s="72">
        <f>159+60</f>
        <v>219</v>
      </c>
      <c r="F88" s="73">
        <f>C88+D88-E88</f>
        <v>24</v>
      </c>
      <c r="G88" s="74">
        <f>24.42+159.12</f>
        <v>183.54000000000002</v>
      </c>
      <c r="H88" s="75">
        <f>+G88-F88</f>
        <v>159.54000000000002</v>
      </c>
      <c r="I88" s="71">
        <v>24</v>
      </c>
      <c r="J88" s="72">
        <v>32</v>
      </c>
      <c r="K88" s="72">
        <v>24</v>
      </c>
      <c r="L88" s="73">
        <f>I88+J88-K88</f>
        <v>32</v>
      </c>
      <c r="M88" s="76"/>
    </row>
    <row r="89" spans="1:13" s="10" customFormat="1" ht="15">
      <c r="A89" s="69" t="s">
        <v>44</v>
      </c>
      <c r="B89" s="70">
        <v>695.49</v>
      </c>
      <c r="C89" s="71">
        <v>699</v>
      </c>
      <c r="D89" s="72">
        <v>400</v>
      </c>
      <c r="E89" s="72">
        <v>704</v>
      </c>
      <c r="F89" s="73">
        <f>C89+D89-E89</f>
        <v>395</v>
      </c>
      <c r="G89" s="74">
        <v>394.83</v>
      </c>
      <c r="H89" s="75">
        <f>+G89-F89</f>
        <v>-0.17000000000001592</v>
      </c>
      <c r="I89" s="77">
        <v>395</v>
      </c>
      <c r="J89" s="78">
        <v>193</v>
      </c>
      <c r="K89" s="78">
        <v>410</v>
      </c>
      <c r="L89" s="73">
        <f>I89+J89-K89</f>
        <v>178</v>
      </c>
      <c r="M89" s="76"/>
    </row>
    <row r="90" spans="1:13" s="10" customFormat="1" ht="15">
      <c r="A90" s="69" t="s">
        <v>41</v>
      </c>
      <c r="B90" s="70">
        <v>1479.32</v>
      </c>
      <c r="C90" s="79" t="s">
        <v>38</v>
      </c>
      <c r="D90" s="62" t="s">
        <v>38</v>
      </c>
      <c r="E90" s="80" t="s">
        <v>38</v>
      </c>
      <c r="F90" s="73"/>
      <c r="G90" s="74">
        <v>1420.29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34.69</v>
      </c>
      <c r="C91" s="84">
        <v>60</v>
      </c>
      <c r="D91" s="85">
        <v>207</v>
      </c>
      <c r="E91" s="85">
        <v>183</v>
      </c>
      <c r="F91" s="73">
        <f>C91+D91-E91</f>
        <v>84</v>
      </c>
      <c r="G91" s="109">
        <v>94.51</v>
      </c>
      <c r="H91" s="110">
        <f>+G91-F91</f>
        <v>10.510000000000005</v>
      </c>
      <c r="I91" s="111">
        <v>84</v>
      </c>
      <c r="J91" s="112">
        <v>96</v>
      </c>
      <c r="K91" s="112">
        <v>147</v>
      </c>
      <c r="L91" s="73">
        <f>I91+J91-K91</f>
        <v>33</v>
      </c>
      <c r="M91" s="76"/>
    </row>
    <row r="94" spans="1:11" s="6" customFormat="1" ht="15.75" thickBot="1">
      <c r="A94" s="5" t="s">
        <v>146</v>
      </c>
      <c r="D94" s="114"/>
      <c r="E94" s="150"/>
      <c r="K94" s="40" t="s">
        <v>46</v>
      </c>
    </row>
    <row r="95" spans="1:11" s="6" customFormat="1" ht="15">
      <c r="A95" s="410" t="s">
        <v>26</v>
      </c>
      <c r="B95" s="410"/>
      <c r="C95" s="410"/>
      <c r="D95" s="151"/>
      <c r="E95" s="410" t="s">
        <v>27</v>
      </c>
      <c r="F95" s="410"/>
      <c r="G95" s="410"/>
      <c r="I95" s="410" t="s">
        <v>23</v>
      </c>
      <c r="J95" s="410"/>
      <c r="K95" s="410"/>
    </row>
    <row r="96" spans="1:11" s="6" customFormat="1" ht="15.75" thickBot="1">
      <c r="A96" s="86" t="s">
        <v>28</v>
      </c>
      <c r="B96" s="87" t="s">
        <v>29</v>
      </c>
      <c r="C96" s="88" t="s">
        <v>25</v>
      </c>
      <c r="D96" s="151"/>
      <c r="E96" s="152"/>
      <c r="F96" s="417" t="s">
        <v>30</v>
      </c>
      <c r="G96" s="417"/>
      <c r="I96" s="86"/>
      <c r="J96" s="87" t="s">
        <v>24</v>
      </c>
      <c r="K96" s="88" t="s">
        <v>25</v>
      </c>
    </row>
    <row r="97" spans="1:11" s="6" customFormat="1" ht="15">
      <c r="A97" s="89">
        <v>2010</v>
      </c>
      <c r="B97" s="90">
        <v>53</v>
      </c>
      <c r="C97" s="91">
        <v>49</v>
      </c>
      <c r="D97" s="149"/>
      <c r="E97" s="89">
        <v>2010</v>
      </c>
      <c r="F97" s="498">
        <v>70</v>
      </c>
      <c r="G97" s="499"/>
      <c r="I97" s="89">
        <v>2010</v>
      </c>
      <c r="J97" s="90">
        <v>10325</v>
      </c>
      <c r="K97" s="91">
        <v>10325</v>
      </c>
    </row>
    <row r="98" spans="1:11" s="6" customFormat="1" ht="15.75" thickBot="1">
      <c r="A98" s="92">
        <v>2011</v>
      </c>
      <c r="B98" s="93">
        <v>44.85</v>
      </c>
      <c r="C98" s="108" t="s">
        <v>62</v>
      </c>
      <c r="D98" s="149"/>
      <c r="E98" s="92">
        <v>2011</v>
      </c>
      <c r="F98" s="496">
        <v>70</v>
      </c>
      <c r="G98" s="497"/>
      <c r="I98" s="92">
        <v>2011</v>
      </c>
      <c r="J98" s="93">
        <v>10560</v>
      </c>
      <c r="K98" s="108" t="s">
        <v>62</v>
      </c>
    </row>
  </sheetData>
  <mergeCells count="104">
    <mergeCell ref="A7:C7"/>
    <mergeCell ref="A62:C62"/>
    <mergeCell ref="A8:C8"/>
    <mergeCell ref="A9:C9"/>
    <mergeCell ref="A10:C10"/>
    <mergeCell ref="A11:C11"/>
    <mergeCell ref="A12:C12"/>
    <mergeCell ref="A13:C13"/>
    <mergeCell ref="A14:C14"/>
    <mergeCell ref="A15:C15"/>
    <mergeCell ref="A2:N2"/>
    <mergeCell ref="A3:G3"/>
    <mergeCell ref="E4:E6"/>
    <mergeCell ref="F4:G4"/>
    <mergeCell ref="A4:C6"/>
    <mergeCell ref="D4:D6"/>
    <mergeCell ref="H4:J4"/>
    <mergeCell ref="K4:L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70:B70"/>
    <mergeCell ref="A56:C56"/>
    <mergeCell ref="A57:C57"/>
    <mergeCell ref="A58:C58"/>
    <mergeCell ref="A59:C59"/>
    <mergeCell ref="E68:H68"/>
    <mergeCell ref="A60:C60"/>
    <mergeCell ref="A61:C61"/>
    <mergeCell ref="A95:C95"/>
    <mergeCell ref="A65:B66"/>
    <mergeCell ref="C65:C66"/>
    <mergeCell ref="A67:B67"/>
    <mergeCell ref="A78:A80"/>
    <mergeCell ref="A68:B68"/>
    <mergeCell ref="A69:B69"/>
    <mergeCell ref="E73:H73"/>
    <mergeCell ref="F98:G98"/>
    <mergeCell ref="E65:H66"/>
    <mergeCell ref="D79:I79"/>
    <mergeCell ref="E95:G95"/>
    <mergeCell ref="I95:K95"/>
    <mergeCell ref="F96:G96"/>
    <mergeCell ref="F97:G97"/>
    <mergeCell ref="I65:I66"/>
    <mergeCell ref="E67:H67"/>
    <mergeCell ref="E69:H69"/>
    <mergeCell ref="B78:B80"/>
    <mergeCell ref="A74:B74"/>
    <mergeCell ref="A75:B75"/>
    <mergeCell ref="A71:B71"/>
    <mergeCell ref="A72:B72"/>
    <mergeCell ref="A73:B73"/>
    <mergeCell ref="E70:H70"/>
    <mergeCell ref="E71:H71"/>
    <mergeCell ref="E72:H72"/>
    <mergeCell ref="J78:J80"/>
    <mergeCell ref="C78:I78"/>
    <mergeCell ref="C79:C80"/>
    <mergeCell ref="E74:H74"/>
    <mergeCell ref="E75:H75"/>
    <mergeCell ref="H84:H85"/>
    <mergeCell ref="I84:L84"/>
    <mergeCell ref="A84:A85"/>
    <mergeCell ref="B84:B85"/>
    <mergeCell ref="C84:F84"/>
    <mergeCell ref="G84:G85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5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T98"/>
  <sheetViews>
    <sheetView view="pageBreakPreview" zoomScale="70" zoomScaleSheetLayoutView="70" workbookViewId="0" topLeftCell="A1">
      <selection activeCell="G92" sqref="G92"/>
    </sheetView>
  </sheetViews>
  <sheetFormatPr defaultColWidth="9.00390625" defaultRowHeight="12.75"/>
  <cols>
    <col min="1" max="1" width="27.875" style="0" customWidth="1"/>
    <col min="2" max="2" width="13.25390625" style="0" customWidth="1"/>
    <col min="3" max="3" width="12.00390625" style="0" customWidth="1"/>
    <col min="4" max="4" width="11.875" style="117" customWidth="1"/>
    <col min="5" max="5" width="11.875" style="118" customWidth="1"/>
    <col min="6" max="12" width="11.875" style="0" customWidth="1"/>
    <col min="13" max="13" width="9.75390625" style="0" customWidth="1"/>
    <col min="14" max="14" width="10.25390625" style="0" customWidth="1"/>
    <col min="15" max="15" width="10.75390625" style="0" customWidth="1"/>
  </cols>
  <sheetData>
    <row r="2" spans="1:14" s="6" customFormat="1" ht="15">
      <c r="A2" s="407" t="s">
        <v>127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2" s="138" customFormat="1" ht="15.75" thickBot="1">
      <c r="A3" s="408" t="s">
        <v>147</v>
      </c>
      <c r="B3" s="408"/>
      <c r="C3" s="408"/>
      <c r="D3" s="408"/>
      <c r="E3" s="408"/>
      <c r="F3" s="408"/>
      <c r="G3" s="408"/>
      <c r="H3" s="7"/>
      <c r="I3" s="6"/>
      <c r="J3" s="6"/>
      <c r="K3" s="6"/>
      <c r="L3" s="8" t="s">
        <v>141</v>
      </c>
    </row>
    <row r="4" spans="1:15" s="138" customFormat="1" ht="15">
      <c r="A4" s="390" t="s">
        <v>142</v>
      </c>
      <c r="B4" s="391"/>
      <c r="C4" s="391"/>
      <c r="D4" s="394" t="s">
        <v>143</v>
      </c>
      <c r="E4" s="401">
        <v>2010</v>
      </c>
      <c r="F4" s="399" t="s">
        <v>64</v>
      </c>
      <c r="G4" s="400"/>
      <c r="H4" s="398" t="s">
        <v>144</v>
      </c>
      <c r="I4" s="399"/>
      <c r="J4" s="399"/>
      <c r="K4" s="399" t="s">
        <v>145</v>
      </c>
      <c r="L4" s="400"/>
      <c r="M4" s="137"/>
      <c r="N4" s="137"/>
      <c r="O4" s="137"/>
    </row>
    <row r="5" spans="1:15" s="138" customFormat="1" ht="14.25">
      <c r="A5" s="392"/>
      <c r="B5" s="393"/>
      <c r="C5" s="393"/>
      <c r="D5" s="395"/>
      <c r="E5" s="395"/>
      <c r="F5" s="94" t="s">
        <v>12</v>
      </c>
      <c r="G5" s="9" t="s">
        <v>13</v>
      </c>
      <c r="H5" s="99" t="s">
        <v>10</v>
      </c>
      <c r="I5" s="94" t="s">
        <v>11</v>
      </c>
      <c r="J5" s="94" t="s">
        <v>12</v>
      </c>
      <c r="K5" s="94" t="s">
        <v>12</v>
      </c>
      <c r="L5" s="9" t="s">
        <v>13</v>
      </c>
      <c r="M5" s="139"/>
      <c r="N5" s="139"/>
      <c r="O5" s="139"/>
    </row>
    <row r="6" spans="1:15" s="138" customFormat="1" ht="15" thickBot="1">
      <c r="A6" s="392"/>
      <c r="B6" s="393"/>
      <c r="C6" s="393"/>
      <c r="D6" s="396"/>
      <c r="E6" s="396"/>
      <c r="F6" s="95" t="s">
        <v>15</v>
      </c>
      <c r="G6" s="101" t="s">
        <v>16</v>
      </c>
      <c r="H6" s="100" t="s">
        <v>14</v>
      </c>
      <c r="I6" s="95" t="s">
        <v>14</v>
      </c>
      <c r="J6" s="95"/>
      <c r="K6" s="95" t="s">
        <v>15</v>
      </c>
      <c r="L6" s="101" t="s">
        <v>16</v>
      </c>
      <c r="M6" s="139"/>
      <c r="N6" s="139"/>
      <c r="O6" s="139"/>
    </row>
    <row r="7" spans="1:12" s="138" customFormat="1" ht="14.25">
      <c r="A7" s="483" t="s">
        <v>65</v>
      </c>
      <c r="B7" s="483"/>
      <c r="C7" s="483"/>
      <c r="D7" s="168">
        <v>11914</v>
      </c>
      <c r="E7" s="169">
        <v>11364</v>
      </c>
      <c r="F7" s="170">
        <f>E7-D7</f>
        <v>-550</v>
      </c>
      <c r="G7" s="171">
        <f>E7/D7</f>
        <v>0.9538358234010408</v>
      </c>
      <c r="H7" s="172">
        <f>SUM(H8:H13)</f>
        <v>11820</v>
      </c>
      <c r="I7" s="173"/>
      <c r="J7" s="174">
        <f>H7+I7</f>
        <v>11820</v>
      </c>
      <c r="K7" s="175">
        <f>J7-E7</f>
        <v>456</v>
      </c>
      <c r="L7" s="176">
        <f>J7/E7</f>
        <v>1.0401267159450898</v>
      </c>
    </row>
    <row r="8" spans="1:12" s="138" customFormat="1" ht="14.25">
      <c r="A8" s="465" t="s">
        <v>66</v>
      </c>
      <c r="B8" s="465"/>
      <c r="C8" s="465"/>
      <c r="D8" s="143">
        <v>7032</v>
      </c>
      <c r="E8" s="140">
        <v>6868</v>
      </c>
      <c r="F8" s="160">
        <f aca="true" t="shared" si="0" ref="F8:F60">E8-D8</f>
        <v>-164</v>
      </c>
      <c r="G8" s="161">
        <f aca="true" t="shared" si="1" ref="G8:G60">E8/D8</f>
        <v>0.9766780432309442</v>
      </c>
      <c r="H8" s="141">
        <v>7010</v>
      </c>
      <c r="I8" s="142"/>
      <c r="J8" s="174">
        <f aca="true" t="shared" si="2" ref="J8:J61">H8+I8</f>
        <v>7010</v>
      </c>
      <c r="K8" s="164">
        <f aca="true" t="shared" si="3" ref="K8:K60">J8-E8</f>
        <v>142</v>
      </c>
      <c r="L8" s="165">
        <f aca="true" t="shared" si="4" ref="L8:L60">J8/E8</f>
        <v>1.0206755969714618</v>
      </c>
    </row>
    <row r="9" spans="1:12" s="138" customFormat="1" ht="14.25">
      <c r="A9" s="465" t="s">
        <v>67</v>
      </c>
      <c r="B9" s="465"/>
      <c r="C9" s="465"/>
      <c r="D9" s="143">
        <v>3870</v>
      </c>
      <c r="E9" s="140">
        <v>3834.14</v>
      </c>
      <c r="F9" s="160">
        <f t="shared" si="0"/>
        <v>-35.86000000000013</v>
      </c>
      <c r="G9" s="161">
        <f t="shared" si="1"/>
        <v>0.9907338501291989</v>
      </c>
      <c r="H9" s="141">
        <v>3960</v>
      </c>
      <c r="I9" s="142"/>
      <c r="J9" s="174">
        <f t="shared" si="2"/>
        <v>3960</v>
      </c>
      <c r="K9" s="164">
        <f t="shared" si="3"/>
        <v>125.86000000000013</v>
      </c>
      <c r="L9" s="165">
        <f t="shared" si="4"/>
        <v>1.0328261357175272</v>
      </c>
    </row>
    <row r="10" spans="1:12" s="138" customFormat="1" ht="14.25">
      <c r="A10" s="465" t="s">
        <v>68</v>
      </c>
      <c r="B10" s="465"/>
      <c r="C10" s="465"/>
      <c r="D10" s="143">
        <v>0</v>
      </c>
      <c r="E10" s="140">
        <v>0</v>
      </c>
      <c r="F10" s="160">
        <f t="shared" si="0"/>
        <v>0</v>
      </c>
      <c r="G10" s="161"/>
      <c r="H10" s="141">
        <v>0</v>
      </c>
      <c r="I10" s="142"/>
      <c r="J10" s="174">
        <f t="shared" si="2"/>
        <v>0</v>
      </c>
      <c r="K10" s="164">
        <f t="shared" si="3"/>
        <v>0</v>
      </c>
      <c r="L10" s="165"/>
    </row>
    <row r="11" spans="1:12" s="138" customFormat="1" ht="14.25">
      <c r="A11" s="465" t="s">
        <v>69</v>
      </c>
      <c r="B11" s="465"/>
      <c r="C11" s="465"/>
      <c r="D11" s="143">
        <v>662</v>
      </c>
      <c r="E11" s="140">
        <v>453.85</v>
      </c>
      <c r="F11" s="160">
        <f t="shared" si="0"/>
        <v>-208.14999999999998</v>
      </c>
      <c r="G11" s="161">
        <f t="shared" si="1"/>
        <v>0.6855740181268882</v>
      </c>
      <c r="H11" s="141">
        <v>650</v>
      </c>
      <c r="I11" s="142"/>
      <c r="J11" s="174">
        <f t="shared" si="2"/>
        <v>650</v>
      </c>
      <c r="K11" s="164">
        <f t="shared" si="3"/>
        <v>196.14999999999998</v>
      </c>
      <c r="L11" s="165">
        <f t="shared" si="4"/>
        <v>1.4321912526165033</v>
      </c>
    </row>
    <row r="12" spans="1:12" s="138" customFormat="1" ht="14.25">
      <c r="A12" s="465" t="s">
        <v>70</v>
      </c>
      <c r="B12" s="465"/>
      <c r="C12" s="465"/>
      <c r="D12" s="143">
        <v>347</v>
      </c>
      <c r="E12" s="140">
        <v>207.4</v>
      </c>
      <c r="F12" s="160">
        <f t="shared" si="0"/>
        <v>-139.6</v>
      </c>
      <c r="G12" s="161">
        <f t="shared" si="1"/>
        <v>0.5976945244956773</v>
      </c>
      <c r="H12" s="141">
        <v>200</v>
      </c>
      <c r="I12" s="142"/>
      <c r="J12" s="174">
        <f t="shared" si="2"/>
        <v>200</v>
      </c>
      <c r="K12" s="164">
        <f t="shared" si="3"/>
        <v>-7.400000000000006</v>
      </c>
      <c r="L12" s="165">
        <f t="shared" si="4"/>
        <v>0.9643201542912246</v>
      </c>
    </row>
    <row r="13" spans="1:12" s="138" customFormat="1" ht="14.25">
      <c r="A13" s="465" t="s">
        <v>71</v>
      </c>
      <c r="B13" s="465"/>
      <c r="C13" s="465"/>
      <c r="D13" s="143">
        <v>3</v>
      </c>
      <c r="E13" s="140">
        <v>63.93</v>
      </c>
      <c r="F13" s="160">
        <f t="shared" si="0"/>
        <v>60.93</v>
      </c>
      <c r="G13" s="161">
        <f t="shared" si="1"/>
        <v>21.31</v>
      </c>
      <c r="H13" s="141">
        <v>0</v>
      </c>
      <c r="I13" s="142"/>
      <c r="J13" s="174">
        <f t="shared" si="2"/>
        <v>0</v>
      </c>
      <c r="K13" s="164">
        <f t="shared" si="3"/>
        <v>-63.93</v>
      </c>
      <c r="L13" s="165">
        <f t="shared" si="4"/>
        <v>0</v>
      </c>
    </row>
    <row r="14" spans="1:20" s="138" customFormat="1" ht="15">
      <c r="A14" s="456" t="s">
        <v>72</v>
      </c>
      <c r="B14" s="456"/>
      <c r="C14" s="456"/>
      <c r="D14" s="143">
        <v>0</v>
      </c>
      <c r="E14" s="177">
        <v>0</v>
      </c>
      <c r="F14" s="160">
        <f t="shared" si="0"/>
        <v>0</v>
      </c>
      <c r="G14" s="161"/>
      <c r="H14" s="172">
        <v>0</v>
      </c>
      <c r="I14" s="173"/>
      <c r="J14" s="174">
        <f t="shared" si="2"/>
        <v>0</v>
      </c>
      <c r="K14" s="164">
        <f t="shared" si="3"/>
        <v>0</v>
      </c>
      <c r="L14" s="165"/>
      <c r="N14" s="137"/>
      <c r="O14" s="137"/>
      <c r="P14" s="137"/>
      <c r="Q14" s="137"/>
      <c r="R14" s="137"/>
      <c r="S14" s="137"/>
      <c r="T14" s="137"/>
    </row>
    <row r="15" spans="1:20" s="138" customFormat="1" ht="14.25">
      <c r="A15" s="456" t="s">
        <v>73</v>
      </c>
      <c r="B15" s="456"/>
      <c r="C15" s="456"/>
      <c r="D15" s="143">
        <v>0</v>
      </c>
      <c r="E15" s="140">
        <v>0</v>
      </c>
      <c r="F15" s="160">
        <f t="shared" si="0"/>
        <v>0</v>
      </c>
      <c r="G15" s="161"/>
      <c r="H15" s="141">
        <v>0</v>
      </c>
      <c r="I15" s="142"/>
      <c r="J15" s="174">
        <f t="shared" si="2"/>
        <v>0</v>
      </c>
      <c r="K15" s="164">
        <f t="shared" si="3"/>
        <v>0</v>
      </c>
      <c r="L15" s="165"/>
      <c r="N15" s="139"/>
      <c r="O15" s="139"/>
      <c r="P15" s="139"/>
      <c r="Q15" s="139"/>
      <c r="R15" s="139"/>
      <c r="S15" s="139"/>
      <c r="T15" s="139"/>
    </row>
    <row r="16" spans="1:20" s="138" customFormat="1" ht="14.25">
      <c r="A16" s="456" t="s">
        <v>74</v>
      </c>
      <c r="B16" s="456"/>
      <c r="C16" s="456"/>
      <c r="D16" s="143">
        <v>123</v>
      </c>
      <c r="E16" s="140">
        <v>0</v>
      </c>
      <c r="F16" s="160">
        <f t="shared" si="0"/>
        <v>-123</v>
      </c>
      <c r="G16" s="161">
        <f t="shared" si="1"/>
        <v>0</v>
      </c>
      <c r="H16" s="141">
        <v>216</v>
      </c>
      <c r="I16" s="142"/>
      <c r="J16" s="174">
        <f t="shared" si="2"/>
        <v>216</v>
      </c>
      <c r="K16" s="164">
        <f t="shared" si="3"/>
        <v>216</v>
      </c>
      <c r="L16" s="165"/>
      <c r="N16" s="139"/>
      <c r="O16" s="139"/>
      <c r="P16" s="139"/>
      <c r="Q16" s="139"/>
      <c r="R16" s="139"/>
      <c r="S16" s="139"/>
      <c r="T16" s="139"/>
    </row>
    <row r="17" spans="1:20" s="138" customFormat="1" ht="14.25">
      <c r="A17" s="456" t="s">
        <v>75</v>
      </c>
      <c r="B17" s="456"/>
      <c r="C17" s="456"/>
      <c r="D17" s="143">
        <v>61</v>
      </c>
      <c r="E17" s="140">
        <v>0</v>
      </c>
      <c r="F17" s="160">
        <f t="shared" si="0"/>
        <v>-61</v>
      </c>
      <c r="G17" s="161">
        <f t="shared" si="1"/>
        <v>0</v>
      </c>
      <c r="H17" s="141">
        <v>216</v>
      </c>
      <c r="I17" s="142"/>
      <c r="J17" s="174">
        <f t="shared" si="2"/>
        <v>216</v>
      </c>
      <c r="K17" s="164">
        <f t="shared" si="3"/>
        <v>216</v>
      </c>
      <c r="L17" s="165"/>
      <c r="N17" s="144"/>
      <c r="O17" s="144"/>
      <c r="P17" s="144"/>
      <c r="Q17" s="144"/>
      <c r="R17" s="144"/>
      <c r="S17" s="144"/>
      <c r="T17" s="144"/>
    </row>
    <row r="18" spans="1:12" s="138" customFormat="1" ht="14.25">
      <c r="A18" s="456" t="s">
        <v>76</v>
      </c>
      <c r="B18" s="456"/>
      <c r="C18" s="456"/>
      <c r="D18" s="143">
        <v>0</v>
      </c>
      <c r="E18" s="140">
        <v>0</v>
      </c>
      <c r="F18" s="160">
        <f t="shared" si="0"/>
        <v>0</v>
      </c>
      <c r="G18" s="161"/>
      <c r="H18" s="141">
        <v>0</v>
      </c>
      <c r="I18" s="142"/>
      <c r="J18" s="174">
        <f t="shared" si="2"/>
        <v>0</v>
      </c>
      <c r="K18" s="164">
        <f t="shared" si="3"/>
        <v>0</v>
      </c>
      <c r="L18" s="165"/>
    </row>
    <row r="19" spans="1:12" s="138" customFormat="1" ht="14.25">
      <c r="A19" s="456" t="s">
        <v>77</v>
      </c>
      <c r="B19" s="456"/>
      <c r="C19" s="456"/>
      <c r="D19" s="143">
        <v>0</v>
      </c>
      <c r="E19" s="140">
        <v>0</v>
      </c>
      <c r="F19" s="160">
        <f t="shared" si="0"/>
        <v>0</v>
      </c>
      <c r="G19" s="161"/>
      <c r="H19" s="141">
        <v>0</v>
      </c>
      <c r="I19" s="142"/>
      <c r="J19" s="174">
        <f t="shared" si="2"/>
        <v>0</v>
      </c>
      <c r="K19" s="164">
        <f t="shared" si="3"/>
        <v>0</v>
      </c>
      <c r="L19" s="165"/>
    </row>
    <row r="20" spans="1:12" s="138" customFormat="1" ht="14.25">
      <c r="A20" s="456" t="s">
        <v>78</v>
      </c>
      <c r="B20" s="456"/>
      <c r="C20" s="456"/>
      <c r="D20" s="143">
        <v>0</v>
      </c>
      <c r="E20" s="140">
        <v>0</v>
      </c>
      <c r="F20" s="160">
        <f t="shared" si="0"/>
        <v>0</v>
      </c>
      <c r="G20" s="161"/>
      <c r="H20" s="141">
        <v>0</v>
      </c>
      <c r="I20" s="142"/>
      <c r="J20" s="174">
        <f t="shared" si="2"/>
        <v>0</v>
      </c>
      <c r="K20" s="164">
        <f t="shared" si="3"/>
        <v>0</v>
      </c>
      <c r="L20" s="165"/>
    </row>
    <row r="21" spans="1:12" s="138" customFormat="1" ht="14.25">
      <c r="A21" s="456" t="s">
        <v>79</v>
      </c>
      <c r="B21" s="456"/>
      <c r="C21" s="456"/>
      <c r="D21" s="143">
        <v>0</v>
      </c>
      <c r="E21" s="140">
        <v>0</v>
      </c>
      <c r="F21" s="160">
        <f t="shared" si="0"/>
        <v>0</v>
      </c>
      <c r="G21" s="161"/>
      <c r="H21" s="141">
        <v>0</v>
      </c>
      <c r="I21" s="142"/>
      <c r="J21" s="174">
        <f t="shared" si="2"/>
        <v>0</v>
      </c>
      <c r="K21" s="164">
        <f t="shared" si="3"/>
        <v>0</v>
      </c>
      <c r="L21" s="165"/>
    </row>
    <row r="22" spans="1:12" s="138" customFormat="1" ht="14.25">
      <c r="A22" s="456" t="s">
        <v>80</v>
      </c>
      <c r="B22" s="456"/>
      <c r="C22" s="456"/>
      <c r="D22" s="143">
        <v>15713</v>
      </c>
      <c r="E22" s="177">
        <v>14656</v>
      </c>
      <c r="F22" s="160">
        <f t="shared" si="0"/>
        <v>-1057</v>
      </c>
      <c r="G22" s="161">
        <f t="shared" si="1"/>
        <v>0.9327308597976198</v>
      </c>
      <c r="H22" s="172">
        <v>12561</v>
      </c>
      <c r="I22" s="173"/>
      <c r="J22" s="174">
        <f t="shared" si="2"/>
        <v>12561</v>
      </c>
      <c r="K22" s="164">
        <f t="shared" si="3"/>
        <v>-2095</v>
      </c>
      <c r="L22" s="165">
        <f t="shared" si="4"/>
        <v>0.8570551310043668</v>
      </c>
    </row>
    <row r="23" spans="1:12" s="138" customFormat="1" ht="14.25">
      <c r="A23" s="456" t="s">
        <v>81</v>
      </c>
      <c r="B23" s="456"/>
      <c r="C23" s="456"/>
      <c r="D23" s="143">
        <v>2928</v>
      </c>
      <c r="E23" s="140">
        <v>1871</v>
      </c>
      <c r="F23" s="160">
        <f t="shared" si="0"/>
        <v>-1057</v>
      </c>
      <c r="G23" s="161">
        <f t="shared" si="1"/>
        <v>0.6390027322404371</v>
      </c>
      <c r="H23" s="141">
        <v>1576</v>
      </c>
      <c r="I23" s="142"/>
      <c r="J23" s="174">
        <f t="shared" si="2"/>
        <v>1576</v>
      </c>
      <c r="K23" s="164">
        <f t="shared" si="3"/>
        <v>-295</v>
      </c>
      <c r="L23" s="165">
        <f t="shared" si="4"/>
        <v>0.8423303046499199</v>
      </c>
    </row>
    <row r="24" spans="1:12" s="138" customFormat="1" ht="14.25">
      <c r="A24" s="456" t="s">
        <v>82</v>
      </c>
      <c r="B24" s="456"/>
      <c r="C24" s="456"/>
      <c r="D24" s="143">
        <v>12785</v>
      </c>
      <c r="E24" s="140">
        <v>12785</v>
      </c>
      <c r="F24" s="160">
        <f t="shared" si="0"/>
        <v>0</v>
      </c>
      <c r="G24" s="161">
        <f t="shared" si="1"/>
        <v>1</v>
      </c>
      <c r="H24" s="141">
        <v>10985</v>
      </c>
      <c r="I24" s="142"/>
      <c r="J24" s="174">
        <f t="shared" si="2"/>
        <v>10985</v>
      </c>
      <c r="K24" s="164">
        <f t="shared" si="3"/>
        <v>-1800</v>
      </c>
      <c r="L24" s="165">
        <f t="shared" si="4"/>
        <v>0.859210011732499</v>
      </c>
    </row>
    <row r="25" spans="1:12" s="138" customFormat="1" ht="14.25">
      <c r="A25" s="456" t="s">
        <v>83</v>
      </c>
      <c r="B25" s="456"/>
      <c r="C25" s="456"/>
      <c r="D25" s="143">
        <v>0</v>
      </c>
      <c r="E25" s="140">
        <v>0</v>
      </c>
      <c r="F25" s="160">
        <f t="shared" si="0"/>
        <v>0</v>
      </c>
      <c r="G25" s="161"/>
      <c r="H25" s="141">
        <v>0</v>
      </c>
      <c r="I25" s="142"/>
      <c r="J25" s="174">
        <f t="shared" si="2"/>
        <v>0</v>
      </c>
      <c r="K25" s="164">
        <f t="shared" si="3"/>
        <v>0</v>
      </c>
      <c r="L25" s="165"/>
    </row>
    <row r="26" spans="1:12" s="138" customFormat="1" ht="15" thickBot="1">
      <c r="A26" s="494" t="s">
        <v>118</v>
      </c>
      <c r="B26" s="494"/>
      <c r="C26" s="494"/>
      <c r="D26" s="159">
        <v>0</v>
      </c>
      <c r="E26" s="148">
        <v>0</v>
      </c>
      <c r="F26" s="162">
        <f t="shared" si="0"/>
        <v>0</v>
      </c>
      <c r="G26" s="163"/>
      <c r="H26" s="145">
        <v>0</v>
      </c>
      <c r="I26" s="146"/>
      <c r="J26" s="178">
        <f t="shared" si="2"/>
        <v>0</v>
      </c>
      <c r="K26" s="166">
        <f t="shared" si="3"/>
        <v>0</v>
      </c>
      <c r="L26" s="167"/>
    </row>
    <row r="27" spans="1:12" s="138" customFormat="1" ht="15.75" thickBot="1">
      <c r="A27" s="462" t="s">
        <v>84</v>
      </c>
      <c r="B27" s="462"/>
      <c r="C27" s="462"/>
      <c r="D27" s="179">
        <v>27892</v>
      </c>
      <c r="E27" s="180">
        <v>26152.79</v>
      </c>
      <c r="F27" s="181">
        <f t="shared" si="0"/>
        <v>-1739.2099999999991</v>
      </c>
      <c r="G27" s="182">
        <f t="shared" si="1"/>
        <v>0.937644844399828</v>
      </c>
      <c r="H27" s="183">
        <f>SUM(H7+H14+H16+H22)</f>
        <v>24597</v>
      </c>
      <c r="I27" s="184"/>
      <c r="J27" s="185">
        <f t="shared" si="2"/>
        <v>24597</v>
      </c>
      <c r="K27" s="183">
        <f t="shared" si="3"/>
        <v>-1555.7900000000009</v>
      </c>
      <c r="L27" s="186">
        <f t="shared" si="4"/>
        <v>0.9405115094794857</v>
      </c>
    </row>
    <row r="28" spans="1:12" s="138" customFormat="1" ht="14.25">
      <c r="A28" s="495" t="s">
        <v>85</v>
      </c>
      <c r="B28" s="495"/>
      <c r="C28" s="495"/>
      <c r="D28" s="187">
        <v>4561</v>
      </c>
      <c r="E28" s="188">
        <v>2495.34</v>
      </c>
      <c r="F28" s="189">
        <f t="shared" si="0"/>
        <v>-2065.66</v>
      </c>
      <c r="G28" s="190">
        <f t="shared" si="1"/>
        <v>0.5471037053277791</v>
      </c>
      <c r="H28" s="191">
        <f>SUM(H29:H33)</f>
        <v>3600</v>
      </c>
      <c r="I28" s="192"/>
      <c r="J28" s="193">
        <f t="shared" si="2"/>
        <v>3600</v>
      </c>
      <c r="K28" s="194">
        <f t="shared" si="3"/>
        <v>1104.6599999999999</v>
      </c>
      <c r="L28" s="195">
        <f t="shared" si="4"/>
        <v>1.4426891726177595</v>
      </c>
    </row>
    <row r="29" spans="1:12" s="138" customFormat="1" ht="14.25">
      <c r="A29" s="441" t="s">
        <v>86</v>
      </c>
      <c r="B29" s="441"/>
      <c r="C29" s="441"/>
      <c r="D29" s="143">
        <v>2278</v>
      </c>
      <c r="E29" s="140">
        <v>1351</v>
      </c>
      <c r="F29" s="160">
        <f t="shared" si="0"/>
        <v>-927</v>
      </c>
      <c r="G29" s="161">
        <f t="shared" si="1"/>
        <v>0.5930640913081651</v>
      </c>
      <c r="H29" s="141">
        <v>2300</v>
      </c>
      <c r="I29" s="142"/>
      <c r="J29" s="174">
        <f t="shared" si="2"/>
        <v>2300</v>
      </c>
      <c r="K29" s="164">
        <f t="shared" si="3"/>
        <v>949</v>
      </c>
      <c r="L29" s="165">
        <f t="shared" si="4"/>
        <v>1.702442635085122</v>
      </c>
    </row>
    <row r="30" spans="1:12" s="138" customFormat="1" ht="14.25">
      <c r="A30" s="441" t="s">
        <v>87</v>
      </c>
      <c r="B30" s="441"/>
      <c r="C30" s="441"/>
      <c r="D30" s="143">
        <v>75</v>
      </c>
      <c r="E30" s="140">
        <v>107.79</v>
      </c>
      <c r="F30" s="160">
        <f t="shared" si="0"/>
        <v>32.790000000000006</v>
      </c>
      <c r="G30" s="161">
        <f t="shared" si="1"/>
        <v>1.4372</v>
      </c>
      <c r="H30" s="141">
        <v>70</v>
      </c>
      <c r="I30" s="142"/>
      <c r="J30" s="174">
        <f t="shared" si="2"/>
        <v>70</v>
      </c>
      <c r="K30" s="164">
        <f t="shared" si="3"/>
        <v>-37.790000000000006</v>
      </c>
      <c r="L30" s="165">
        <f t="shared" si="4"/>
        <v>0.649410891548381</v>
      </c>
    </row>
    <row r="31" spans="1:12" s="138" customFormat="1" ht="14.25">
      <c r="A31" s="441" t="s">
        <v>88</v>
      </c>
      <c r="B31" s="441"/>
      <c r="C31" s="441"/>
      <c r="D31" s="143">
        <v>1587</v>
      </c>
      <c r="E31" s="140">
        <v>521</v>
      </c>
      <c r="F31" s="160">
        <f t="shared" si="0"/>
        <v>-1066</v>
      </c>
      <c r="G31" s="161">
        <f t="shared" si="1"/>
        <v>0.32829237555135476</v>
      </c>
      <c r="H31" s="141">
        <v>630</v>
      </c>
      <c r="I31" s="142"/>
      <c r="J31" s="174">
        <f t="shared" si="2"/>
        <v>630</v>
      </c>
      <c r="K31" s="164">
        <f t="shared" si="3"/>
        <v>109</v>
      </c>
      <c r="L31" s="165">
        <f t="shared" si="4"/>
        <v>1.2092130518234165</v>
      </c>
    </row>
    <row r="32" spans="1:12" s="138" customFormat="1" ht="14.25">
      <c r="A32" s="441" t="s">
        <v>89</v>
      </c>
      <c r="B32" s="441"/>
      <c r="C32" s="441"/>
      <c r="D32" s="143">
        <v>621</v>
      </c>
      <c r="E32" s="140">
        <v>515</v>
      </c>
      <c r="F32" s="160">
        <f t="shared" si="0"/>
        <v>-106</v>
      </c>
      <c r="G32" s="161">
        <f t="shared" si="1"/>
        <v>0.8293075684380032</v>
      </c>
      <c r="H32" s="141">
        <v>600</v>
      </c>
      <c r="I32" s="142"/>
      <c r="J32" s="174">
        <f t="shared" si="2"/>
        <v>600</v>
      </c>
      <c r="K32" s="164">
        <f t="shared" si="3"/>
        <v>85</v>
      </c>
      <c r="L32" s="165">
        <f t="shared" si="4"/>
        <v>1.1650485436893203</v>
      </c>
    </row>
    <row r="33" spans="1:12" s="138" customFormat="1" ht="14.25">
      <c r="A33" s="441" t="s">
        <v>90</v>
      </c>
      <c r="B33" s="441"/>
      <c r="C33" s="441"/>
      <c r="D33" s="143">
        <v>0</v>
      </c>
      <c r="E33" s="140">
        <v>0</v>
      </c>
      <c r="F33" s="160">
        <f t="shared" si="0"/>
        <v>0</v>
      </c>
      <c r="G33" s="161"/>
      <c r="H33" s="141">
        <v>0</v>
      </c>
      <c r="I33" s="142"/>
      <c r="J33" s="174">
        <f t="shared" si="2"/>
        <v>0</v>
      </c>
      <c r="K33" s="164">
        <f t="shared" si="3"/>
        <v>0</v>
      </c>
      <c r="L33" s="165"/>
    </row>
    <row r="34" spans="1:12" s="138" customFormat="1" ht="14.25">
      <c r="A34" s="441" t="s">
        <v>91</v>
      </c>
      <c r="B34" s="441"/>
      <c r="C34" s="441"/>
      <c r="D34" s="196">
        <v>2315</v>
      </c>
      <c r="E34" s="177">
        <v>1732</v>
      </c>
      <c r="F34" s="197">
        <f t="shared" si="0"/>
        <v>-583</v>
      </c>
      <c r="G34" s="198">
        <f t="shared" si="1"/>
        <v>0.7481641468682505</v>
      </c>
      <c r="H34" s="172">
        <v>2300</v>
      </c>
      <c r="I34" s="173"/>
      <c r="J34" s="174">
        <f t="shared" si="2"/>
        <v>2300</v>
      </c>
      <c r="K34" s="199">
        <f t="shared" si="3"/>
        <v>568</v>
      </c>
      <c r="L34" s="200">
        <f t="shared" si="4"/>
        <v>1.327944572748268</v>
      </c>
    </row>
    <row r="35" spans="1:12" s="138" customFormat="1" ht="14.25">
      <c r="A35" s="441" t="s">
        <v>92</v>
      </c>
      <c r="B35" s="441"/>
      <c r="C35" s="441"/>
      <c r="D35" s="143">
        <v>875</v>
      </c>
      <c r="E35" s="140">
        <v>422</v>
      </c>
      <c r="F35" s="160">
        <f t="shared" si="0"/>
        <v>-453</v>
      </c>
      <c r="G35" s="161">
        <f t="shared" si="1"/>
        <v>0.48228571428571426</v>
      </c>
      <c r="H35" s="141">
        <v>800</v>
      </c>
      <c r="I35" s="142"/>
      <c r="J35" s="174">
        <f t="shared" si="2"/>
        <v>800</v>
      </c>
      <c r="K35" s="164">
        <f t="shared" si="3"/>
        <v>378</v>
      </c>
      <c r="L35" s="165">
        <f t="shared" si="4"/>
        <v>1.8957345971563981</v>
      </c>
    </row>
    <row r="36" spans="1:12" s="138" customFormat="1" ht="14.25">
      <c r="A36" s="441" t="s">
        <v>93</v>
      </c>
      <c r="B36" s="441"/>
      <c r="C36" s="441"/>
      <c r="D36" s="143">
        <v>1154</v>
      </c>
      <c r="E36" s="140">
        <v>1084</v>
      </c>
      <c r="F36" s="160">
        <f t="shared" si="0"/>
        <v>-70</v>
      </c>
      <c r="G36" s="161">
        <f t="shared" si="1"/>
        <v>0.9393414211438474</v>
      </c>
      <c r="H36" s="141">
        <v>1200</v>
      </c>
      <c r="I36" s="142"/>
      <c r="J36" s="174">
        <f t="shared" si="2"/>
        <v>1200</v>
      </c>
      <c r="K36" s="164">
        <f t="shared" si="3"/>
        <v>116</v>
      </c>
      <c r="L36" s="165">
        <f t="shared" si="4"/>
        <v>1.1070110701107012</v>
      </c>
    </row>
    <row r="37" spans="1:12" s="138" customFormat="1" ht="14.25">
      <c r="A37" s="441" t="s">
        <v>94</v>
      </c>
      <c r="B37" s="441"/>
      <c r="C37" s="441"/>
      <c r="D37" s="143">
        <v>0</v>
      </c>
      <c r="E37" s="140">
        <v>0</v>
      </c>
      <c r="F37" s="160">
        <f t="shared" si="0"/>
        <v>0</v>
      </c>
      <c r="G37" s="161"/>
      <c r="H37" s="141">
        <v>0</v>
      </c>
      <c r="I37" s="142"/>
      <c r="J37" s="174">
        <f t="shared" si="2"/>
        <v>0</v>
      </c>
      <c r="K37" s="164">
        <f t="shared" si="3"/>
        <v>0</v>
      </c>
      <c r="L37" s="165"/>
    </row>
    <row r="38" spans="1:12" s="138" customFormat="1" ht="14.25">
      <c r="A38" s="441" t="s">
        <v>95</v>
      </c>
      <c r="B38" s="441"/>
      <c r="C38" s="441"/>
      <c r="D38" s="143">
        <v>0</v>
      </c>
      <c r="E38" s="140">
        <v>0</v>
      </c>
      <c r="F38" s="160">
        <f t="shared" si="0"/>
        <v>0</v>
      </c>
      <c r="G38" s="161"/>
      <c r="H38" s="141">
        <v>0</v>
      </c>
      <c r="I38" s="142"/>
      <c r="J38" s="174">
        <f t="shared" si="2"/>
        <v>0</v>
      </c>
      <c r="K38" s="164">
        <f t="shared" si="3"/>
        <v>0</v>
      </c>
      <c r="L38" s="165"/>
    </row>
    <row r="39" spans="1:12" s="138" customFormat="1" ht="14.25">
      <c r="A39" s="441" t="s">
        <v>96</v>
      </c>
      <c r="B39" s="441"/>
      <c r="C39" s="441"/>
      <c r="D39" s="143">
        <v>286</v>
      </c>
      <c r="E39" s="140">
        <v>227</v>
      </c>
      <c r="F39" s="160">
        <f t="shared" si="0"/>
        <v>-59</v>
      </c>
      <c r="G39" s="161">
        <f t="shared" si="1"/>
        <v>0.7937062937062938</v>
      </c>
      <c r="H39" s="141">
        <v>350</v>
      </c>
      <c r="I39" s="142"/>
      <c r="J39" s="174">
        <f t="shared" si="2"/>
        <v>350</v>
      </c>
      <c r="K39" s="164">
        <f t="shared" si="3"/>
        <v>123</v>
      </c>
      <c r="L39" s="165">
        <f t="shared" si="4"/>
        <v>1.5418502202643172</v>
      </c>
    </row>
    <row r="40" spans="1:12" s="138" customFormat="1" ht="14.25">
      <c r="A40" s="441" t="s">
        <v>97</v>
      </c>
      <c r="B40" s="441"/>
      <c r="C40" s="441"/>
      <c r="D40" s="143">
        <v>0</v>
      </c>
      <c r="E40" s="140">
        <v>0</v>
      </c>
      <c r="F40" s="160">
        <f t="shared" si="0"/>
        <v>0</v>
      </c>
      <c r="G40" s="161"/>
      <c r="H40" s="141">
        <v>0</v>
      </c>
      <c r="I40" s="142"/>
      <c r="J40" s="174">
        <f t="shared" si="2"/>
        <v>0</v>
      </c>
      <c r="K40" s="164">
        <f t="shared" si="3"/>
        <v>0</v>
      </c>
      <c r="L40" s="165"/>
    </row>
    <row r="41" spans="1:12" s="138" customFormat="1" ht="14.25">
      <c r="A41" s="441" t="s">
        <v>98</v>
      </c>
      <c r="B41" s="441"/>
      <c r="C41" s="441"/>
      <c r="D41" s="143">
        <v>201</v>
      </c>
      <c r="E41" s="140">
        <v>142</v>
      </c>
      <c r="F41" s="160">
        <f t="shared" si="0"/>
        <v>-59</v>
      </c>
      <c r="G41" s="161">
        <f t="shared" si="1"/>
        <v>0.7064676616915423</v>
      </c>
      <c r="H41" s="141">
        <v>150</v>
      </c>
      <c r="I41" s="142"/>
      <c r="J41" s="174">
        <f t="shared" si="2"/>
        <v>150</v>
      </c>
      <c r="K41" s="164">
        <f t="shared" si="3"/>
        <v>8</v>
      </c>
      <c r="L41" s="165">
        <f t="shared" si="4"/>
        <v>1.056338028169014</v>
      </c>
    </row>
    <row r="42" spans="1:12" s="138" customFormat="1" ht="14.25">
      <c r="A42" s="441" t="s">
        <v>99</v>
      </c>
      <c r="B42" s="441"/>
      <c r="C42" s="441"/>
      <c r="D42" s="143">
        <v>47</v>
      </c>
      <c r="E42" s="140">
        <v>65</v>
      </c>
      <c r="F42" s="160">
        <f t="shared" si="0"/>
        <v>18</v>
      </c>
      <c r="G42" s="161">
        <f t="shared" si="1"/>
        <v>1.3829787234042554</v>
      </c>
      <c r="H42" s="141">
        <v>60</v>
      </c>
      <c r="I42" s="142"/>
      <c r="J42" s="174">
        <f t="shared" si="2"/>
        <v>60</v>
      </c>
      <c r="K42" s="164">
        <f t="shared" si="3"/>
        <v>-5</v>
      </c>
      <c r="L42" s="165">
        <f t="shared" si="4"/>
        <v>0.9230769230769231</v>
      </c>
    </row>
    <row r="43" spans="1:12" s="138" customFormat="1" ht="14.25">
      <c r="A43" s="441" t="s">
        <v>100</v>
      </c>
      <c r="B43" s="441"/>
      <c r="C43" s="441"/>
      <c r="D43" s="143">
        <v>2</v>
      </c>
      <c r="E43" s="140">
        <v>3</v>
      </c>
      <c r="F43" s="160">
        <f t="shared" si="0"/>
        <v>1</v>
      </c>
      <c r="G43" s="161">
        <f t="shared" si="1"/>
        <v>1.5</v>
      </c>
      <c r="H43" s="141">
        <v>3</v>
      </c>
      <c r="I43" s="142"/>
      <c r="J43" s="174">
        <f t="shared" si="2"/>
        <v>3</v>
      </c>
      <c r="K43" s="164">
        <f t="shared" si="3"/>
        <v>0</v>
      </c>
      <c r="L43" s="165">
        <f t="shared" si="4"/>
        <v>1</v>
      </c>
    </row>
    <row r="44" spans="1:12" s="138" customFormat="1" ht="14.25">
      <c r="A44" s="441" t="s">
        <v>101</v>
      </c>
      <c r="B44" s="441"/>
      <c r="C44" s="441"/>
      <c r="D44" s="143">
        <v>1667</v>
      </c>
      <c r="E44" s="140">
        <v>2994</v>
      </c>
      <c r="F44" s="160">
        <f t="shared" si="0"/>
        <v>1327</v>
      </c>
      <c r="G44" s="161">
        <f t="shared" si="1"/>
        <v>1.7960407918416317</v>
      </c>
      <c r="H44" s="141">
        <v>1000</v>
      </c>
      <c r="I44" s="142"/>
      <c r="J44" s="174">
        <f t="shared" si="2"/>
        <v>1000</v>
      </c>
      <c r="K44" s="164">
        <f t="shared" si="3"/>
        <v>-1994</v>
      </c>
      <c r="L44" s="165">
        <f t="shared" si="4"/>
        <v>0.33400133600534404</v>
      </c>
    </row>
    <row r="45" spans="1:15" s="138" customFormat="1" ht="14.25">
      <c r="A45" s="441" t="s">
        <v>102</v>
      </c>
      <c r="B45" s="441"/>
      <c r="C45" s="441"/>
      <c r="D45" s="143">
        <v>150</v>
      </c>
      <c r="E45" s="140">
        <v>101</v>
      </c>
      <c r="F45" s="160">
        <f t="shared" si="0"/>
        <v>-49</v>
      </c>
      <c r="G45" s="161">
        <f t="shared" si="1"/>
        <v>0.6733333333333333</v>
      </c>
      <c r="H45" s="141">
        <v>150</v>
      </c>
      <c r="I45" s="142"/>
      <c r="J45" s="174">
        <f t="shared" si="2"/>
        <v>150</v>
      </c>
      <c r="K45" s="164">
        <f t="shared" si="3"/>
        <v>49</v>
      </c>
      <c r="L45" s="165">
        <f t="shared" si="4"/>
        <v>1.4851485148514851</v>
      </c>
      <c r="O45" s="147"/>
    </row>
    <row r="46" spans="1:12" s="138" customFormat="1" ht="14.25">
      <c r="A46" s="441" t="s">
        <v>103</v>
      </c>
      <c r="B46" s="441"/>
      <c r="C46" s="441"/>
      <c r="D46" s="143">
        <v>392</v>
      </c>
      <c r="E46" s="140">
        <v>2253</v>
      </c>
      <c r="F46" s="160">
        <f t="shared" si="0"/>
        <v>1861</v>
      </c>
      <c r="G46" s="161">
        <f t="shared" si="1"/>
        <v>5.747448979591836</v>
      </c>
      <c r="H46" s="141">
        <v>0</v>
      </c>
      <c r="I46" s="142"/>
      <c r="J46" s="174">
        <f t="shared" si="2"/>
        <v>0</v>
      </c>
      <c r="K46" s="164">
        <f t="shared" si="3"/>
        <v>-2253</v>
      </c>
      <c r="L46" s="165">
        <f t="shared" si="4"/>
        <v>0</v>
      </c>
    </row>
    <row r="47" spans="1:12" s="138" customFormat="1" ht="14.25">
      <c r="A47" s="441" t="s">
        <v>104</v>
      </c>
      <c r="B47" s="441"/>
      <c r="C47" s="441"/>
      <c r="D47" s="143">
        <v>1125</v>
      </c>
      <c r="E47" s="140">
        <v>2893</v>
      </c>
      <c r="F47" s="160">
        <f t="shared" si="0"/>
        <v>1768</v>
      </c>
      <c r="G47" s="161">
        <f t="shared" si="1"/>
        <v>2.5715555555555554</v>
      </c>
      <c r="H47" s="141">
        <v>850</v>
      </c>
      <c r="I47" s="142"/>
      <c r="J47" s="174">
        <f t="shared" si="2"/>
        <v>850</v>
      </c>
      <c r="K47" s="164">
        <f t="shared" si="3"/>
        <v>-2043</v>
      </c>
      <c r="L47" s="165">
        <f t="shared" si="4"/>
        <v>0.2938126512270999</v>
      </c>
    </row>
    <row r="48" spans="1:12" s="138" customFormat="1" ht="14.25">
      <c r="A48" s="441" t="s">
        <v>105</v>
      </c>
      <c r="B48" s="441"/>
      <c r="C48" s="441"/>
      <c r="D48" s="196">
        <v>18172</v>
      </c>
      <c r="E48" s="177">
        <v>18008</v>
      </c>
      <c r="F48" s="197">
        <f t="shared" si="0"/>
        <v>-164</v>
      </c>
      <c r="G48" s="198">
        <f t="shared" si="1"/>
        <v>0.9909751265683469</v>
      </c>
      <c r="H48" s="172">
        <v>17210</v>
      </c>
      <c r="I48" s="173"/>
      <c r="J48" s="174">
        <f t="shared" si="2"/>
        <v>17210</v>
      </c>
      <c r="K48" s="199">
        <f t="shared" si="3"/>
        <v>-798</v>
      </c>
      <c r="L48" s="200">
        <f t="shared" si="4"/>
        <v>0.9556863616170591</v>
      </c>
    </row>
    <row r="49" spans="1:12" s="138" customFormat="1" ht="14.25">
      <c r="A49" s="441" t="s">
        <v>106</v>
      </c>
      <c r="B49" s="441"/>
      <c r="C49" s="441"/>
      <c r="D49" s="143">
        <v>13266</v>
      </c>
      <c r="E49" s="140">
        <v>13180</v>
      </c>
      <c r="F49" s="160">
        <f t="shared" si="0"/>
        <v>-86</v>
      </c>
      <c r="G49" s="161">
        <f t="shared" si="1"/>
        <v>0.9935172621739786</v>
      </c>
      <c r="H49" s="141">
        <v>12710</v>
      </c>
      <c r="I49" s="142"/>
      <c r="J49" s="174">
        <f t="shared" si="2"/>
        <v>12710</v>
      </c>
      <c r="K49" s="164">
        <f t="shared" si="3"/>
        <v>-470</v>
      </c>
      <c r="L49" s="165">
        <f t="shared" si="4"/>
        <v>0.9643399089529591</v>
      </c>
    </row>
    <row r="50" spans="1:12" s="138" customFormat="1" ht="14.25">
      <c r="A50" s="441" t="s">
        <v>107</v>
      </c>
      <c r="B50" s="441"/>
      <c r="C50" s="441"/>
      <c r="D50" s="143">
        <v>13170</v>
      </c>
      <c r="E50" s="140">
        <v>13180</v>
      </c>
      <c r="F50" s="160">
        <f t="shared" si="0"/>
        <v>10</v>
      </c>
      <c r="G50" s="161">
        <f t="shared" si="1"/>
        <v>1.0007593014426728</v>
      </c>
      <c r="H50" s="141">
        <v>12600</v>
      </c>
      <c r="I50" s="142"/>
      <c r="J50" s="174">
        <f t="shared" si="2"/>
        <v>12600</v>
      </c>
      <c r="K50" s="164">
        <f t="shared" si="3"/>
        <v>-580</v>
      </c>
      <c r="L50" s="165">
        <f t="shared" si="4"/>
        <v>0.9559939301972686</v>
      </c>
    </row>
    <row r="51" spans="1:12" s="138" customFormat="1" ht="14.25">
      <c r="A51" s="441" t="s">
        <v>108</v>
      </c>
      <c r="B51" s="441"/>
      <c r="C51" s="441"/>
      <c r="D51" s="143">
        <v>96</v>
      </c>
      <c r="E51" s="140">
        <v>0</v>
      </c>
      <c r="F51" s="160">
        <f t="shared" si="0"/>
        <v>-96</v>
      </c>
      <c r="G51" s="161">
        <f t="shared" si="1"/>
        <v>0</v>
      </c>
      <c r="H51" s="141">
        <v>110</v>
      </c>
      <c r="I51" s="142"/>
      <c r="J51" s="174">
        <f t="shared" si="2"/>
        <v>110</v>
      </c>
      <c r="K51" s="164">
        <f t="shared" si="3"/>
        <v>110</v>
      </c>
      <c r="L51" s="165"/>
    </row>
    <row r="52" spans="1:12" s="138" customFormat="1" ht="14.25">
      <c r="A52" s="441" t="s">
        <v>109</v>
      </c>
      <c r="B52" s="441"/>
      <c r="C52" s="441"/>
      <c r="D52" s="143">
        <v>4906</v>
      </c>
      <c r="E52" s="140">
        <v>4828</v>
      </c>
      <c r="F52" s="160">
        <f t="shared" si="0"/>
        <v>-78</v>
      </c>
      <c r="G52" s="161">
        <f t="shared" si="1"/>
        <v>0.9841011006930289</v>
      </c>
      <c r="H52" s="141">
        <v>4500</v>
      </c>
      <c r="I52" s="142"/>
      <c r="J52" s="174">
        <f t="shared" si="2"/>
        <v>4500</v>
      </c>
      <c r="K52" s="164">
        <f t="shared" si="3"/>
        <v>-328</v>
      </c>
      <c r="L52" s="165">
        <f t="shared" si="4"/>
        <v>0.932062966031483</v>
      </c>
    </row>
    <row r="53" spans="1:12" s="138" customFormat="1" ht="14.25">
      <c r="A53" s="441" t="s">
        <v>110</v>
      </c>
      <c r="B53" s="441"/>
      <c r="C53" s="441"/>
      <c r="D53" s="143">
        <v>1</v>
      </c>
      <c r="E53" s="140">
        <v>0</v>
      </c>
      <c r="F53" s="160">
        <f t="shared" si="0"/>
        <v>-1</v>
      </c>
      <c r="G53" s="161">
        <f t="shared" si="1"/>
        <v>0</v>
      </c>
      <c r="H53" s="141">
        <v>0</v>
      </c>
      <c r="I53" s="142"/>
      <c r="J53" s="174">
        <f t="shared" si="2"/>
        <v>0</v>
      </c>
      <c r="K53" s="164">
        <f t="shared" si="3"/>
        <v>0</v>
      </c>
      <c r="L53" s="165"/>
    </row>
    <row r="54" spans="1:12" s="138" customFormat="1" ht="14.25">
      <c r="A54" s="441" t="s">
        <v>111</v>
      </c>
      <c r="B54" s="441"/>
      <c r="C54" s="441"/>
      <c r="D54" s="143">
        <v>0</v>
      </c>
      <c r="E54" s="140">
        <v>22</v>
      </c>
      <c r="F54" s="160">
        <f t="shared" si="0"/>
        <v>22</v>
      </c>
      <c r="G54" s="161"/>
      <c r="H54" s="141">
        <v>0</v>
      </c>
      <c r="I54" s="142"/>
      <c r="J54" s="174">
        <f t="shared" si="2"/>
        <v>0</v>
      </c>
      <c r="K54" s="164">
        <f t="shared" si="3"/>
        <v>-22</v>
      </c>
      <c r="L54" s="165">
        <f t="shared" si="4"/>
        <v>0</v>
      </c>
    </row>
    <row r="55" spans="1:12" s="138" customFormat="1" ht="14.25">
      <c r="A55" s="441" t="s">
        <v>112</v>
      </c>
      <c r="B55" s="441"/>
      <c r="C55" s="441"/>
      <c r="D55" s="143">
        <v>308</v>
      </c>
      <c r="E55" s="140">
        <v>104</v>
      </c>
      <c r="F55" s="160">
        <f t="shared" si="0"/>
        <v>-204</v>
      </c>
      <c r="G55" s="161">
        <f t="shared" si="1"/>
        <v>0.33766233766233766</v>
      </c>
      <c r="H55" s="141">
        <v>100</v>
      </c>
      <c r="I55" s="142"/>
      <c r="J55" s="174">
        <f t="shared" si="2"/>
        <v>100</v>
      </c>
      <c r="K55" s="164">
        <f t="shared" si="3"/>
        <v>-4</v>
      </c>
      <c r="L55" s="165">
        <f t="shared" si="4"/>
        <v>0.9615384615384616</v>
      </c>
    </row>
    <row r="56" spans="1:12" s="138" customFormat="1" ht="14.25">
      <c r="A56" s="441" t="s">
        <v>113</v>
      </c>
      <c r="B56" s="441"/>
      <c r="C56" s="441"/>
      <c r="D56" s="143">
        <v>0</v>
      </c>
      <c r="E56" s="140">
        <v>0</v>
      </c>
      <c r="F56" s="160">
        <f t="shared" si="0"/>
        <v>0</v>
      </c>
      <c r="G56" s="161"/>
      <c r="H56" s="141">
        <v>0</v>
      </c>
      <c r="I56" s="142"/>
      <c r="J56" s="174">
        <f t="shared" si="2"/>
        <v>0</v>
      </c>
      <c r="K56" s="164">
        <f t="shared" si="3"/>
        <v>0</v>
      </c>
      <c r="L56" s="165"/>
    </row>
    <row r="57" spans="1:12" s="138" customFormat="1" ht="14.25">
      <c r="A57" s="441" t="s">
        <v>114</v>
      </c>
      <c r="B57" s="441"/>
      <c r="C57" s="441"/>
      <c r="D57" s="143">
        <v>472</v>
      </c>
      <c r="E57" s="140">
        <v>589</v>
      </c>
      <c r="F57" s="160">
        <f t="shared" si="0"/>
        <v>117</v>
      </c>
      <c r="G57" s="161">
        <f t="shared" si="1"/>
        <v>1.2478813559322033</v>
      </c>
      <c r="H57" s="141">
        <v>664</v>
      </c>
      <c r="I57" s="142"/>
      <c r="J57" s="174">
        <f t="shared" si="2"/>
        <v>664</v>
      </c>
      <c r="K57" s="164">
        <f t="shared" si="3"/>
        <v>75</v>
      </c>
      <c r="L57" s="165">
        <f t="shared" si="4"/>
        <v>1.1273344651952462</v>
      </c>
    </row>
    <row r="58" spans="1:12" s="138" customFormat="1" ht="14.25">
      <c r="A58" s="441" t="s">
        <v>115</v>
      </c>
      <c r="B58" s="441"/>
      <c r="C58" s="441"/>
      <c r="D58" s="143">
        <v>0</v>
      </c>
      <c r="E58" s="140">
        <v>589</v>
      </c>
      <c r="F58" s="160">
        <f t="shared" si="0"/>
        <v>589</v>
      </c>
      <c r="G58" s="161"/>
      <c r="H58" s="141">
        <v>0</v>
      </c>
      <c r="I58" s="142"/>
      <c r="J58" s="174">
        <f t="shared" si="2"/>
        <v>0</v>
      </c>
      <c r="K58" s="164">
        <f t="shared" si="3"/>
        <v>-589</v>
      </c>
      <c r="L58" s="165">
        <f t="shared" si="4"/>
        <v>0</v>
      </c>
    </row>
    <row r="59" spans="1:12" s="138" customFormat="1" ht="15" thickBot="1">
      <c r="A59" s="493" t="s">
        <v>116</v>
      </c>
      <c r="B59" s="493"/>
      <c r="C59" s="493"/>
      <c r="D59" s="159">
        <v>0</v>
      </c>
      <c r="E59" s="148">
        <v>0</v>
      </c>
      <c r="F59" s="162">
        <f t="shared" si="0"/>
        <v>0</v>
      </c>
      <c r="G59" s="163"/>
      <c r="H59" s="145">
        <v>0</v>
      </c>
      <c r="I59" s="146"/>
      <c r="J59" s="178">
        <f t="shared" si="2"/>
        <v>0</v>
      </c>
      <c r="K59" s="166">
        <f t="shared" si="3"/>
        <v>0</v>
      </c>
      <c r="L59" s="167"/>
    </row>
    <row r="60" spans="1:12" s="138" customFormat="1" ht="15.75" thickBot="1">
      <c r="A60" s="462" t="s">
        <v>117</v>
      </c>
      <c r="B60" s="462"/>
      <c r="C60" s="462"/>
      <c r="D60" s="179">
        <v>27746</v>
      </c>
      <c r="E60" s="180">
        <v>26151.66</v>
      </c>
      <c r="F60" s="181">
        <f t="shared" si="0"/>
        <v>-1594.3400000000001</v>
      </c>
      <c r="G60" s="182">
        <f t="shared" si="1"/>
        <v>0.9425380234988827</v>
      </c>
      <c r="H60" s="183">
        <f>SUM(H28+H34+H40+H41+H42+H43+H44+H48+H53+H54+H55+H57+H58+H59)</f>
        <v>25087</v>
      </c>
      <c r="I60" s="184"/>
      <c r="J60" s="185">
        <f t="shared" si="2"/>
        <v>25087</v>
      </c>
      <c r="K60" s="183">
        <f t="shared" si="3"/>
        <v>-1064.6599999999999</v>
      </c>
      <c r="L60" s="186">
        <f t="shared" si="4"/>
        <v>0.9592890088047948</v>
      </c>
    </row>
    <row r="61" spans="1:14" s="6" customFormat="1" ht="15">
      <c r="A61" s="447" t="s">
        <v>17</v>
      </c>
      <c r="B61" s="447"/>
      <c r="C61" s="447"/>
      <c r="D61" s="96">
        <v>146</v>
      </c>
      <c r="E61" s="96">
        <v>1.13</v>
      </c>
      <c r="F61" s="96"/>
      <c r="G61" s="96"/>
      <c r="H61" s="96">
        <f>SUM(H27-H60)</f>
        <v>-490</v>
      </c>
      <c r="I61" s="96"/>
      <c r="J61" s="96">
        <f t="shared" si="2"/>
        <v>-490</v>
      </c>
      <c r="K61" s="115"/>
      <c r="L61" s="115"/>
      <c r="N61" s="8"/>
    </row>
    <row r="62" spans="1:14" s="6" customFormat="1" ht="15">
      <c r="A62" s="447" t="s">
        <v>18</v>
      </c>
      <c r="B62" s="447"/>
      <c r="C62" s="447"/>
      <c r="D62" s="97">
        <v>0</v>
      </c>
      <c r="E62" s="97"/>
      <c r="F62" s="98"/>
      <c r="G62" s="116"/>
      <c r="H62" s="10"/>
      <c r="I62" s="10"/>
      <c r="J62" s="10"/>
      <c r="K62" s="10"/>
      <c r="L62" s="10"/>
      <c r="N62" s="8"/>
    </row>
    <row r="63" spans="1:15" s="3" customFormat="1" ht="11.25">
      <c r="A63" s="119"/>
      <c r="B63" s="4"/>
      <c r="C63" s="4"/>
      <c r="D63" s="120"/>
      <c r="E63" s="121"/>
      <c r="F63" s="4"/>
      <c r="G63" s="4"/>
      <c r="H63" s="2"/>
      <c r="I63" s="122"/>
      <c r="J63" s="123"/>
      <c r="K63" s="119"/>
      <c r="L63" s="4"/>
      <c r="M63" s="4"/>
      <c r="N63" s="4"/>
      <c r="O63" s="2"/>
    </row>
    <row r="64" ht="13.5" thickBot="1"/>
    <row r="65" spans="1:14" s="6" customFormat="1" ht="14.25" customHeight="1" thickBot="1">
      <c r="A65" s="420" t="s">
        <v>150</v>
      </c>
      <c r="B65" s="421"/>
      <c r="C65" s="424" t="s">
        <v>19</v>
      </c>
      <c r="D65" s="12"/>
      <c r="E65" s="426" t="s">
        <v>151</v>
      </c>
      <c r="F65" s="426"/>
      <c r="G65" s="426"/>
      <c r="H65" s="426"/>
      <c r="I65" s="411" t="s">
        <v>19</v>
      </c>
      <c r="J65" s="11"/>
      <c r="K65" s="11"/>
      <c r="L65" s="11"/>
      <c r="M65" s="11"/>
      <c r="N65" s="11"/>
    </row>
    <row r="66" spans="1:14" s="6" customFormat="1" ht="15.75" thickBot="1">
      <c r="A66" s="422"/>
      <c r="B66" s="423"/>
      <c r="C66" s="425"/>
      <c r="D66" s="12"/>
      <c r="E66" s="426"/>
      <c r="F66" s="426"/>
      <c r="G66" s="426"/>
      <c r="H66" s="426"/>
      <c r="I66" s="411"/>
      <c r="J66" s="11"/>
      <c r="K66" s="11"/>
      <c r="L66" s="11"/>
      <c r="M66" s="11"/>
      <c r="N66" s="11"/>
    </row>
    <row r="67" spans="1:14" s="6" customFormat="1" ht="15.75" thickBot="1">
      <c r="A67" s="382" t="s">
        <v>213</v>
      </c>
      <c r="B67" s="382"/>
      <c r="C67" s="13">
        <v>350</v>
      </c>
      <c r="D67" s="14"/>
      <c r="E67" s="382" t="s">
        <v>219</v>
      </c>
      <c r="F67" s="382"/>
      <c r="G67" s="382"/>
      <c r="H67" s="382"/>
      <c r="I67" s="15">
        <v>150</v>
      </c>
      <c r="J67" s="11"/>
      <c r="K67" s="11"/>
      <c r="L67" s="11"/>
      <c r="M67" s="11"/>
      <c r="N67" s="113" t="s">
        <v>122</v>
      </c>
    </row>
    <row r="68" spans="1:14" s="6" customFormat="1" ht="15">
      <c r="A68" s="382" t="s">
        <v>216</v>
      </c>
      <c r="B68" s="382"/>
      <c r="C68" s="13">
        <v>100</v>
      </c>
      <c r="D68" s="14"/>
      <c r="E68" s="380"/>
      <c r="F68" s="380"/>
      <c r="G68" s="380"/>
      <c r="H68" s="380"/>
      <c r="I68" s="16"/>
      <c r="J68" s="11"/>
      <c r="K68" s="17" t="s">
        <v>20</v>
      </c>
      <c r="L68" s="18"/>
      <c r="M68" s="19">
        <v>2009</v>
      </c>
      <c r="N68" s="20">
        <v>2010</v>
      </c>
    </row>
    <row r="69" spans="1:14" s="6" customFormat="1" ht="15">
      <c r="A69" s="382" t="s">
        <v>217</v>
      </c>
      <c r="B69" s="382"/>
      <c r="C69" s="13">
        <v>167</v>
      </c>
      <c r="D69" s="14"/>
      <c r="E69" s="380"/>
      <c r="F69" s="380"/>
      <c r="G69" s="380"/>
      <c r="H69" s="380"/>
      <c r="I69" s="16"/>
      <c r="J69" s="11"/>
      <c r="K69" s="21" t="s">
        <v>45</v>
      </c>
      <c r="L69" s="22"/>
      <c r="M69" s="23"/>
      <c r="N69" s="24"/>
    </row>
    <row r="70" spans="1:14" s="6" customFormat="1" ht="15">
      <c r="A70" s="382" t="s">
        <v>218</v>
      </c>
      <c r="B70" s="382"/>
      <c r="C70" s="13">
        <v>150</v>
      </c>
      <c r="D70" s="14"/>
      <c r="E70" s="380"/>
      <c r="F70" s="380"/>
      <c r="G70" s="380"/>
      <c r="H70" s="380"/>
      <c r="I70" s="16"/>
      <c r="J70" s="11"/>
      <c r="K70" s="21" t="s">
        <v>21</v>
      </c>
      <c r="L70" s="25"/>
      <c r="M70" s="26">
        <v>0</v>
      </c>
      <c r="N70" s="27">
        <v>0</v>
      </c>
    </row>
    <row r="71" spans="1:14" s="6" customFormat="1" ht="15.75" thickBot="1">
      <c r="A71" s="383" t="s">
        <v>177</v>
      </c>
      <c r="B71" s="384"/>
      <c r="C71" s="15">
        <v>192</v>
      </c>
      <c r="D71" s="14"/>
      <c r="E71" s="380"/>
      <c r="F71" s="380"/>
      <c r="G71" s="380"/>
      <c r="H71" s="380"/>
      <c r="I71" s="28"/>
      <c r="J71" s="11"/>
      <c r="K71" s="29" t="s">
        <v>22</v>
      </c>
      <c r="L71" s="30"/>
      <c r="M71" s="31">
        <v>0</v>
      </c>
      <c r="N71" s="32">
        <v>0</v>
      </c>
    </row>
    <row r="72" spans="1:14" s="6" customFormat="1" ht="15">
      <c r="A72" s="383"/>
      <c r="B72" s="384"/>
      <c r="C72" s="13"/>
      <c r="D72" s="14"/>
      <c r="E72" s="380"/>
      <c r="F72" s="380"/>
      <c r="G72" s="380"/>
      <c r="H72" s="380"/>
      <c r="I72" s="28"/>
      <c r="J72" s="11"/>
      <c r="K72" s="11"/>
      <c r="L72" s="11"/>
      <c r="M72" s="11"/>
      <c r="N72" s="11"/>
    </row>
    <row r="73" spans="1:14" s="6" customFormat="1" ht="15">
      <c r="A73" s="383"/>
      <c r="B73" s="384"/>
      <c r="C73" s="13"/>
      <c r="D73" s="14"/>
      <c r="E73" s="409"/>
      <c r="F73" s="409"/>
      <c r="G73" s="409"/>
      <c r="H73" s="409"/>
      <c r="I73" s="16"/>
      <c r="J73" s="11"/>
      <c r="K73" s="11"/>
      <c r="L73" s="11"/>
      <c r="M73" s="11"/>
      <c r="N73" s="11"/>
    </row>
    <row r="74" spans="1:14" s="6" customFormat="1" ht="15.75" thickBot="1">
      <c r="A74" s="383"/>
      <c r="B74" s="384"/>
      <c r="C74" s="33"/>
      <c r="D74" s="14"/>
      <c r="E74" s="381"/>
      <c r="F74" s="381"/>
      <c r="G74" s="381"/>
      <c r="H74" s="381"/>
      <c r="I74" s="34"/>
      <c r="J74" s="11"/>
      <c r="K74" s="11"/>
      <c r="L74" s="11"/>
      <c r="M74" s="11"/>
      <c r="N74" s="11"/>
    </row>
    <row r="75" spans="1:14" s="6" customFormat="1" ht="15.75" thickBot="1">
      <c r="A75" s="405" t="s">
        <v>12</v>
      </c>
      <c r="B75" s="406"/>
      <c r="C75" s="35">
        <f>SUM(C67:C73)</f>
        <v>959</v>
      </c>
      <c r="D75" s="36"/>
      <c r="E75" s="404" t="s">
        <v>12</v>
      </c>
      <c r="F75" s="404"/>
      <c r="G75" s="404"/>
      <c r="H75" s="404"/>
      <c r="I75" s="37">
        <f>SUM(I67:I74)</f>
        <v>150</v>
      </c>
      <c r="J75" s="11"/>
      <c r="K75" s="11"/>
      <c r="L75" s="11"/>
      <c r="M75" s="11"/>
      <c r="N75" s="38"/>
    </row>
    <row r="76" spans="1:5" s="10" customFormat="1" ht="13.5" customHeight="1">
      <c r="A76" s="36"/>
      <c r="B76" s="39"/>
      <c r="C76" s="39"/>
      <c r="D76" s="39"/>
      <c r="E76" s="39"/>
    </row>
    <row r="77" spans="1:12" s="10" customFormat="1" ht="15.75" thickBot="1">
      <c r="A77" s="5" t="s">
        <v>152</v>
      </c>
      <c r="B77" s="40"/>
      <c r="C77" s="40"/>
      <c r="D77" s="40"/>
      <c r="E77" s="41"/>
      <c r="F77" s="42"/>
      <c r="G77" s="42"/>
      <c r="H77" s="14"/>
      <c r="I77" s="40"/>
      <c r="J77" s="40" t="s">
        <v>46</v>
      </c>
      <c r="K77" s="40"/>
      <c r="L77" s="41"/>
    </row>
    <row r="78" spans="1:11" s="10" customFormat="1" ht="15.75" thickBot="1">
      <c r="A78" s="427" t="s">
        <v>31</v>
      </c>
      <c r="B78" s="428" t="s">
        <v>153</v>
      </c>
      <c r="C78" s="412" t="s">
        <v>154</v>
      </c>
      <c r="D78" s="412"/>
      <c r="E78" s="412"/>
      <c r="F78" s="412"/>
      <c r="G78" s="412"/>
      <c r="H78" s="412"/>
      <c r="I78" s="412"/>
      <c r="J78" s="413" t="s">
        <v>155</v>
      </c>
      <c r="K78" s="6"/>
    </row>
    <row r="79" spans="1:11" s="10" customFormat="1" ht="12.75" customHeight="1" thickBot="1">
      <c r="A79" s="427"/>
      <c r="B79" s="428"/>
      <c r="C79" s="414" t="s">
        <v>32</v>
      </c>
      <c r="D79" s="415" t="s">
        <v>33</v>
      </c>
      <c r="E79" s="415"/>
      <c r="F79" s="415"/>
      <c r="G79" s="415"/>
      <c r="H79" s="415"/>
      <c r="I79" s="415"/>
      <c r="J79" s="413"/>
      <c r="K79" s="6"/>
    </row>
    <row r="80" spans="1:11" s="10" customFormat="1" ht="15.75" thickBot="1">
      <c r="A80" s="427"/>
      <c r="B80" s="428"/>
      <c r="C80" s="414"/>
      <c r="D80" s="43">
        <v>1</v>
      </c>
      <c r="E80" s="43">
        <v>2</v>
      </c>
      <c r="F80" s="43">
        <v>3</v>
      </c>
      <c r="G80" s="43">
        <v>4</v>
      </c>
      <c r="H80" s="43">
        <v>5</v>
      </c>
      <c r="I80" s="44">
        <v>6</v>
      </c>
      <c r="J80" s="413"/>
      <c r="K80" s="6"/>
    </row>
    <row r="81" spans="1:11" s="10" customFormat="1" ht="15.75" thickBot="1">
      <c r="A81" s="45">
        <v>26603</v>
      </c>
      <c r="B81" s="46">
        <v>8789</v>
      </c>
      <c r="C81" s="47">
        <v>664</v>
      </c>
      <c r="D81" s="48">
        <v>267</v>
      </c>
      <c r="E81" s="48">
        <v>177</v>
      </c>
      <c r="F81" s="48">
        <v>27</v>
      </c>
      <c r="G81" s="48">
        <v>0</v>
      </c>
      <c r="H81" s="49">
        <v>193</v>
      </c>
      <c r="I81" s="50"/>
      <c r="J81" s="51">
        <v>17150</v>
      </c>
      <c r="K81" s="6"/>
    </row>
    <row r="82" spans="1:5" s="10" customFormat="1" ht="13.5" customHeight="1">
      <c r="A82" s="36"/>
      <c r="B82" s="39"/>
      <c r="C82" s="39"/>
      <c r="D82" s="39"/>
      <c r="E82" s="39"/>
    </row>
    <row r="83" spans="1:12" s="10" customFormat="1" ht="15.75" thickBot="1">
      <c r="A83" s="5" t="s">
        <v>63</v>
      </c>
      <c r="B83" s="40"/>
      <c r="C83" s="40"/>
      <c r="D83" s="40"/>
      <c r="E83" s="41"/>
      <c r="F83" s="52"/>
      <c r="G83" s="42"/>
      <c r="H83" s="14"/>
      <c r="I83" s="40"/>
      <c r="J83" s="40"/>
      <c r="K83" s="40"/>
      <c r="L83" s="40" t="s">
        <v>46</v>
      </c>
    </row>
    <row r="84" spans="1:12" s="10" customFormat="1" ht="15.75" thickBot="1">
      <c r="A84" s="416" t="s">
        <v>43</v>
      </c>
      <c r="B84" s="430" t="s">
        <v>156</v>
      </c>
      <c r="C84" s="431" t="s">
        <v>305</v>
      </c>
      <c r="D84" s="431"/>
      <c r="E84" s="431"/>
      <c r="F84" s="431"/>
      <c r="G84" s="432" t="s">
        <v>157</v>
      </c>
      <c r="H84" s="433" t="s">
        <v>34</v>
      </c>
      <c r="I84" s="429" t="s">
        <v>159</v>
      </c>
      <c r="J84" s="429"/>
      <c r="K84" s="429"/>
      <c r="L84" s="429"/>
    </row>
    <row r="85" spans="1:12" s="10" customFormat="1" ht="30.75" thickBot="1">
      <c r="A85" s="416"/>
      <c r="B85" s="430"/>
      <c r="C85" s="53" t="s">
        <v>120</v>
      </c>
      <c r="D85" s="54" t="s">
        <v>35</v>
      </c>
      <c r="E85" s="54" t="s">
        <v>36</v>
      </c>
      <c r="F85" s="55" t="s">
        <v>121</v>
      </c>
      <c r="G85" s="432"/>
      <c r="H85" s="433"/>
      <c r="I85" s="56" t="s">
        <v>158</v>
      </c>
      <c r="J85" s="57" t="s">
        <v>35</v>
      </c>
      <c r="K85" s="57" t="s">
        <v>36</v>
      </c>
      <c r="L85" s="58" t="s">
        <v>160</v>
      </c>
    </row>
    <row r="86" spans="1:12" s="10" customFormat="1" ht="15">
      <c r="A86" s="59" t="s">
        <v>37</v>
      </c>
      <c r="B86" s="60">
        <v>711</v>
      </c>
      <c r="C86" s="61" t="s">
        <v>38</v>
      </c>
      <c r="D86" s="62" t="s">
        <v>38</v>
      </c>
      <c r="E86" s="62" t="s">
        <v>38</v>
      </c>
      <c r="F86" s="63"/>
      <c r="G86" s="64">
        <v>1151</v>
      </c>
      <c r="H86" s="65" t="s">
        <v>38</v>
      </c>
      <c r="I86" s="66" t="s">
        <v>38</v>
      </c>
      <c r="J86" s="67" t="s">
        <v>38</v>
      </c>
      <c r="K86" s="67" t="s">
        <v>38</v>
      </c>
      <c r="L86" s="68" t="s">
        <v>38</v>
      </c>
    </row>
    <row r="87" spans="1:13" s="10" customFormat="1" ht="15">
      <c r="A87" s="69" t="s">
        <v>39</v>
      </c>
      <c r="B87" s="70">
        <v>12</v>
      </c>
      <c r="C87" s="71">
        <v>12</v>
      </c>
      <c r="D87" s="72">
        <v>0</v>
      </c>
      <c r="E87" s="72">
        <v>10</v>
      </c>
      <c r="F87" s="73">
        <f>C87+D87-E87</f>
        <v>2</v>
      </c>
      <c r="G87" s="74">
        <v>2</v>
      </c>
      <c r="H87" s="75">
        <f>+G87-F87</f>
        <v>0</v>
      </c>
      <c r="I87" s="71">
        <v>2</v>
      </c>
      <c r="J87" s="72">
        <v>0</v>
      </c>
      <c r="K87" s="72">
        <v>2</v>
      </c>
      <c r="L87" s="73">
        <f>I87+J87-K87</f>
        <v>0</v>
      </c>
      <c r="M87" s="76"/>
    </row>
    <row r="88" spans="1:13" s="10" customFormat="1" ht="15">
      <c r="A88" s="69" t="s">
        <v>40</v>
      </c>
      <c r="B88" s="70">
        <v>86</v>
      </c>
      <c r="C88" s="71">
        <v>69</v>
      </c>
      <c r="D88" s="72">
        <v>146</v>
      </c>
      <c r="E88" s="72">
        <v>0</v>
      </c>
      <c r="F88" s="73">
        <f>C88+D88-E88</f>
        <v>215</v>
      </c>
      <c r="G88" s="74">
        <v>216</v>
      </c>
      <c r="H88" s="75">
        <f>+G88-F88</f>
        <v>1</v>
      </c>
      <c r="I88" s="71">
        <v>216</v>
      </c>
      <c r="J88" s="72">
        <v>1</v>
      </c>
      <c r="K88" s="72">
        <v>216</v>
      </c>
      <c r="L88" s="73">
        <f>I88+J88-K88</f>
        <v>1</v>
      </c>
      <c r="M88" s="76"/>
    </row>
    <row r="89" spans="1:13" s="10" customFormat="1" ht="15">
      <c r="A89" s="69" t="s">
        <v>44</v>
      </c>
      <c r="B89" s="70">
        <v>499</v>
      </c>
      <c r="C89" s="71">
        <v>500</v>
      </c>
      <c r="D89" s="72">
        <v>1170</v>
      </c>
      <c r="E89" s="72">
        <v>1374</v>
      </c>
      <c r="F89" s="73">
        <f>C89+D89-E89</f>
        <v>296</v>
      </c>
      <c r="G89" s="74">
        <v>296</v>
      </c>
      <c r="H89" s="75">
        <f>+G89-F89</f>
        <v>0</v>
      </c>
      <c r="I89" s="77">
        <v>296</v>
      </c>
      <c r="J89" s="78">
        <v>664</v>
      </c>
      <c r="K89" s="78">
        <v>959</v>
      </c>
      <c r="L89" s="73">
        <f>I89+J89-K89</f>
        <v>1</v>
      </c>
      <c r="M89" s="76"/>
    </row>
    <row r="90" spans="1:13" s="10" customFormat="1" ht="15">
      <c r="A90" s="69" t="s">
        <v>41</v>
      </c>
      <c r="B90" s="70">
        <v>113</v>
      </c>
      <c r="C90" s="79" t="s">
        <v>38</v>
      </c>
      <c r="D90" s="62" t="s">
        <v>38</v>
      </c>
      <c r="E90" s="80" t="s">
        <v>38</v>
      </c>
      <c r="F90" s="73"/>
      <c r="G90" s="74">
        <v>638</v>
      </c>
      <c r="H90" s="81" t="s">
        <v>38</v>
      </c>
      <c r="I90" s="79" t="s">
        <v>38</v>
      </c>
      <c r="J90" s="62" t="s">
        <v>38</v>
      </c>
      <c r="K90" s="80" t="s">
        <v>38</v>
      </c>
      <c r="L90" s="73"/>
      <c r="M90" s="76"/>
    </row>
    <row r="91" spans="1:13" s="10" customFormat="1" ht="15.75" thickBot="1">
      <c r="A91" s="82" t="s">
        <v>42</v>
      </c>
      <c r="B91" s="83">
        <v>218</v>
      </c>
      <c r="C91" s="84">
        <v>207</v>
      </c>
      <c r="D91" s="85">
        <v>264</v>
      </c>
      <c r="E91" s="112">
        <v>178</v>
      </c>
      <c r="F91" s="106">
        <f>C91+D91-E91</f>
        <v>293</v>
      </c>
      <c r="G91" s="109">
        <v>273</v>
      </c>
      <c r="H91" s="110">
        <f>+G91-F91</f>
        <v>-20</v>
      </c>
      <c r="I91" s="111">
        <v>293</v>
      </c>
      <c r="J91" s="112">
        <v>132</v>
      </c>
      <c r="K91" s="112">
        <v>425</v>
      </c>
      <c r="L91" s="106">
        <f>I91+J91-K91</f>
        <v>0</v>
      </c>
      <c r="M91" s="76"/>
    </row>
    <row r="94" spans="1:11" s="1" customFormat="1" ht="15.75" thickBot="1">
      <c r="A94" s="5" t="s">
        <v>146</v>
      </c>
      <c r="D94" s="124"/>
      <c r="E94" s="125"/>
      <c r="K94" s="4" t="s">
        <v>46</v>
      </c>
    </row>
    <row r="95" spans="1:11" s="1" customFormat="1" ht="11.25">
      <c r="A95" s="500" t="s">
        <v>26</v>
      </c>
      <c r="B95" s="500"/>
      <c r="C95" s="500"/>
      <c r="D95" s="126"/>
      <c r="E95" s="500" t="s">
        <v>27</v>
      </c>
      <c r="F95" s="500"/>
      <c r="G95" s="500"/>
      <c r="I95" s="500" t="s">
        <v>23</v>
      </c>
      <c r="J95" s="500"/>
      <c r="K95" s="500"/>
    </row>
    <row r="96" spans="1:11" s="1" customFormat="1" ht="12" thickBot="1">
      <c r="A96" s="127" t="s">
        <v>28</v>
      </c>
      <c r="B96" s="128" t="s">
        <v>29</v>
      </c>
      <c r="C96" s="129" t="s">
        <v>25</v>
      </c>
      <c r="D96" s="126"/>
      <c r="E96" s="130"/>
      <c r="F96" s="501" t="s">
        <v>30</v>
      </c>
      <c r="G96" s="501"/>
      <c r="I96" s="127"/>
      <c r="J96" s="128" t="s">
        <v>24</v>
      </c>
      <c r="K96" s="129" t="s">
        <v>25</v>
      </c>
    </row>
    <row r="97" spans="1:11" s="1" customFormat="1" ht="11.25">
      <c r="A97" s="131">
        <v>2010</v>
      </c>
      <c r="B97" s="132">
        <v>53</v>
      </c>
      <c r="C97" s="133">
        <v>49</v>
      </c>
      <c r="D97" s="120"/>
      <c r="E97" s="131">
        <v>2010</v>
      </c>
      <c r="F97" s="502">
        <v>90</v>
      </c>
      <c r="G97" s="502"/>
      <c r="I97" s="131">
        <v>2010</v>
      </c>
      <c r="J97" s="132">
        <v>13170</v>
      </c>
      <c r="K97" s="133">
        <v>13180</v>
      </c>
    </row>
    <row r="98" spans="1:11" s="1" customFormat="1" ht="12" thickBot="1">
      <c r="A98" s="134">
        <v>2011</v>
      </c>
      <c r="B98" s="135">
        <v>51</v>
      </c>
      <c r="C98" s="136" t="s">
        <v>62</v>
      </c>
      <c r="D98" s="120"/>
      <c r="E98" s="134">
        <v>2011</v>
      </c>
      <c r="F98" s="503">
        <v>90</v>
      </c>
      <c r="G98" s="503"/>
      <c r="I98" s="134">
        <v>2011</v>
      </c>
      <c r="J98" s="135">
        <v>12600</v>
      </c>
      <c r="K98" s="136" t="s">
        <v>62</v>
      </c>
    </row>
  </sheetData>
  <mergeCells count="104">
    <mergeCell ref="I95:K95"/>
    <mergeCell ref="F96:G96"/>
    <mergeCell ref="F97:G97"/>
    <mergeCell ref="F98:G98"/>
    <mergeCell ref="A7:C7"/>
    <mergeCell ref="A62:C62"/>
    <mergeCell ref="A95:C95"/>
    <mergeCell ref="E95:G95"/>
    <mergeCell ref="A65:B66"/>
    <mergeCell ref="C65:C66"/>
    <mergeCell ref="E65:H66"/>
    <mergeCell ref="A67:B67"/>
    <mergeCell ref="E67:H67"/>
    <mergeCell ref="A68:B68"/>
    <mergeCell ref="E4:E6"/>
    <mergeCell ref="F4:G4"/>
    <mergeCell ref="H4:J4"/>
    <mergeCell ref="K4:L4"/>
    <mergeCell ref="A4:C6"/>
    <mergeCell ref="D4:D6"/>
    <mergeCell ref="I65:I66"/>
    <mergeCell ref="E68:H68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E71:H71"/>
    <mergeCell ref="A72:B72"/>
    <mergeCell ref="E72:H72"/>
    <mergeCell ref="A69:B69"/>
    <mergeCell ref="E69:H69"/>
    <mergeCell ref="A70:B70"/>
    <mergeCell ref="E70:H70"/>
    <mergeCell ref="A71:B71"/>
    <mergeCell ref="H84:H85"/>
    <mergeCell ref="I84:L84"/>
    <mergeCell ref="A75:B75"/>
    <mergeCell ref="E75:H75"/>
    <mergeCell ref="A78:A80"/>
    <mergeCell ref="B78:B80"/>
    <mergeCell ref="C78:I78"/>
    <mergeCell ref="A84:A85"/>
    <mergeCell ref="B84:B85"/>
    <mergeCell ref="C84:F84"/>
    <mergeCell ref="G84:G85"/>
    <mergeCell ref="A2:N2"/>
    <mergeCell ref="A3:G3"/>
    <mergeCell ref="J78:J80"/>
    <mergeCell ref="C79:C80"/>
    <mergeCell ref="D79:I79"/>
    <mergeCell ref="A73:B73"/>
    <mergeCell ref="E73:H73"/>
    <mergeCell ref="A74:B74"/>
    <mergeCell ref="E74:H74"/>
  </mergeCells>
  <printOptions horizontalCentered="1"/>
  <pageMargins left="0.15748031496062992" right="0.15748031496062992" top="0.76" bottom="0.16" header="0.57" footer="0.15748031496062992"/>
  <pageSetup fitToHeight="2" horizontalDpi="600" verticalDpi="6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2011-04-22T07:52:01Z</cp:lastPrinted>
  <dcterms:created xsi:type="dcterms:W3CDTF">2004-02-26T11:39:43Z</dcterms:created>
  <dcterms:modified xsi:type="dcterms:W3CDTF">2011-04-22T07:52:57Z</dcterms:modified>
  <cp:category/>
  <cp:version/>
  <cp:contentType/>
  <cp:contentStatus/>
</cp:coreProperties>
</file>