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300" windowHeight="9480" tabRatio="622" activeTab="0"/>
  </bookViews>
  <sheets>
    <sheet name="RK-10-2010-47, př. 2 " sheetId="1" r:id="rId1"/>
  </sheets>
  <definedNames>
    <definedName name="_xlnm.Print_Area" localSheetId="0">'RK-10-2010-47, př. 2 '!$A$1:$V$274</definedName>
  </definedNames>
  <calcPr fullCalcOnLoad="1"/>
</workbook>
</file>

<file path=xl/sharedStrings.xml><?xml version="1.0" encoding="utf-8"?>
<sst xmlns="http://schemas.openxmlformats.org/spreadsheetml/2006/main" count="448" uniqueCount="243">
  <si>
    <t>Organizace</t>
  </si>
  <si>
    <t>Gymnázium Chotěboř</t>
  </si>
  <si>
    <t>Gymnázium Jihlava</t>
  </si>
  <si>
    <t>Gymnázium Pacov</t>
  </si>
  <si>
    <t>Gymnázium Pelhřimov</t>
  </si>
  <si>
    <t>Gymnázium Třebíč</t>
  </si>
  <si>
    <t>DDM Jihlava</t>
  </si>
  <si>
    <t>Plavecká škola Jihlava</t>
  </si>
  <si>
    <t>/v tis. Kč/</t>
  </si>
  <si>
    <t>Investiční fond</t>
  </si>
  <si>
    <t>Rezervní fond</t>
  </si>
  <si>
    <t>FKSP</t>
  </si>
  <si>
    <t>Fond odměn</t>
  </si>
  <si>
    <t>Použití</t>
  </si>
  <si>
    <t>§3114 - celkem</t>
  </si>
  <si>
    <t>§3121 - celkem</t>
  </si>
  <si>
    <t xml:space="preserve"> </t>
  </si>
  <si>
    <t>§ 3122 - celkem</t>
  </si>
  <si>
    <t>§ 3123 - celkem</t>
  </si>
  <si>
    <t>§ 3125 - celkem</t>
  </si>
  <si>
    <t>§ 3146 - celkem</t>
  </si>
  <si>
    <t>PPP Jihlava</t>
  </si>
  <si>
    <t>PPP Pelhřimov</t>
  </si>
  <si>
    <t>PPP Třebíč</t>
  </si>
  <si>
    <t>§ 3147 - celkem</t>
  </si>
  <si>
    <t>§ 3149- celkem</t>
  </si>
  <si>
    <t>§ 3231 - celkem</t>
  </si>
  <si>
    <t>§ 3421 - celkem</t>
  </si>
  <si>
    <t>§ 4322 - celkem</t>
  </si>
  <si>
    <t>Celkem</t>
  </si>
  <si>
    <t>fondu</t>
  </si>
  <si>
    <t>Gymnázium Velké Meziříčí</t>
  </si>
  <si>
    <t>Gymnázium Žďár nad Sázavou</t>
  </si>
  <si>
    <t>PPP Žďár nad Sázavou</t>
  </si>
  <si>
    <t>SOŠ a SOU Třešť</t>
  </si>
  <si>
    <t>Střední škola technická Jihlava</t>
  </si>
  <si>
    <t>Střední škola stavební Jihlava</t>
  </si>
  <si>
    <t>Střední škola Pelhřimov</t>
  </si>
  <si>
    <t>Hotelová škola Třebíč</t>
  </si>
  <si>
    <t>Střední škola řemesel Třebíč</t>
  </si>
  <si>
    <t>SOŠ Nové Město na Moravě</t>
  </si>
  <si>
    <t>§ 3124 - celkem</t>
  </si>
  <si>
    <t>DDM Hrádek Třebíč</t>
  </si>
  <si>
    <t>ZŠ a MŠ při ZZ kraje Vysočina</t>
  </si>
  <si>
    <t>ZUŠ Pacov, Španovského 319</t>
  </si>
  <si>
    <t>Junior - DDM, střed. volného času, Chotěboř, Tyršova 793</t>
  </si>
  <si>
    <t>DD, Nová Ves u Chotěboře 1</t>
  </si>
  <si>
    <t>DD, Telč, Štěpnická 111</t>
  </si>
  <si>
    <t>DD, Humpolec, Libická 928</t>
  </si>
  <si>
    <t>DD, Senožaty 199</t>
  </si>
  <si>
    <t>DD, Budkov 1</t>
  </si>
  <si>
    <t>DD, Hrotovice, Sokolská 362</t>
  </si>
  <si>
    <t>DD, Jemnice, Třešňová 748</t>
  </si>
  <si>
    <t>DD, Rovečné 40</t>
  </si>
  <si>
    <r>
      <t xml:space="preserve">Odvětví: </t>
    </r>
    <r>
      <rPr>
        <b/>
        <sz val="12"/>
        <rFont val="Arial"/>
        <family val="2"/>
      </rPr>
      <t>školství</t>
    </r>
  </si>
  <si>
    <t>§ 3299 - celkem</t>
  </si>
  <si>
    <t>SOU technické Chotěboř</t>
  </si>
  <si>
    <t>Obchodní akademie, Pelhřimov, Jirsíkova 875</t>
  </si>
  <si>
    <t>OU a Prakt. škola, Černovice, Mariánské nám. 72</t>
  </si>
  <si>
    <t>Plavecká škola, krytý bazén Hájek, Mládežnická 2, Třebíč</t>
  </si>
  <si>
    <t>DD, Náměšť n/ Osl., Krátká 284</t>
  </si>
  <si>
    <t>ZŠ Humpolec, Husova 391</t>
  </si>
  <si>
    <t>Tvorba a použití peněžních fondů v roce 2010</t>
  </si>
  <si>
    <t>k 31.12.2009</t>
  </si>
  <si>
    <t>50 tis. Kč</t>
  </si>
  <si>
    <t>30 tis. Kč</t>
  </si>
  <si>
    <t>VOŚ a OA Chotěboř</t>
  </si>
  <si>
    <t>62 tis. Kč</t>
  </si>
  <si>
    <t>OA a jaz. škola Třebíč</t>
  </si>
  <si>
    <t>100 tis. Kč</t>
  </si>
  <si>
    <t>DDM Bystřice nad Pernštejnem</t>
  </si>
  <si>
    <t>1 000 tis. Kč</t>
  </si>
  <si>
    <t>24 tis. Kč</t>
  </si>
  <si>
    <t>techn. zhodnoc. nemov. majetku</t>
  </si>
  <si>
    <t>údržba a opravy majetku, který PO používá k činnosti</t>
  </si>
  <si>
    <t>Plán čerpání investičního fondu na rok 2010</t>
  </si>
  <si>
    <t xml:space="preserve">název akce </t>
  </si>
  <si>
    <t>v tis.Kč</t>
  </si>
  <si>
    <t>v tis. Kč</t>
  </si>
  <si>
    <t xml:space="preserve">§3121 </t>
  </si>
  <si>
    <t>Gymnázium Havlíčkův Brod</t>
  </si>
  <si>
    <t>běžná údržba v budově školy 80 tis. Kč</t>
  </si>
  <si>
    <t>interaktivní tabule s příslušenstvím 140 tis. Kč</t>
  </si>
  <si>
    <t>drobná údržba a opravy svěřeného majetku 195 tis. Kč</t>
  </si>
  <si>
    <t>telefonní ústředna 50 tis. Kč</t>
  </si>
  <si>
    <t>běžná údržba v budově školy (malování, opravy) 200 tis. Kč</t>
  </si>
  <si>
    <t>běžná údržba v budově školy 50 tis. Kč</t>
  </si>
  <si>
    <t>server 70 tis. Kč, tiskárna 140 tis. Kč</t>
  </si>
  <si>
    <t>pylonová tabule v učebně biologie 57 tis. Kč</t>
  </si>
  <si>
    <t>myčka 100 tis. Kč, čistící stroj 50 tis. Kč</t>
  </si>
  <si>
    <t xml:space="preserve">§ 3122 </t>
  </si>
  <si>
    <t>síťové servery 150 tis. Kč, kopírky 50 tis. Kč</t>
  </si>
  <si>
    <t>technické zhodnocení venkovního schodiště 500 tis. Kč, elektronické zabezpečení budov II. etapa 200 tis. Kč</t>
  </si>
  <si>
    <t>sněhová fréza 80 tis. Kč, nákup souboru výpočetní techniky (rozšíření PC sítě) 220 tis. Kč</t>
  </si>
  <si>
    <t>nábytkový set do kanceláře ek. úseku 90 tis. Kč</t>
  </si>
  <si>
    <t>digitální telekomunikační uzel s využitím VoIP 140 tis. Kč</t>
  </si>
  <si>
    <t>Střední škola stavební Třebíč</t>
  </si>
  <si>
    <t>generátor tvarových průběhů 83 tis. Kč, logický analyzátor s zobrazovacím zařízením 55 tis. Kč, skříňka na kyseliny a hydroxidy 65 tis. Kč, měření chemické spotřeby kyslíku 65 tis. Kč, moduly systému PASCO 45 tis. Kč, myčka průběžná na nádobí (školní jídelna) 170 tis. Kč, 2 ks sporáků plyn+el.trouba (školní jídelna) 230 tis. Kč, stavebnice RC 100 tis. Kč, server 350 tis. Kč, multifunkční kopírka 70 tis. Kč</t>
  </si>
  <si>
    <t>oprava podlahy dlažba 175 tis. Kč, oprava WC 640 tis. Kč, oprava elektro a podlahy 100 tis. Kč</t>
  </si>
  <si>
    <t>pitevní stůl 180 tis. Kč, trenažer pro výuku střelby v předmětu Myslivost 50 tis. Kč, model do ošetřovatelství 140 tis. Kč, model zvířete 130 tis. Kč, sterlizátor pro laboratoř 50 tis. Kč</t>
  </si>
  <si>
    <t>oprava pokojů domova mládeže 1 000 tis. Kč</t>
  </si>
  <si>
    <t>smažící pánev 100 tis. Kč, mandl 100 tis. Kč</t>
  </si>
  <si>
    <t xml:space="preserve">§ 3123 </t>
  </si>
  <si>
    <t>SOU technické, Chotěboř, Žižkova 1501</t>
  </si>
  <si>
    <t>investiční dotace projekt OP VK "Žijí…." 176 tis. Kč</t>
  </si>
  <si>
    <t>generální oprava traktoru na sečení 40 tis. Kč</t>
  </si>
  <si>
    <t>modernizace původní fasády v objektu Karolíny Světlé 450 tis. Kč, umělý povrch hřiště (přesun realizace z roku 2009) 600 tis. Kč</t>
  </si>
  <si>
    <t>oprava obráběcího stroje (havárie) 200 tis. Kč</t>
  </si>
  <si>
    <t>oprava podlahy v tělocvičně 700 tis. Kč</t>
  </si>
  <si>
    <t>kopírovací stroj 80 tis. Kč</t>
  </si>
  <si>
    <t>údržba ostatní komunikace 590 tis. Kč</t>
  </si>
  <si>
    <t>protahovací stroj - výuka truhlář 250 tis. Kč, čistící stroj - Křemešnická ul. 200 tis. Kč, diagnostika Atal 100 tis. Kč, interaktivní tabule 100 tis. Kč, ploter 100 tis. Kč</t>
  </si>
  <si>
    <t>výmalba 100 tis. Kč, drobné stavební úpravy 90 tis. Kč, opravy podlah 60 tis. Kč</t>
  </si>
  <si>
    <t>kávovar 107 tis. Kč, flambovací vozík 70 tis. Kč, server 96 tis. Kč</t>
  </si>
  <si>
    <t>Střední škola řemesel a služeb Moravské Budějovice</t>
  </si>
  <si>
    <t>interaktivní tabule 150 tis. Kč, programové vybavení pro stravování 80 tis. Kč, svařovací agregát 45 tis. Kč, rotační lišta 47 tis. Kč, pásová pila 85 tis. Kč</t>
  </si>
  <si>
    <t>běžné opravy 150 tis. Kč, opravy zdí a malování 100 tis. Kč, opravy a údržba strojů 250 tis. Kč,</t>
  </si>
  <si>
    <t>prvky základní hydrauliky s rozšířením o nadstavbu 800 tis. Kč, pneumatika v rámci projektu OP VK 281 tis. Kč</t>
  </si>
  <si>
    <t>plynový kotel do kuchyně 130</t>
  </si>
  <si>
    <t>Školní statek, Humpolec, Dusilov 384</t>
  </si>
  <si>
    <t>zvířata zákl. stáda 3 000 tis. Kč, nákup traktorů 2 500 tis. Kč, manipulátor 1 300 tis. Kč, zem. stroje 1 000 tis. Kč, vybavení jatka a MV 1 000 tis. Kč</t>
  </si>
  <si>
    <t xml:space="preserve">§ 3146 </t>
  </si>
  <si>
    <t>oprava stropu v umývárnách žáků 100 tis. Kč, oprava plotu areálu DM 60 tis. Kč, oprava fasády jídelny a rampy kuchyně 400 tis. Kč, oprava přístřešku schodiště 26 tis. Kč, malířské a natěračské práce 80 tis. Kč</t>
  </si>
  <si>
    <t>§ 3149</t>
  </si>
  <si>
    <t xml:space="preserve">§ 3231 </t>
  </si>
  <si>
    <t>nátěr střechy a zdí 200 tis. Kč</t>
  </si>
  <si>
    <t>údržba a opravy majetku 40 tis. Kč</t>
  </si>
  <si>
    <t>§ 3299</t>
  </si>
  <si>
    <t xml:space="preserve">§ 3421 </t>
  </si>
  <si>
    <t>střecha a podlaha na stodole Hájenka Černé lesy 200 tis.Kč, podlaha klubovny Smrčná 80 tis. Kč</t>
  </si>
  <si>
    <t>údržba a opravy majetku 37 tis. Kč</t>
  </si>
  <si>
    <t xml:space="preserve">§ 4322 </t>
  </si>
  <si>
    <t>sněhová fréza 42 tis. Kč</t>
  </si>
  <si>
    <t>varný kotel do kuchyně 100 tis. Kč; sporák s otevřeným podstavcem 100 tis. Kč;</t>
  </si>
  <si>
    <t>oprava podlah na skupinách 150 tis. Kč, běžné stavební úpravy (omítky) 90 tis.Kč</t>
  </si>
  <si>
    <t>oprava omítek a elektroinstalace ve sklepních provoz. místnostech 30 tis. Kč</t>
  </si>
  <si>
    <t>malířské práce 30 tis. Kč</t>
  </si>
  <si>
    <t>úprava podlah 220 tis. Kč</t>
  </si>
  <si>
    <t>herní prvky - průlezky</t>
  </si>
  <si>
    <t>Zůstatek k 1.1.2010</t>
  </si>
  <si>
    <t>Stav krytí fondu k 31.12.   2009</t>
  </si>
  <si>
    <r>
      <t>Tvorba</t>
    </r>
    <r>
      <rPr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) celkem</t>
    </r>
  </si>
  <si>
    <t>celkem vč. odvodu</t>
  </si>
  <si>
    <t>Zůstatek k 31.12.   2010</t>
  </si>
  <si>
    <r>
      <t>Tvorba</t>
    </r>
    <r>
      <rPr>
        <b/>
        <vertAlign val="superscript"/>
        <sz val="10"/>
        <rFont val="Arial"/>
        <family val="2"/>
      </rPr>
      <t xml:space="preserve"> celkem</t>
    </r>
  </si>
  <si>
    <t>Použití celkem</t>
  </si>
  <si>
    <t>Tvorba vč. zůst. k 1.1.2010</t>
  </si>
  <si>
    <t>Tvorba+stav krytí fondu k 31.12.  2009</t>
  </si>
  <si>
    <t>Gymnázium Bystřice nad Pernštejnem</t>
  </si>
  <si>
    <t>Česká zemědělská akademie v Humpolci, střední škola</t>
  </si>
  <si>
    <t>OA a Hotelová škola Havlíčkův Brod</t>
  </si>
  <si>
    <t>Pořízení movitého majetku</t>
  </si>
  <si>
    <t>Technické zhodnocení nem. maj., údržba a opravy maj., který PO používá k činnosti</t>
  </si>
  <si>
    <t>pořízení movitého majetku</t>
  </si>
  <si>
    <t>Střední škola automobilní Jihlava</t>
  </si>
  <si>
    <t>Stř. škola obchodu a služeb Jihlava</t>
  </si>
  <si>
    <t>Střední škola Kamenice nad Lipou</t>
  </si>
  <si>
    <t>SŠ řemesel a služeb Moravské Budějovice</t>
  </si>
  <si>
    <t>Střední škola technická Žďár nad Sázavou</t>
  </si>
  <si>
    <t>Střední škola řemesel a služeb Velké Meziříčí</t>
  </si>
  <si>
    <t>Akademie - VOŠ, Gy a SOŠ uměleckoprům. Světlá nad Sáz.</t>
  </si>
  <si>
    <t>Gymnázium, SOŠ a VOŠ Ledeč nad Sáz.</t>
  </si>
  <si>
    <t>Gymnázium Otokara Březiny a SOŠ Telč</t>
  </si>
  <si>
    <t>Gymnázium dr. A. Hrdličky, Humpolec, Komenského 147</t>
  </si>
  <si>
    <t>Gymnázium dr. A. Hrdličky, Humpolec, Kom.147</t>
  </si>
  <si>
    <t>Gymnázium a SOŠ, Mor. Budějovice, Tyršova 365</t>
  </si>
  <si>
    <t>Gymnázium Vincence Makovského se sportovními třídami Nové Město na Moravě</t>
  </si>
  <si>
    <t>Gymnázium a SOŠ, Moravské Budějovice, Tyršova 365</t>
  </si>
  <si>
    <t>rekonstrukce elektrických rozvodů a datových sítí 577 tis. Kč</t>
  </si>
  <si>
    <t xml:space="preserve">                    počet stran: 7</t>
  </si>
  <si>
    <t>smažící pánev 90 tis. Kč; schodolez 140 tis. Kč (investiční dotace zřizovatele 200 tis. Kč),</t>
  </si>
  <si>
    <t>osobní automobil 600 tis. Kč (investiční dotace zřizovatele 300 tis. Kč)</t>
  </si>
  <si>
    <t>pořízení osobního automobilu (obnovení vozového parku) 300 tis. Kč</t>
  </si>
  <si>
    <t>soubory interaktivních tabulí a dataprojektorů - prostředky ESF 1 022 tis. Kč, pořízení serveru 90 tis. Kč, pořízení klimatizace do učebny výp. techniky 95 tis. Kč</t>
  </si>
  <si>
    <t>1) Investiční fondy jsou posíleny převodem prostředků z rezervního fondu ve výši  1 266 tis. Kč</t>
  </si>
  <si>
    <t xml:space="preserve">výukové obráběcí centrum CNC - soustruh CNC 800 tis. Kč, frézka CNC s příslušenstvím 225 tis. Kč, 5 řídících bloků á 45 tis. Kč = 225 tis. Kč (investiční dotace zřizovatele 1 200 tis. Kč), univerzální soustruh 300 tis. Kč </t>
  </si>
  <si>
    <t>žákovská elektronická knížka 80 tis. Kč, zařízení učebny elektro 451 tis. Kč,  výukový systém RC - analog 130 tis. Kč</t>
  </si>
  <si>
    <t xml:space="preserve">osobní automobil pro autoškolu - náhrada za staré auto 220 tis. Kč, obráběcí stroj 249 tis. Kč </t>
  </si>
  <si>
    <t>ZŠ Moravské  Budějovice, Dobrovského 11</t>
  </si>
  <si>
    <t>ZŠ Ledeč nad Sázavou,  Habrecká 378</t>
  </si>
  <si>
    <t>ZŠ Pelhřimov, Komenského 1326</t>
  </si>
  <si>
    <t>ZŠ speciální a Praktická škola Černovice</t>
  </si>
  <si>
    <t>Praktická škola a SPC Ždár n/Sázavou</t>
  </si>
  <si>
    <t>ZŠ při dětské  psych. léčebně Velká  Bíteš</t>
  </si>
  <si>
    <t>ZŠ Nové Město na Moravě, Malá 154</t>
  </si>
  <si>
    <t>ZŠ a Praktická škola Chotěboř</t>
  </si>
  <si>
    <t>ZŠ Třebíč, Cyrilometodějská  22</t>
  </si>
  <si>
    <t>ZŠ a Praktická škola Velké Meziříčí</t>
  </si>
  <si>
    <t>ZUŠ, Havlíčkův  Brod, Smetanovo náměstí  31</t>
  </si>
  <si>
    <t>ZUŠ,  Bystřice n/Pernštejnem, Zahradní 622</t>
  </si>
  <si>
    <t>DDM U Aleje, Havlíčkův Brod ,Masarykova 2190</t>
  </si>
  <si>
    <t xml:space="preserve">oprava domečku - skupina "D" 200 tis. Kč, opravy drobného majetku 50 tis. Kč </t>
  </si>
  <si>
    <t>dovybavení dětského hřiště 50 tis. Kč, částečná výměna oken 300 tis. Kč, oprava vstupního schodiště 200 tis. Kč,</t>
  </si>
  <si>
    <t>ZŠ, SPC a ŠD, U Trojice 2104 Havlíčkův Brod</t>
  </si>
  <si>
    <t>ZŠ Bystřice n/Pernšt., Masarykovo náměstí 60</t>
  </si>
  <si>
    <t>rekonstrukce regulace topení 250 tis. Kč, údržba a oprava majetku 57 tis. Kč</t>
  </si>
  <si>
    <t>Vyšší odborná škola a Obchodní akademie Chotěboř</t>
  </si>
  <si>
    <t>Střední průmyslová škola stavební akademika Stanislava  Bechyně, Havlíčkův Brod, Jihlavská 628</t>
  </si>
  <si>
    <t>Střední zdravotnická škola a Vyšší odborná škola zdravotnická 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</si>
  <si>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</si>
  <si>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</si>
  <si>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</si>
  <si>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</si>
  <si>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>zateplení kotelny v tělocvičně 150 tis. Kč,oprava podlah v učebnách a kabinetech 60 tis. Kč</t>
  </si>
  <si>
    <t>Střední průmyslová škola Třebíč</t>
  </si>
  <si>
    <t>Vyšší odborná škola a Střední škola veterinární, zemědělská a zdravotická Třebíč</t>
  </si>
  <si>
    <t>Hotelová škola Světlá a Obchodní akademie Velké Meziříčí</t>
  </si>
  <si>
    <t>Vyšší odborná škola a Střední odborná škola zemědělsko - technická  Bystřice nad Pernštejnem</t>
  </si>
  <si>
    <t>Střední zdravotnická škola a Vyšší odborná škola zdravotnická  Žďár nad Sázavou</t>
  </si>
  <si>
    <t>Obchodní akademie Dr. Albína Bráfa a Jazyková  škola s právem státní  jazykové  zkoušky Třebíč</t>
  </si>
  <si>
    <t>Vyšší odborná škola a Střední průmyslová škola, Žďár nad Sázavou, Studentská 1</t>
  </si>
  <si>
    <t>Domov mládeže a Školní jídelna Jihlava</t>
  </si>
  <si>
    <t>pořízení elektronických kateder 385 tis. Kč</t>
  </si>
  <si>
    <t>klimatizace do učebny  a  kabinetu odborných učitelek 120 tis. Kč</t>
  </si>
  <si>
    <t>vybavení učebny elektro měření - dofinancování 348 tis. Kč,vybavení laboratoře mechatroniky 250 tis. Kč, CNC-frézka 270 tis. Kč, vybavení učebny PC-sítě 500 tis. Kč</t>
  </si>
  <si>
    <r>
      <t xml:space="preserve">dataprojektor 4ks+5ks pláten 200 tis. Kč, server 100 tis. Kč, ABS olepovačka hran-Miniprof 100 tis. Kč, </t>
    </r>
    <r>
      <rPr>
        <sz val="8"/>
        <rFont val="Arial CE"/>
        <family val="2"/>
      </rPr>
      <t>konvektomat - investiční dotace zřizovatele 800 tis. Kč</t>
    </r>
  </si>
  <si>
    <t>Kubišova-zateplení zahradního domku 80 tis. Kč, revitalizace zahrady 50 tis. Kč, technické zhodnocení Kubišova 26 tis. Kč (zabezpečení učebny č.317 a školní jídelny,komín), klimatizace do dvou odborných učeben pevně spojené s budovou školy 80,technické zhodnocení Hrotovická 120 tis. Kč (odsávání v dílnách)</t>
  </si>
  <si>
    <r>
      <t>dvousloupový zvedák do autoservisu-Humpolec 105 tis. Kč, elektronický přístroj pro servis klimatizací 95 tis. Kč,</t>
    </r>
    <r>
      <rPr>
        <sz val="8"/>
        <rFont val="Arial"/>
        <family val="2"/>
      </rPr>
      <t xml:space="preserve"> bruska na ventily-Světlá 80 tis. Kč, tester na hydrauliku-Světlá 80 tis. Kč</t>
    </r>
    <r>
      <rPr>
        <sz val="8"/>
        <rFont val="Arial"/>
        <family val="2"/>
      </rPr>
      <t xml:space="preserve">, sekačka na trávu-Světlá 110 tis. Kč, 2ks vozíky na nářadí-Světlá 100 tis. Kč, kamerový systém Světlá 250 tis. Kč, </t>
    </r>
    <r>
      <rPr>
        <sz val="8"/>
        <rFont val="Arial"/>
        <family val="2"/>
      </rPr>
      <t>osobní automobil pro autoškolu-výměna 260 tis. Kč,</t>
    </r>
    <r>
      <rPr>
        <sz val="8"/>
        <rFont val="Arial"/>
        <family val="2"/>
      </rPr>
      <t xml:space="preserve"> Lithium-manažerský systém 100 tis. Kč, litinová pánev do ŠJ-Světlá 150 tis. Kč, přepravník pro 2 koně za os. automobil 200 tis. Kč, vybavení audio-video učebny 300 tis. Kč</t>
    </r>
  </si>
  <si>
    <r>
      <t xml:space="preserve">server (powerEdge T610) 165 tis. Kč, operační systém 65 tis. Kč, vyvalovací stroj na knedlíky do školní kuchyně 110 tis. Kč,  </t>
    </r>
    <r>
      <rPr>
        <sz val="8"/>
        <rFont val="Arial"/>
        <family val="2"/>
      </rPr>
      <t>dvoumístný užitkový automobil  180 tis. Kč</t>
    </r>
  </si>
  <si>
    <t>vypalovací pec na keramiku 150 tis. Kč, nákup osobního automobilu - náhrada za staré auto 380 tis. Kč, kamenická dílenská pila 150 tis. Kč</t>
  </si>
  <si>
    <t>starší vůz Pick-up (náhrada za neopravitelné vozidlo) 120 tis. Kč, konvektomat 190 tis. Kč</t>
  </si>
  <si>
    <t>Vysočina Education, školské zařízení</t>
  </si>
  <si>
    <t>úprava porodny prasnic 400 tis. Kč, opravy elektroinstalace, rozvodů vody a energií 200 tis. Kč, opravy střech a opravy plášťů budov 180 tis. Kč, opravy komunikací 50 tis. Kč, opravy a údržba bytů 50 tis. Kč,  stavební materiál 40 tis. Kč, opravy strojů a vybavení vč. náhradních dílů 280 tis. Kč</t>
  </si>
  <si>
    <t>Odborné učiliště a Praktická škola Černovice</t>
  </si>
  <si>
    <t>Akademie - VOŠ, Gy a SOŠ uměleckoprům. Světlá nad Sázavou</t>
  </si>
  <si>
    <t>PPP, Havlíčkův Brod, Nad Tratí 335</t>
  </si>
  <si>
    <t>oprava sociálního zařízení 250 tis. Kč</t>
  </si>
  <si>
    <r>
      <t xml:space="preserve">CNC obráběcí centrum 1 980 tis. Kč (investiční dotace zřizovatele 1 200 tis. Kč), </t>
    </r>
    <r>
      <rPr>
        <sz val="8"/>
        <rFont val="Arial"/>
        <family val="2"/>
      </rPr>
      <t xml:space="preserve">osobní automobil (náhrada za vyřazené auto) 280 tis. Kč, nábytek do přednáškového sálu 300 tis. Kč, klimatizace učebny výp. techniky 300 tis. Kč, strojní svěráky 130 tis. Kč, </t>
    </r>
    <r>
      <rPr>
        <sz val="8"/>
        <color indexed="8"/>
        <rFont val="Arial"/>
        <family val="2"/>
      </rPr>
      <t xml:space="preserve">pila na kov 140 tis. Kč, počítač 60 tis. Kč </t>
    </r>
  </si>
  <si>
    <t>oprava venkovní fasády (okenní špalety, římsy) 35 tis. Kč, opravy v kotelně (MIX kotlové čerpadlo) 45 tis. Kč, malování 35 tis. Kč, výměna podlahové krytiny 40 tis. Kč</t>
  </si>
  <si>
    <t>zasklení venkovního prostoru pod jídelnou 150 tis. Kč, prosklený dřevěný přístřešek u tělocvičny 250 tis. Kč,oprava budovy kovářské dílny 120 tis. Kč</t>
  </si>
  <si>
    <t>sociální zařízení 1 000 tis. Kč, internet na internátě 50 tis. Kč, oprava střechy 100 tis. Kč</t>
  </si>
  <si>
    <t>Dětský domov, Nová Ves u Chotěboře 1</t>
  </si>
  <si>
    <t>Dětský domov, Telč, Štěpnická 111</t>
  </si>
  <si>
    <t>Dětský domov, Humpolec, Libická 928</t>
  </si>
  <si>
    <t>Dětský domov, Senožaty 199</t>
  </si>
  <si>
    <t>Dětský domov, Budkov 1</t>
  </si>
  <si>
    <t>Dětský domov, Hrotovice, Sokolská 362</t>
  </si>
  <si>
    <t>Dětský domov, Jemnice, Třešňová 748</t>
  </si>
  <si>
    <t>Dětský domov, Náměšť nad Oslavou, Krátká 284</t>
  </si>
  <si>
    <t>Dětský domov, Rovečné 40</t>
  </si>
  <si>
    <t>Gymnázium, SOŠ a VOŠ Ledeč nad Sázavou</t>
  </si>
  <si>
    <t>ZUŠ,  Bystřice nad Pernštejnem, Zahradní 622</t>
  </si>
  <si>
    <t xml:space="preserve">                    RK-10-2010-47,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</si>
</sst>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1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9"/>
      <color indexed="1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color indexed="10"/>
      <name val="Arial"/>
      <family val="2"/>
    </font>
    <font>
      <b/>
      <sz val="9"/>
      <color indexed="8"/>
      <name val="Arial CE"/>
      <family val="2"/>
    </font>
    <font>
      <strike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trike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2" xfId="0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3" fillId="0" borderId="8" xfId="0" applyFont="1" applyFill="1" applyBorder="1" applyAlignment="1">
      <alignment/>
    </xf>
    <xf numFmtId="0" fontId="13" fillId="0" borderId="0" xfId="0" applyFont="1" applyAlignment="1">
      <alignment/>
    </xf>
    <xf numFmtId="3" fontId="14" fillId="0" borderId="9" xfId="0" applyNumberFormat="1" applyFont="1" applyBorder="1" applyAlignment="1">
      <alignment/>
    </xf>
    <xf numFmtId="0" fontId="14" fillId="0" borderId="2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right"/>
    </xf>
    <xf numFmtId="3" fontId="19" fillId="0" borderId="1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 horizontal="left"/>
    </xf>
    <xf numFmtId="0" fontId="24" fillId="0" borderId="0" xfId="0" applyFont="1" applyAlignment="1">
      <alignment/>
    </xf>
    <xf numFmtId="3" fontId="19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5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20" fillId="0" borderId="7" xfId="0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5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24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3" fontId="19" fillId="0" borderId="26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3" fontId="19" fillId="0" borderId="29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25" fillId="0" borderId="12" xfId="0" applyFont="1" applyBorder="1" applyAlignment="1">
      <alignment/>
    </xf>
    <xf numFmtId="0" fontId="20" fillId="0" borderId="32" xfId="0" applyFont="1" applyFill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0" fillId="0" borderId="33" xfId="0" applyFont="1" applyBorder="1" applyAlignment="1">
      <alignment/>
    </xf>
    <xf numFmtId="3" fontId="19" fillId="0" borderId="34" xfId="0" applyNumberFormat="1" applyFont="1" applyBorder="1" applyAlignment="1">
      <alignment/>
    </xf>
    <xf numFmtId="3" fontId="19" fillId="0" borderId="35" xfId="0" applyNumberFormat="1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2" xfId="0" applyFont="1" applyBorder="1" applyAlignment="1">
      <alignment/>
    </xf>
    <xf numFmtId="0" fontId="25" fillId="0" borderId="0" xfId="0" applyFont="1" applyAlignment="1">
      <alignment/>
    </xf>
    <xf numFmtId="0" fontId="20" fillId="0" borderId="33" xfId="0" applyFont="1" applyFill="1" applyBorder="1" applyAlignment="1">
      <alignment/>
    </xf>
    <xf numFmtId="3" fontId="19" fillId="0" borderId="27" xfId="0" applyNumberFormat="1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0" borderId="45" xfId="0" applyFont="1" applyFill="1" applyBorder="1" applyAlignment="1">
      <alignment/>
    </xf>
    <xf numFmtId="3" fontId="19" fillId="2" borderId="20" xfId="0" applyNumberFormat="1" applyFont="1" applyFill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27" fillId="0" borderId="47" xfId="0" applyFont="1" applyBorder="1" applyAlignment="1">
      <alignment horizontal="right"/>
    </xf>
    <xf numFmtId="0" fontId="27" fillId="0" borderId="47" xfId="0" applyFont="1" applyBorder="1" applyAlignment="1">
      <alignment/>
    </xf>
    <xf numFmtId="0" fontId="27" fillId="0" borderId="47" xfId="0" applyFont="1" applyFill="1" applyBorder="1" applyAlignment="1">
      <alignment/>
    </xf>
    <xf numFmtId="0" fontId="27" fillId="0" borderId="47" xfId="0" applyFont="1" applyBorder="1" applyAlignment="1">
      <alignment horizontal="left"/>
    </xf>
    <xf numFmtId="0" fontId="27" fillId="0" borderId="48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19" fillId="0" borderId="47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 shrinkToFit="1"/>
    </xf>
    <xf numFmtId="3" fontId="19" fillId="0" borderId="25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3" fontId="19" fillId="0" borderId="25" xfId="0" applyNumberFormat="1" applyFont="1" applyBorder="1" applyAlignment="1">
      <alignment horizontal="right" vertical="center" wrapText="1" shrinkToFit="1"/>
    </xf>
    <xf numFmtId="3" fontId="19" fillId="0" borderId="25" xfId="0" applyNumberFormat="1" applyFont="1" applyBorder="1" applyAlignment="1">
      <alignment horizontal="right" vertical="center" wrapText="1"/>
    </xf>
    <xf numFmtId="3" fontId="19" fillId="0" borderId="26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3" fontId="19" fillId="0" borderId="23" xfId="0" applyNumberFormat="1" applyFont="1" applyBorder="1" applyAlignment="1">
      <alignment horizontal="right" wrapText="1"/>
    </xf>
    <xf numFmtId="3" fontId="19" fillId="0" borderId="23" xfId="0" applyNumberFormat="1" applyFont="1" applyBorder="1" applyAlignment="1">
      <alignment horizontal="right"/>
    </xf>
    <xf numFmtId="0" fontId="20" fillId="0" borderId="7" xfId="0" applyFont="1" applyBorder="1" applyAlignment="1">
      <alignment wrapText="1"/>
    </xf>
    <xf numFmtId="0" fontId="20" fillId="2" borderId="7" xfId="0" applyFont="1" applyFill="1" applyBorder="1" applyAlignment="1">
      <alignment wrapText="1"/>
    </xf>
    <xf numFmtId="3" fontId="19" fillId="0" borderId="49" xfId="0" applyNumberFormat="1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3" fontId="19" fillId="0" borderId="53" xfId="0" applyNumberFormat="1" applyFont="1" applyBorder="1" applyAlignment="1">
      <alignment/>
    </xf>
    <xf numFmtId="0" fontId="26" fillId="0" borderId="6" xfId="0" applyFont="1" applyFill="1" applyBorder="1" applyAlignment="1">
      <alignment/>
    </xf>
    <xf numFmtId="0" fontId="0" fillId="0" borderId="0" xfId="0" applyBorder="1" applyAlignment="1">
      <alignment horizontal="left"/>
    </xf>
    <xf numFmtId="3" fontId="19" fillId="0" borderId="52" xfId="0" applyNumberFormat="1" applyFont="1" applyBorder="1" applyAlignment="1">
      <alignment horizontal="right"/>
    </xf>
    <xf numFmtId="3" fontId="26" fillId="0" borderId="4" xfId="0" applyNumberFormat="1" applyFont="1" applyBorder="1" applyAlignment="1">
      <alignment/>
    </xf>
    <xf numFmtId="3" fontId="26" fillId="0" borderId="3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Border="1" applyAlignment="1">
      <alignment wrapText="1"/>
    </xf>
    <xf numFmtId="3" fontId="14" fillId="0" borderId="4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20" fillId="0" borderId="21" xfId="0" applyFont="1" applyBorder="1" applyAlignment="1">
      <alignment/>
    </xf>
    <xf numFmtId="3" fontId="14" fillId="0" borderId="3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1" fillId="0" borderId="0" xfId="0" applyFont="1" applyAlignment="1">
      <alignment/>
    </xf>
    <xf numFmtId="0" fontId="13" fillId="0" borderId="54" xfId="0" applyFont="1" applyFill="1" applyBorder="1" applyAlignment="1">
      <alignment/>
    </xf>
    <xf numFmtId="0" fontId="0" fillId="0" borderId="47" xfId="0" applyBorder="1" applyAlignment="1">
      <alignment/>
    </xf>
    <xf numFmtId="3" fontId="27" fillId="0" borderId="47" xfId="0" applyNumberFormat="1" applyFont="1" applyBorder="1" applyAlignment="1">
      <alignment horizontal="right"/>
    </xf>
    <xf numFmtId="0" fontId="27" fillId="0" borderId="47" xfId="0" applyFont="1" applyBorder="1" applyAlignment="1">
      <alignment/>
    </xf>
    <xf numFmtId="0" fontId="20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Border="1" applyAlignment="1">
      <alignment horizontal="right" wrapText="1"/>
    </xf>
    <xf numFmtId="0" fontId="27" fillId="0" borderId="0" xfId="0" applyFont="1" applyFill="1" applyBorder="1" applyAlignment="1">
      <alignment/>
    </xf>
    <xf numFmtId="0" fontId="20" fillId="0" borderId="45" xfId="0" applyFont="1" applyFill="1" applyBorder="1" applyAlignment="1">
      <alignment wrapText="1"/>
    </xf>
    <xf numFmtId="3" fontId="19" fillId="0" borderId="14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right"/>
    </xf>
    <xf numFmtId="0" fontId="20" fillId="0" borderId="57" xfId="0" applyFont="1" applyBorder="1" applyAlignment="1">
      <alignment/>
    </xf>
    <xf numFmtId="0" fontId="27" fillId="0" borderId="56" xfId="0" applyFont="1" applyBorder="1" applyAlignment="1">
      <alignment horizontal="left"/>
    </xf>
    <xf numFmtId="0" fontId="19" fillId="0" borderId="56" xfId="0" applyFont="1" applyBorder="1" applyAlignment="1">
      <alignment/>
    </xf>
    <xf numFmtId="0" fontId="20" fillId="0" borderId="37" xfId="0" applyFont="1" applyFill="1" applyBorder="1" applyAlignment="1">
      <alignment/>
    </xf>
    <xf numFmtId="0" fontId="2" fillId="0" borderId="58" xfId="0" applyFont="1" applyBorder="1" applyAlignment="1">
      <alignment horizontal="right"/>
    </xf>
    <xf numFmtId="0" fontId="0" fillId="0" borderId="58" xfId="0" applyBorder="1" applyAlignment="1">
      <alignment/>
    </xf>
    <xf numFmtId="0" fontId="27" fillId="0" borderId="59" xfId="0" applyFont="1" applyBorder="1" applyAlignment="1">
      <alignment/>
    </xf>
    <xf numFmtId="0" fontId="27" fillId="0" borderId="59" xfId="0" applyFont="1" applyBorder="1" applyAlignment="1">
      <alignment horizontal="right"/>
    </xf>
    <xf numFmtId="0" fontId="20" fillId="0" borderId="44" xfId="0" applyFont="1" applyBorder="1" applyAlignment="1">
      <alignment/>
    </xf>
    <xf numFmtId="3" fontId="27" fillId="0" borderId="59" xfId="0" applyNumberFormat="1" applyFont="1" applyBorder="1" applyAlignment="1">
      <alignment/>
    </xf>
    <xf numFmtId="0" fontId="27" fillId="0" borderId="59" xfId="0" applyFont="1" applyFill="1" applyBorder="1" applyAlignment="1">
      <alignment/>
    </xf>
    <xf numFmtId="0" fontId="14" fillId="0" borderId="60" xfId="0" applyFont="1" applyBorder="1" applyAlignment="1">
      <alignment vertical="center"/>
    </xf>
    <xf numFmtId="0" fontId="14" fillId="0" borderId="55" xfId="0" applyFont="1" applyBorder="1" applyAlignment="1">
      <alignment horizontal="centerContinuous" vertical="center"/>
    </xf>
    <xf numFmtId="0" fontId="14" fillId="0" borderId="56" xfId="0" applyFont="1" applyBorder="1" applyAlignment="1">
      <alignment horizontal="centerContinuous" vertical="center"/>
    </xf>
    <xf numFmtId="0" fontId="14" fillId="0" borderId="61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27" fillId="0" borderId="56" xfId="0" applyFont="1" applyBorder="1" applyAlignment="1">
      <alignment horizontal="right"/>
    </xf>
    <xf numFmtId="0" fontId="20" fillId="0" borderId="26" xfId="0" applyFont="1" applyBorder="1" applyAlignment="1">
      <alignment/>
    </xf>
    <xf numFmtId="0" fontId="27" fillId="0" borderId="48" xfId="0" applyFont="1" applyBorder="1" applyAlignment="1">
      <alignment horizontal="left"/>
    </xf>
    <xf numFmtId="0" fontId="19" fillId="0" borderId="48" xfId="0" applyFont="1" applyBorder="1" applyAlignment="1">
      <alignment/>
    </xf>
    <xf numFmtId="3" fontId="27" fillId="0" borderId="47" xfId="0" applyNumberFormat="1" applyFont="1" applyBorder="1" applyAlignment="1">
      <alignment/>
    </xf>
    <xf numFmtId="0" fontId="27" fillId="0" borderId="56" xfId="0" applyFont="1" applyBorder="1" applyAlignment="1">
      <alignment/>
    </xf>
    <xf numFmtId="0" fontId="27" fillId="0" borderId="56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4" fillId="0" borderId="45" xfId="0" applyFont="1" applyBorder="1" applyAlignment="1">
      <alignment horizontal="center" vertical="center" wrapText="1"/>
    </xf>
    <xf numFmtId="3" fontId="14" fillId="0" borderId="53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63" xfId="0" applyFont="1" applyBorder="1" applyAlignment="1">
      <alignment vertical="center" wrapText="1"/>
    </xf>
    <xf numFmtId="3" fontId="14" fillId="0" borderId="63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3" fillId="0" borderId="64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3" fontId="13" fillId="0" borderId="6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left" vertical="center"/>
    </xf>
    <xf numFmtId="3" fontId="14" fillId="0" borderId="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vertical="center" wrapText="1"/>
    </xf>
    <xf numFmtId="3" fontId="32" fillId="0" borderId="7" xfId="0" applyNumberFormat="1" applyFont="1" applyBorder="1" applyAlignment="1">
      <alignment horizontal="left" vertical="center"/>
    </xf>
    <xf numFmtId="3" fontId="13" fillId="0" borderId="47" xfId="0" applyNumberFormat="1" applyFont="1" applyBorder="1" applyAlignment="1">
      <alignment horizontal="left" vertical="center"/>
    </xf>
    <xf numFmtId="3" fontId="12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/>
    </xf>
    <xf numFmtId="3" fontId="20" fillId="0" borderId="7" xfId="0" applyNumberFormat="1" applyFont="1" applyBorder="1" applyAlignment="1">
      <alignment horizontal="left" vertical="center"/>
    </xf>
    <xf numFmtId="3" fontId="20" fillId="0" borderId="47" xfId="0" applyNumberFormat="1" applyFont="1" applyBorder="1" applyAlignment="1">
      <alignment horizontal="left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4" fillId="0" borderId="47" xfId="0" applyNumberFormat="1" applyFont="1" applyBorder="1" applyAlignment="1">
      <alignment horizontal="left" vertical="center"/>
    </xf>
    <xf numFmtId="3" fontId="35" fillId="0" borderId="47" xfId="0" applyNumberFormat="1" applyFont="1" applyBorder="1" applyAlignment="1">
      <alignment horizontal="left" vertical="center"/>
    </xf>
    <xf numFmtId="3" fontId="32" fillId="0" borderId="36" xfId="0" applyNumberFormat="1" applyFont="1" applyBorder="1" applyAlignment="1">
      <alignment horizontal="left" vertical="center"/>
    </xf>
    <xf numFmtId="3" fontId="13" fillId="0" borderId="65" xfId="0" applyNumberFormat="1" applyFont="1" applyBorder="1" applyAlignment="1">
      <alignment horizontal="left" vertical="center"/>
    </xf>
    <xf numFmtId="3" fontId="12" fillId="0" borderId="17" xfId="0" applyNumberFormat="1" applyFont="1" applyBorder="1" applyAlignment="1">
      <alignment vertical="center"/>
    </xf>
    <xf numFmtId="3" fontId="20" fillId="0" borderId="36" xfId="0" applyNumberFormat="1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 vertical="center"/>
    </xf>
    <xf numFmtId="0" fontId="20" fillId="0" borderId="37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vertical="center" wrapText="1"/>
    </xf>
    <xf numFmtId="3" fontId="20" fillId="0" borderId="55" xfId="0" applyNumberFormat="1" applyFont="1" applyBorder="1" applyAlignment="1">
      <alignment horizontal="left" vertical="center"/>
    </xf>
    <xf numFmtId="3" fontId="20" fillId="0" borderId="56" xfId="0" applyNumberFormat="1" applyFont="1" applyBorder="1" applyAlignment="1">
      <alignment horizontal="left" vertical="center"/>
    </xf>
    <xf numFmtId="3" fontId="20" fillId="0" borderId="66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right" vertical="center"/>
    </xf>
    <xf numFmtId="0" fontId="20" fillId="0" borderId="36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3" fontId="19" fillId="0" borderId="17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0" fontId="20" fillId="0" borderId="46" xfId="0" applyFont="1" applyBorder="1" applyAlignment="1">
      <alignment vertical="center" wrapText="1"/>
    </xf>
    <xf numFmtId="3" fontId="20" fillId="0" borderId="46" xfId="0" applyNumberFormat="1" applyFont="1" applyBorder="1" applyAlignment="1">
      <alignment horizontal="left" vertical="center"/>
    </xf>
    <xf numFmtId="3" fontId="20" fillId="0" borderId="59" xfId="0" applyNumberFormat="1" applyFont="1" applyBorder="1" applyAlignment="1">
      <alignment horizontal="left" vertical="center"/>
    </xf>
    <xf numFmtId="3" fontId="19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0" fillId="0" borderId="37" xfId="0" applyNumberFormat="1" applyFont="1" applyBorder="1" applyAlignment="1">
      <alignment horizontal="left" vertical="center"/>
    </xf>
    <xf numFmtId="3" fontId="20" fillId="0" borderId="48" xfId="0" applyNumberFormat="1" applyFont="1" applyBorder="1" applyAlignment="1">
      <alignment horizontal="left" vertical="center"/>
    </xf>
    <xf numFmtId="3" fontId="19" fillId="0" borderId="27" xfId="0" applyNumberFormat="1" applyFont="1" applyBorder="1" applyAlignment="1">
      <alignment vertical="center"/>
    </xf>
    <xf numFmtId="3" fontId="19" fillId="0" borderId="17" xfId="0" applyNumberFormat="1" applyFont="1" applyBorder="1" applyAlignment="1">
      <alignment vertical="center"/>
    </xf>
    <xf numFmtId="3" fontId="14" fillId="0" borderId="37" xfId="0" applyNumberFormat="1" applyFont="1" applyBorder="1" applyAlignment="1">
      <alignment horizontal="centerContinuous" vertical="center"/>
    </xf>
    <xf numFmtId="3" fontId="14" fillId="0" borderId="48" xfId="0" applyNumberFormat="1" applyFont="1" applyBorder="1" applyAlignment="1">
      <alignment horizontal="centerContinuous" vertical="center"/>
    </xf>
    <xf numFmtId="3" fontId="12" fillId="0" borderId="27" xfId="0" applyNumberFormat="1" applyFont="1" applyBorder="1" applyAlignment="1">
      <alignment horizontal="right" vertical="center"/>
    </xf>
    <xf numFmtId="3" fontId="13" fillId="0" borderId="48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right" vertical="center"/>
    </xf>
    <xf numFmtId="3" fontId="20" fillId="0" borderId="62" xfId="0" applyNumberFormat="1" applyFont="1" applyBorder="1" applyAlignment="1">
      <alignment horizontal="left" vertical="center"/>
    </xf>
    <xf numFmtId="3" fontId="20" fillId="0" borderId="67" xfId="0" applyNumberFormat="1" applyFont="1" applyBorder="1" applyAlignment="1">
      <alignment horizontal="left" vertical="center"/>
    </xf>
    <xf numFmtId="3" fontId="13" fillId="0" borderId="48" xfId="0" applyNumberFormat="1" applyFont="1" applyBorder="1" applyAlignment="1">
      <alignment horizontal="left" vertical="center"/>
    </xf>
    <xf numFmtId="3" fontId="12" fillId="0" borderId="27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3" fontId="12" fillId="0" borderId="4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0" fillId="0" borderId="33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/>
    </xf>
    <xf numFmtId="0" fontId="20" fillId="0" borderId="7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3" fontId="14" fillId="0" borderId="6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68" xfId="0" applyNumberFormat="1" applyFont="1" applyBorder="1" applyAlignment="1">
      <alignment vertical="center"/>
    </xf>
    <xf numFmtId="0" fontId="20" fillId="0" borderId="45" xfId="0" applyFont="1" applyFill="1" applyBorder="1" applyAlignment="1">
      <alignment vertical="center" wrapText="1"/>
    </xf>
    <xf numFmtId="3" fontId="19" fillId="0" borderId="6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0" fontId="26" fillId="0" borderId="6" xfId="0" applyFont="1" applyFill="1" applyBorder="1" applyAlignment="1">
      <alignment vertical="center" wrapText="1"/>
    </xf>
    <xf numFmtId="3" fontId="26" fillId="0" borderId="5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left" vertical="center"/>
    </xf>
    <xf numFmtId="3" fontId="19" fillId="0" borderId="41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vertical="center" wrapText="1"/>
    </xf>
    <xf numFmtId="3" fontId="13" fillId="0" borderId="56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centerContinuous" vertical="center"/>
    </xf>
    <xf numFmtId="3" fontId="14" fillId="0" borderId="47" xfId="0" applyNumberFormat="1" applyFont="1" applyBorder="1" applyAlignment="1">
      <alignment horizontal="centerContinuous" vertical="center"/>
    </xf>
    <xf numFmtId="3" fontId="32" fillId="0" borderId="7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20" fillId="0" borderId="22" xfId="0" applyFont="1" applyFill="1" applyBorder="1" applyAlignment="1">
      <alignment vertical="center" wrapText="1"/>
    </xf>
    <xf numFmtId="3" fontId="26" fillId="0" borderId="37" xfId="0" applyNumberFormat="1" applyFont="1" applyBorder="1" applyAlignment="1">
      <alignment horizontal="centerContinuous" vertical="center"/>
    </xf>
    <xf numFmtId="3" fontId="26" fillId="0" borderId="48" xfId="0" applyNumberFormat="1" applyFont="1" applyBorder="1" applyAlignment="1">
      <alignment horizontal="centerContinuous" vertical="center"/>
    </xf>
    <xf numFmtId="3" fontId="20" fillId="0" borderId="37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0" fontId="13" fillId="0" borderId="22" xfId="0" applyFont="1" applyFill="1" applyBorder="1" applyAlignment="1">
      <alignment vertical="center" wrapText="1"/>
    </xf>
    <xf numFmtId="3" fontId="13" fillId="0" borderId="37" xfId="0" applyNumberFormat="1" applyFont="1" applyBorder="1" applyAlignment="1">
      <alignment horizontal="left" vertical="center"/>
    </xf>
    <xf numFmtId="0" fontId="13" fillId="0" borderId="54" xfId="0" applyFont="1" applyFill="1" applyBorder="1" applyAlignment="1">
      <alignment vertical="center" wrapText="1"/>
    </xf>
    <xf numFmtId="3" fontId="12" fillId="0" borderId="41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 vertical="center"/>
    </xf>
    <xf numFmtId="3" fontId="19" fillId="0" borderId="64" xfId="0" applyNumberFormat="1" applyFont="1" applyBorder="1" applyAlignment="1">
      <alignment vertical="center"/>
    </xf>
    <xf numFmtId="3" fontId="19" fillId="0" borderId="64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0" fontId="20" fillId="0" borderId="32" xfId="0" applyFont="1" applyFill="1" applyBorder="1" applyAlignment="1">
      <alignment vertical="center" wrapText="1"/>
    </xf>
    <xf numFmtId="3" fontId="37" fillId="0" borderId="47" xfId="0" applyNumberFormat="1" applyFont="1" applyBorder="1" applyAlignment="1">
      <alignment horizontal="left" vertical="center"/>
    </xf>
    <xf numFmtId="0" fontId="20" fillId="0" borderId="8" xfId="0" applyFont="1" applyFill="1" applyBorder="1" applyAlignment="1">
      <alignment vertical="center" wrapText="1"/>
    </xf>
    <xf numFmtId="3" fontId="13" fillId="0" borderId="36" xfId="0" applyNumberFormat="1" applyFont="1" applyBorder="1" applyAlignment="1">
      <alignment horizontal="left" vertical="center"/>
    </xf>
    <xf numFmtId="3" fontId="20" fillId="0" borderId="65" xfId="0" applyNumberFormat="1" applyFont="1" applyBorder="1" applyAlignment="1">
      <alignment horizontal="left" vertical="center"/>
    </xf>
    <xf numFmtId="0" fontId="14" fillId="0" borderId="2" xfId="0" applyFont="1" applyFill="1" applyBorder="1" applyAlignment="1">
      <alignment vertical="center" wrapText="1"/>
    </xf>
    <xf numFmtId="3" fontId="20" fillId="0" borderId="6" xfId="0" applyNumberFormat="1" applyFont="1" applyBorder="1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left" vertical="center"/>
    </xf>
    <xf numFmtId="3" fontId="19" fillId="0" borderId="4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20" fillId="2" borderId="7" xfId="0" applyNumberFormat="1" applyFont="1" applyFill="1" applyBorder="1" applyAlignment="1">
      <alignment horizontal="left" vertical="center"/>
    </xf>
    <xf numFmtId="3" fontId="20" fillId="0" borderId="7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37" fillId="0" borderId="33" xfId="0" applyNumberFormat="1" applyFont="1" applyBorder="1" applyAlignment="1">
      <alignment horizontal="centerContinuous" vertical="center" wrapText="1"/>
    </xf>
    <xf numFmtId="3" fontId="37" fillId="0" borderId="34" xfId="0" applyNumberFormat="1" applyFont="1" applyBorder="1" applyAlignment="1">
      <alignment horizontal="centerContinuous" vertical="center" wrapText="1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3" fontId="13" fillId="0" borderId="60" xfId="0" applyNumberFormat="1" applyFont="1" applyBorder="1" applyAlignment="1">
      <alignment horizontal="left" vertical="center"/>
    </xf>
    <xf numFmtId="3" fontId="13" fillId="0" borderId="69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3" fontId="13" fillId="2" borderId="7" xfId="0" applyNumberFormat="1" applyFont="1" applyFill="1" applyBorder="1" applyAlignment="1">
      <alignment horizontal="left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/>
    </xf>
    <xf numFmtId="0" fontId="20" fillId="0" borderId="5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3" fontId="12" fillId="0" borderId="19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3" fontId="27" fillId="0" borderId="56" xfId="0" applyNumberFormat="1" applyFont="1" applyBorder="1" applyAlignment="1">
      <alignment horizontal="right"/>
    </xf>
    <xf numFmtId="0" fontId="0" fillId="0" borderId="61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7" fillId="0" borderId="59" xfId="0" applyFont="1" applyBorder="1" applyAlignment="1">
      <alignment horizontal="right"/>
    </xf>
    <xf numFmtId="0" fontId="0" fillId="0" borderId="70" xfId="0" applyBorder="1" applyAlignment="1">
      <alignment horizontal="right"/>
    </xf>
    <xf numFmtId="3" fontId="27" fillId="0" borderId="59" xfId="0" applyNumberFormat="1" applyFont="1" applyBorder="1" applyAlignment="1">
      <alignment horizontal="right"/>
    </xf>
    <xf numFmtId="0" fontId="0" fillId="0" borderId="6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3" fontId="13" fillId="0" borderId="36" xfId="0" applyNumberFormat="1" applyFont="1" applyBorder="1" applyAlignment="1">
      <alignment horizontal="left" vertical="center" wrapText="1"/>
    </xf>
    <xf numFmtId="3" fontId="40" fillId="0" borderId="36" xfId="0" applyNumberFormat="1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9" fillId="0" borderId="53" xfId="0" applyNumberFormat="1" applyFont="1" applyBorder="1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0" fillId="0" borderId="71" xfId="0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left" vertical="center" wrapText="1"/>
    </xf>
    <xf numFmtId="3" fontId="20" fillId="0" borderId="47" xfId="0" applyNumberFormat="1" applyFont="1" applyBorder="1" applyAlignment="1">
      <alignment horizontal="left" vertical="center" wrapText="1"/>
    </xf>
    <xf numFmtId="3" fontId="20" fillId="0" borderId="19" xfId="0" applyNumberFormat="1" applyFont="1" applyBorder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3" fontId="13" fillId="0" borderId="60" xfId="0" applyNumberFormat="1" applyFont="1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3" fontId="27" fillId="0" borderId="47" xfId="0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8" xfId="0" applyBorder="1" applyAlignment="1">
      <alignment horizontal="right"/>
    </xf>
    <xf numFmtId="0" fontId="27" fillId="0" borderId="56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13" fillId="0" borderId="7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/>
    </xf>
    <xf numFmtId="3" fontId="13" fillId="0" borderId="73" xfId="0" applyNumberFormat="1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3" fillId="0" borderId="39" xfId="0" applyNumberFormat="1" applyFont="1" applyBorder="1" applyAlignment="1">
      <alignment horizontal="center" vertical="center" wrapText="1"/>
    </xf>
    <xf numFmtId="3" fontId="13" fillId="0" borderId="71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3" fillId="0" borderId="73" xfId="0" applyFont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14" fillId="0" borderId="60" xfId="0" applyNumberFormat="1" applyFont="1" applyBorder="1" applyAlignment="1">
      <alignment horizontal="center" vertical="center"/>
    </xf>
    <xf numFmtId="3" fontId="14" fillId="0" borderId="69" xfId="0" applyNumberFormat="1" applyFont="1" applyBorder="1" applyAlignment="1">
      <alignment horizontal="center" vertical="center"/>
    </xf>
    <xf numFmtId="3" fontId="14" fillId="0" borderId="50" xfId="0" applyNumberFormat="1" applyFont="1" applyBorder="1" applyAlignment="1">
      <alignment horizontal="center" vertical="center"/>
    </xf>
    <xf numFmtId="3" fontId="14" fillId="0" borderId="62" xfId="0" applyNumberFormat="1" applyFont="1" applyBorder="1" applyAlignment="1">
      <alignment horizontal="center" vertical="center"/>
    </xf>
    <xf numFmtId="3" fontId="14" fillId="0" borderId="67" xfId="0" applyNumberFormat="1" applyFont="1" applyBorder="1" applyAlignment="1">
      <alignment horizontal="center" vertical="center"/>
    </xf>
    <xf numFmtId="3" fontId="14" fillId="0" borderId="7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4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3" fontId="20" fillId="0" borderId="36" xfId="0" applyNumberFormat="1" applyFont="1" applyBorder="1" applyAlignment="1">
      <alignment horizontal="center" vertical="center"/>
    </xf>
    <xf numFmtId="3" fontId="20" fillId="0" borderId="65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37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65" xfId="0" applyNumberFormat="1" applyFont="1" applyBorder="1" applyAlignment="1">
      <alignment horizontal="left" vertical="center" wrapText="1"/>
    </xf>
    <xf numFmtId="3" fontId="20" fillId="0" borderId="37" xfId="0" applyNumberFormat="1" applyFont="1" applyBorder="1" applyAlignment="1">
      <alignment horizontal="left" vertical="center" wrapText="1"/>
    </xf>
    <xf numFmtId="3" fontId="20" fillId="0" borderId="48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36" fillId="0" borderId="21" xfId="0" applyFont="1" applyBorder="1" applyAlignment="1">
      <alignment horizontal="left" vertical="center" wrapText="1"/>
    </xf>
    <xf numFmtId="0" fontId="36" fillId="0" borderId="47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3" fontId="20" fillId="0" borderId="14" xfId="0" applyNumberFormat="1" applyFont="1" applyBorder="1" applyAlignment="1">
      <alignment horizontal="left" vertical="center" wrapText="1"/>
    </xf>
    <xf numFmtId="3" fontId="20" fillId="0" borderId="24" xfId="0" applyNumberFormat="1" applyFont="1" applyBorder="1" applyAlignment="1">
      <alignment horizontal="left" vertical="center" wrapText="1"/>
    </xf>
    <xf numFmtId="3" fontId="20" fillId="0" borderId="7" xfId="0" applyNumberFormat="1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3" fontId="12" fillId="0" borderId="17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 vertical="center"/>
    </xf>
    <xf numFmtId="3" fontId="19" fillId="0" borderId="53" xfId="0" applyNumberFormat="1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" fontId="20" fillId="0" borderId="60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3" fontId="13" fillId="0" borderId="55" xfId="0" applyNumberFormat="1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3" fontId="20" fillId="0" borderId="37" xfId="0" applyNumberFormat="1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20" fillId="0" borderId="7" xfId="0" applyNumberFormat="1" applyFont="1" applyFill="1" applyBorder="1" applyAlignment="1">
      <alignment horizontal="left" vertical="center" wrapText="1"/>
    </xf>
    <xf numFmtId="3" fontId="20" fillId="0" borderId="47" xfId="0" applyNumberFormat="1" applyFont="1" applyFill="1" applyBorder="1" applyAlignment="1">
      <alignment horizontal="left" vertical="center" wrapText="1"/>
    </xf>
    <xf numFmtId="3" fontId="20" fillId="0" borderId="19" xfId="0" applyNumberFormat="1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3" fontId="20" fillId="0" borderId="55" xfId="0" applyNumberFormat="1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3" fontId="13" fillId="2" borderId="36" xfId="0" applyNumberFormat="1" applyFont="1" applyFill="1" applyBorder="1" applyAlignment="1">
      <alignment horizontal="left" vertical="center" wrapText="1"/>
    </xf>
    <xf numFmtId="3" fontId="13" fillId="2" borderId="65" xfId="0" applyNumberFormat="1" applyFont="1" applyFill="1" applyBorder="1" applyAlignment="1">
      <alignment horizontal="left" vertical="center" wrapText="1"/>
    </xf>
    <xf numFmtId="3" fontId="13" fillId="2" borderId="14" xfId="0" applyNumberFormat="1" applyFont="1" applyFill="1" applyBorder="1" applyAlignment="1">
      <alignment horizontal="left" vertical="center" wrapText="1"/>
    </xf>
    <xf numFmtId="3" fontId="13" fillId="2" borderId="37" xfId="0" applyNumberFormat="1" applyFont="1" applyFill="1" applyBorder="1" applyAlignment="1">
      <alignment horizontal="left" vertical="center" wrapText="1"/>
    </xf>
    <xf numFmtId="3" fontId="13" fillId="2" borderId="48" xfId="0" applyNumberFormat="1" applyFont="1" applyFill="1" applyBorder="1" applyAlignment="1">
      <alignment horizontal="left" vertical="center" wrapText="1"/>
    </xf>
    <xf numFmtId="3" fontId="13" fillId="2" borderId="24" xfId="0" applyNumberFormat="1" applyFont="1" applyFill="1" applyBorder="1" applyAlignment="1">
      <alignment horizontal="left" vertical="center" wrapText="1"/>
    </xf>
    <xf numFmtId="3" fontId="13" fillId="0" borderId="47" xfId="0" applyNumberFormat="1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left" vertical="center" wrapText="1"/>
    </xf>
    <xf numFmtId="3" fontId="19" fillId="0" borderId="53" xfId="0" applyNumberFormat="1" applyFont="1" applyBorder="1" applyAlignment="1">
      <alignment horizontal="right" vertical="center"/>
    </xf>
    <xf numFmtId="3" fontId="19" fillId="0" borderId="64" xfId="0" applyNumberFormat="1" applyFont="1" applyBorder="1" applyAlignment="1">
      <alignment horizontal="right" vertical="center"/>
    </xf>
    <xf numFmtId="0" fontId="20" fillId="0" borderId="45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0" borderId="63" xfId="0" applyFont="1" applyFill="1" applyBorder="1" applyAlignment="1">
      <alignment horizontal="left" vertical="center" wrapText="1"/>
    </xf>
    <xf numFmtId="3" fontId="20" fillId="0" borderId="60" xfId="0" applyNumberFormat="1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3" fontId="19" fillId="0" borderId="41" xfId="0" applyNumberFormat="1" applyFont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left" vertical="center" wrapText="1"/>
    </xf>
    <xf numFmtId="3" fontId="13" fillId="0" borderId="69" xfId="0" applyNumberFormat="1" applyFont="1" applyFill="1" applyBorder="1" applyAlignment="1">
      <alignment horizontal="left" vertical="center" wrapText="1"/>
    </xf>
    <xf numFmtId="3" fontId="13" fillId="0" borderId="50" xfId="0" applyNumberFormat="1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center" wrapText="1"/>
    </xf>
    <xf numFmtId="3" fontId="13" fillId="0" borderId="39" xfId="0" applyNumberFormat="1" applyFont="1" applyFill="1" applyBorder="1" applyAlignment="1">
      <alignment horizontal="left" vertical="center" wrapText="1"/>
    </xf>
    <xf numFmtId="3" fontId="13" fillId="0" borderId="62" xfId="0" applyNumberFormat="1" applyFont="1" applyFill="1" applyBorder="1" applyAlignment="1">
      <alignment horizontal="left" vertical="center" wrapText="1"/>
    </xf>
    <xf numFmtId="3" fontId="13" fillId="0" borderId="67" xfId="0" applyNumberFormat="1" applyFont="1" applyFill="1" applyBorder="1" applyAlignment="1">
      <alignment horizontal="left" vertical="center" wrapText="1"/>
    </xf>
    <xf numFmtId="3" fontId="13" fillId="0" borderId="71" xfId="0" applyNumberFormat="1" applyFont="1" applyFill="1" applyBorder="1" applyAlignment="1">
      <alignment horizontal="left" vertical="center" wrapText="1"/>
    </xf>
    <xf numFmtId="3" fontId="19" fillId="0" borderId="53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64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3" fontId="32" fillId="0" borderId="36" xfId="0" applyNumberFormat="1" applyFont="1" applyBorder="1" applyAlignment="1">
      <alignment horizontal="center" vertical="center"/>
    </xf>
    <xf numFmtId="3" fontId="32" fillId="0" borderId="65" xfId="0" applyNumberFormat="1" applyFont="1" applyBorder="1" applyAlignment="1">
      <alignment horizontal="center" vertical="center"/>
    </xf>
    <xf numFmtId="3" fontId="32" fillId="0" borderId="14" xfId="0" applyNumberFormat="1" applyFont="1" applyBorder="1" applyAlignment="1">
      <alignment horizontal="center" vertical="center"/>
    </xf>
    <xf numFmtId="3" fontId="32" fillId="0" borderId="37" xfId="0" applyNumberFormat="1" applyFont="1" applyBorder="1" applyAlignment="1">
      <alignment horizontal="center" vertical="center"/>
    </xf>
    <xf numFmtId="3" fontId="32" fillId="0" borderId="48" xfId="0" applyNumberFormat="1" applyFont="1" applyBorder="1" applyAlignment="1">
      <alignment horizontal="center" vertical="center"/>
    </xf>
    <xf numFmtId="3" fontId="32" fillId="0" borderId="24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3" fontId="13" fillId="0" borderId="69" xfId="0" applyNumberFormat="1" applyFont="1" applyBorder="1" applyAlignment="1">
      <alignment horizontal="left" vertical="center" wrapText="1"/>
    </xf>
    <xf numFmtId="3" fontId="13" fillId="0" borderId="50" xfId="0" applyNumberFormat="1" applyFont="1" applyBorder="1" applyAlignment="1">
      <alignment horizontal="left" vertical="center" wrapText="1"/>
    </xf>
    <xf numFmtId="3" fontId="13" fillId="0" borderId="62" xfId="0" applyNumberFormat="1" applyFont="1" applyBorder="1" applyAlignment="1">
      <alignment horizontal="left" vertical="center" wrapText="1"/>
    </xf>
    <xf numFmtId="3" fontId="13" fillId="0" borderId="67" xfId="0" applyNumberFormat="1" applyFont="1" applyBorder="1" applyAlignment="1">
      <alignment horizontal="left" vertical="center" wrapText="1"/>
    </xf>
    <xf numFmtId="3" fontId="13" fillId="0" borderId="71" xfId="0" applyNumberFormat="1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40" xfId="0" applyNumberFormat="1" applyFont="1" applyBorder="1" applyAlignment="1">
      <alignment horizontal="center" vertical="center" wrapText="1"/>
    </xf>
    <xf numFmtId="3" fontId="17" fillId="0" borderId="7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" fontId="38" fillId="0" borderId="17" xfId="0" applyNumberFormat="1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vertical="center" wrapText="1"/>
    </xf>
    <xf numFmtId="3" fontId="19" fillId="0" borderId="17" xfId="0" applyNumberFormat="1" applyFont="1" applyBorder="1" applyAlignment="1">
      <alignment vertical="center"/>
    </xf>
    <xf numFmtId="3" fontId="19" fillId="0" borderId="27" xfId="0" applyNumberFormat="1" applyFont="1" applyBorder="1" applyAlignment="1">
      <alignment vertical="center"/>
    </xf>
    <xf numFmtId="0" fontId="20" fillId="0" borderId="54" xfId="0" applyFont="1" applyBorder="1" applyAlignment="1">
      <alignment horizontal="left" vertical="center" wrapText="1"/>
    </xf>
    <xf numFmtId="0" fontId="0" fillId="0" borderId="53" xfId="0" applyBorder="1" applyAlignment="1">
      <alignment horizontal="right" vertical="center"/>
    </xf>
    <xf numFmtId="3" fontId="19" fillId="0" borderId="65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48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3" fontId="32" fillId="0" borderId="36" xfId="0" applyNumberFormat="1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20" fillId="0" borderId="36" xfId="0" applyNumberFormat="1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20" fillId="0" borderId="12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3" fontId="20" fillId="0" borderId="39" xfId="0" applyNumberFormat="1" applyFont="1" applyBorder="1" applyAlignment="1">
      <alignment horizontal="left" vertical="center" wrapText="1"/>
    </xf>
    <xf numFmtId="3" fontId="20" fillId="0" borderId="62" xfId="0" applyNumberFormat="1" applyFont="1" applyBorder="1" applyAlignment="1">
      <alignment horizontal="left" vertical="center" wrapText="1"/>
    </xf>
    <xf numFmtId="3" fontId="20" fillId="0" borderId="67" xfId="0" applyNumberFormat="1" applyFont="1" applyBorder="1" applyAlignment="1">
      <alignment horizontal="left" vertical="center" wrapText="1"/>
    </xf>
    <xf numFmtId="3" fontId="20" fillId="0" borderId="71" xfId="0" applyNumberFormat="1" applyFont="1" applyBorder="1" applyAlignment="1">
      <alignment horizontal="left" vertical="center" wrapText="1"/>
    </xf>
    <xf numFmtId="3" fontId="19" fillId="0" borderId="17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3" fontId="19" fillId="0" borderId="64" xfId="0" applyNumberFormat="1" applyFont="1" applyBorder="1" applyAlignment="1">
      <alignment horizontal="right" vertical="center" wrapText="1"/>
    </xf>
    <xf numFmtId="0" fontId="20" fillId="0" borderId="63" xfId="0" applyFont="1" applyBorder="1" applyAlignment="1">
      <alignment horizontal="left" vertical="center" wrapText="1"/>
    </xf>
    <xf numFmtId="3" fontId="20" fillId="0" borderId="36" xfId="0" applyNumberFormat="1" applyFont="1" applyBorder="1" applyAlignment="1">
      <alignment horizontal="left" vertical="top" wrapText="1"/>
    </xf>
    <xf numFmtId="3" fontId="20" fillId="0" borderId="65" xfId="0" applyNumberFormat="1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left" vertical="top" wrapText="1"/>
    </xf>
    <xf numFmtId="3" fontId="20" fillId="0" borderId="37" xfId="0" applyNumberFormat="1" applyFont="1" applyBorder="1" applyAlignment="1">
      <alignment horizontal="left" vertical="top" wrapText="1"/>
    </xf>
    <xf numFmtId="3" fontId="20" fillId="0" borderId="48" xfId="0" applyNumberFormat="1" applyFont="1" applyBorder="1" applyAlignment="1">
      <alignment horizontal="left" vertical="top" wrapText="1"/>
    </xf>
    <xf numFmtId="3" fontId="20" fillId="0" borderId="24" xfId="0" applyNumberFormat="1" applyFont="1" applyBorder="1" applyAlignment="1">
      <alignment horizontal="left" vertical="top" wrapText="1"/>
    </xf>
    <xf numFmtId="0" fontId="20" fillId="0" borderId="32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3" fontId="19" fillId="0" borderId="53" xfId="0" applyNumberFormat="1" applyFont="1" applyBorder="1" applyAlignment="1">
      <alignment vertical="center"/>
    </xf>
    <xf numFmtId="0" fontId="0" fillId="0" borderId="2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4"/>
  <sheetViews>
    <sheetView showGridLines="0" tabSelected="1" workbookViewId="0" topLeftCell="A1">
      <pane xSplit="1" ySplit="8" topLeftCell="B1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1" sqref="R1:V1"/>
    </sheetView>
  </sheetViews>
  <sheetFormatPr defaultColWidth="9.00390625" defaultRowHeight="12.75"/>
  <cols>
    <col min="1" max="1" width="35.25390625" style="0" customWidth="1"/>
    <col min="2" max="7" width="7.125" style="0" customWidth="1"/>
    <col min="8" max="8" width="7.625" style="0" customWidth="1"/>
    <col min="9" max="9" width="7.875" style="0" customWidth="1"/>
    <col min="10" max="13" width="7.125" style="0" customWidth="1"/>
    <col min="14" max="14" width="7.75390625" style="0" customWidth="1"/>
    <col min="15" max="17" width="7.125" style="0" customWidth="1"/>
    <col min="18" max="18" width="7.875" style="0" customWidth="1"/>
    <col min="19" max="20" width="7.125" style="0" customWidth="1"/>
    <col min="21" max="21" width="7.25390625" style="0" customWidth="1"/>
    <col min="22" max="22" width="7.875" style="0" customWidth="1"/>
  </cols>
  <sheetData>
    <row r="1" spans="1:22" ht="12.75" customHeight="1">
      <c r="A1" s="3"/>
      <c r="B1" s="4" t="s">
        <v>16</v>
      </c>
      <c r="C1" s="325"/>
      <c r="D1" s="4" t="s">
        <v>16</v>
      </c>
      <c r="E1" s="4"/>
      <c r="F1" s="4" t="s">
        <v>16</v>
      </c>
      <c r="G1" s="4"/>
      <c r="H1" s="4"/>
      <c r="I1" s="4"/>
      <c r="J1" s="4"/>
      <c r="K1" s="4"/>
      <c r="L1" s="4"/>
      <c r="M1" s="4" t="s">
        <v>16</v>
      </c>
      <c r="N1" s="4"/>
      <c r="O1" s="4"/>
      <c r="P1" s="4"/>
      <c r="Q1" s="4"/>
      <c r="R1" s="404" t="s">
        <v>242</v>
      </c>
      <c r="S1" s="404"/>
      <c r="T1" s="404"/>
      <c r="U1" s="404"/>
      <c r="V1" s="404"/>
    </row>
    <row r="2" spans="1:22" ht="12.75" customHeight="1">
      <c r="A2" s="12" t="s">
        <v>16</v>
      </c>
      <c r="B2" s="5" t="s">
        <v>16</v>
      </c>
      <c r="C2" s="5" t="s">
        <v>16</v>
      </c>
      <c r="D2" s="5"/>
      <c r="E2" s="5"/>
      <c r="F2" s="11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5" t="s">
        <v>169</v>
      </c>
      <c r="S2" s="405"/>
      <c r="T2" s="405"/>
      <c r="U2" s="405"/>
      <c r="V2" s="405"/>
    </row>
    <row r="3" spans="1:22" ht="16.5" customHeight="1">
      <c r="A3" s="406" t="s">
        <v>62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</row>
    <row r="4" spans="1:22" ht="15" customHeight="1" thickBot="1">
      <c r="A4" s="13" t="s">
        <v>54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 t="s">
        <v>8</v>
      </c>
    </row>
    <row r="5" spans="1:22" s="168" customFormat="1" ht="12.75">
      <c r="A5" s="163"/>
      <c r="B5" s="164" t="s">
        <v>9</v>
      </c>
      <c r="C5" s="165"/>
      <c r="D5" s="165"/>
      <c r="E5" s="165"/>
      <c r="F5" s="165"/>
      <c r="G5" s="165"/>
      <c r="H5" s="165"/>
      <c r="I5" s="166"/>
      <c r="J5" s="164" t="s">
        <v>10</v>
      </c>
      <c r="K5" s="165"/>
      <c r="L5" s="167"/>
      <c r="M5" s="165"/>
      <c r="N5" s="166"/>
      <c r="O5" s="407" t="s">
        <v>11</v>
      </c>
      <c r="P5" s="408"/>
      <c r="Q5" s="408"/>
      <c r="R5" s="409"/>
      <c r="S5" s="407" t="s">
        <v>12</v>
      </c>
      <c r="T5" s="410"/>
      <c r="U5" s="410"/>
      <c r="V5" s="411"/>
    </row>
    <row r="6" spans="1:23" s="173" customFormat="1" ht="14.25" customHeight="1">
      <c r="A6" s="169" t="s">
        <v>0</v>
      </c>
      <c r="B6" s="390" t="s">
        <v>139</v>
      </c>
      <c r="C6" s="393" t="s">
        <v>140</v>
      </c>
      <c r="D6" s="396" t="s">
        <v>141</v>
      </c>
      <c r="E6" s="170" t="s">
        <v>13</v>
      </c>
      <c r="F6" s="170"/>
      <c r="G6" s="170"/>
      <c r="H6" s="171"/>
      <c r="I6" s="387" t="s">
        <v>143</v>
      </c>
      <c r="J6" s="390" t="s">
        <v>139</v>
      </c>
      <c r="K6" s="393" t="s">
        <v>140</v>
      </c>
      <c r="L6" s="396" t="s">
        <v>144</v>
      </c>
      <c r="M6" s="401" t="s">
        <v>145</v>
      </c>
      <c r="N6" s="387" t="s">
        <v>143</v>
      </c>
      <c r="O6" s="390" t="s">
        <v>146</v>
      </c>
      <c r="P6" s="528" t="s">
        <v>147</v>
      </c>
      <c r="Q6" s="401" t="s">
        <v>145</v>
      </c>
      <c r="R6" s="387" t="s">
        <v>143</v>
      </c>
      <c r="S6" s="390" t="s">
        <v>146</v>
      </c>
      <c r="T6" s="528" t="s">
        <v>147</v>
      </c>
      <c r="U6" s="401" t="s">
        <v>145</v>
      </c>
      <c r="V6" s="387" t="s">
        <v>143</v>
      </c>
      <c r="W6" s="172" t="s">
        <v>16</v>
      </c>
    </row>
    <row r="7" spans="1:22" s="168" customFormat="1" ht="12.75" customHeight="1">
      <c r="A7" s="174"/>
      <c r="B7" s="391"/>
      <c r="C7" s="394" t="s">
        <v>30</v>
      </c>
      <c r="D7" s="397"/>
      <c r="E7" s="399" t="s">
        <v>153</v>
      </c>
      <c r="F7" s="399" t="s">
        <v>73</v>
      </c>
      <c r="G7" s="399" t="s">
        <v>74</v>
      </c>
      <c r="H7" s="401" t="s">
        <v>142</v>
      </c>
      <c r="I7" s="388"/>
      <c r="J7" s="391"/>
      <c r="K7" s="394" t="s">
        <v>30</v>
      </c>
      <c r="L7" s="397"/>
      <c r="M7" s="403"/>
      <c r="N7" s="388"/>
      <c r="O7" s="391"/>
      <c r="P7" s="529"/>
      <c r="Q7" s="403"/>
      <c r="R7" s="388"/>
      <c r="S7" s="391"/>
      <c r="T7" s="529"/>
      <c r="U7" s="403"/>
      <c r="V7" s="388"/>
    </row>
    <row r="8" spans="1:22" s="168" customFormat="1" ht="53.25" customHeight="1" thickBot="1">
      <c r="A8" s="175" t="s">
        <v>16</v>
      </c>
      <c r="B8" s="392"/>
      <c r="C8" s="395" t="s">
        <v>63</v>
      </c>
      <c r="D8" s="398"/>
      <c r="E8" s="400"/>
      <c r="F8" s="400"/>
      <c r="G8" s="400"/>
      <c r="H8" s="402"/>
      <c r="I8" s="389"/>
      <c r="J8" s="392"/>
      <c r="K8" s="395" t="s">
        <v>63</v>
      </c>
      <c r="L8" s="398"/>
      <c r="M8" s="402"/>
      <c r="N8" s="389"/>
      <c r="O8" s="392"/>
      <c r="P8" s="530"/>
      <c r="Q8" s="402"/>
      <c r="R8" s="389"/>
      <c r="S8" s="392"/>
      <c r="T8" s="530"/>
      <c r="U8" s="402"/>
      <c r="V8" s="389"/>
    </row>
    <row r="9" spans="1:22" s="2" customFormat="1" ht="13.5" thickBot="1">
      <c r="A9" s="17"/>
      <c r="B9" s="19">
        <f aca="true" t="shared" si="0" ref="B9:V9">SUM(B10+B25+B40+B67+B84+B86+B88+B101+B103+B106+B110+B112+B118)</f>
        <v>42891</v>
      </c>
      <c r="C9" s="19">
        <f t="shared" si="0"/>
        <v>36720</v>
      </c>
      <c r="D9" s="19">
        <f t="shared" si="0"/>
        <v>69372</v>
      </c>
      <c r="E9" s="19">
        <f t="shared" si="0"/>
        <v>29982</v>
      </c>
      <c r="F9" s="19">
        <f t="shared" si="0"/>
        <v>5233</v>
      </c>
      <c r="G9" s="19">
        <f t="shared" si="0"/>
        <v>8505</v>
      </c>
      <c r="H9" s="19">
        <f t="shared" si="0"/>
        <v>74365</v>
      </c>
      <c r="I9" s="19">
        <f t="shared" si="0"/>
        <v>37898</v>
      </c>
      <c r="J9" s="19">
        <f t="shared" si="0"/>
        <v>32951</v>
      </c>
      <c r="K9" s="19">
        <f t="shared" si="0"/>
        <v>26071</v>
      </c>
      <c r="L9" s="19">
        <f t="shared" si="0"/>
        <v>6146</v>
      </c>
      <c r="M9" s="19">
        <f t="shared" si="0"/>
        <v>17996</v>
      </c>
      <c r="N9" s="19">
        <f t="shared" si="0"/>
        <v>21101</v>
      </c>
      <c r="O9" s="19">
        <f t="shared" si="0"/>
        <v>38704</v>
      </c>
      <c r="P9" s="19">
        <f t="shared" si="0"/>
        <v>37153</v>
      </c>
      <c r="Q9" s="19">
        <f t="shared" si="0"/>
        <v>25963</v>
      </c>
      <c r="R9" s="19">
        <f t="shared" si="0"/>
        <v>12741</v>
      </c>
      <c r="S9" s="19">
        <f t="shared" si="0"/>
        <v>10738.5</v>
      </c>
      <c r="T9" s="19">
        <f t="shared" si="0"/>
        <v>10738.5</v>
      </c>
      <c r="U9" s="19">
        <f t="shared" si="0"/>
        <v>3686</v>
      </c>
      <c r="V9" s="19">
        <f t="shared" si="0"/>
        <v>7052.5</v>
      </c>
    </row>
    <row r="10" spans="1:22" s="6" customFormat="1" ht="13.5" thickBot="1">
      <c r="A10" s="21" t="s">
        <v>14</v>
      </c>
      <c r="B10" s="18">
        <f aca="true" t="shared" si="1" ref="B10:V10">SUM(B11:B24)</f>
        <v>1819</v>
      </c>
      <c r="C10" s="19">
        <f t="shared" si="1"/>
        <v>1819</v>
      </c>
      <c r="D10" s="19">
        <f t="shared" si="1"/>
        <v>1438</v>
      </c>
      <c r="E10" s="19">
        <f t="shared" si="1"/>
        <v>530</v>
      </c>
      <c r="F10" s="19">
        <f t="shared" si="1"/>
        <v>0</v>
      </c>
      <c r="G10" s="19">
        <f t="shared" si="1"/>
        <v>0</v>
      </c>
      <c r="H10" s="19">
        <f t="shared" si="1"/>
        <v>1062</v>
      </c>
      <c r="I10" s="20">
        <f t="shared" si="1"/>
        <v>2195</v>
      </c>
      <c r="J10" s="18">
        <f t="shared" si="1"/>
        <v>878</v>
      </c>
      <c r="K10" s="19">
        <f t="shared" si="1"/>
        <v>894</v>
      </c>
      <c r="L10" s="19">
        <f t="shared" si="1"/>
        <v>105</v>
      </c>
      <c r="M10" s="19">
        <f t="shared" si="1"/>
        <v>373</v>
      </c>
      <c r="N10" s="20">
        <f t="shared" si="1"/>
        <v>610</v>
      </c>
      <c r="O10" s="18">
        <f t="shared" si="1"/>
        <v>2298</v>
      </c>
      <c r="P10" s="19">
        <f t="shared" si="1"/>
        <v>2284</v>
      </c>
      <c r="Q10" s="19">
        <f t="shared" si="1"/>
        <v>1641</v>
      </c>
      <c r="R10" s="20">
        <f t="shared" si="1"/>
        <v>657</v>
      </c>
      <c r="S10" s="18">
        <f t="shared" si="1"/>
        <v>134</v>
      </c>
      <c r="T10" s="19">
        <f t="shared" si="1"/>
        <v>134</v>
      </c>
      <c r="U10" s="19">
        <f t="shared" si="1"/>
        <v>25</v>
      </c>
      <c r="V10" s="20">
        <f t="shared" si="1"/>
        <v>109</v>
      </c>
    </row>
    <row r="11" spans="1:22" s="49" customFormat="1" ht="12.75">
      <c r="A11" s="44" t="s">
        <v>179</v>
      </c>
      <c r="B11" s="45">
        <v>52</v>
      </c>
      <c r="C11" s="46">
        <v>52</v>
      </c>
      <c r="D11" s="46">
        <v>6</v>
      </c>
      <c r="E11" s="47">
        <v>0</v>
      </c>
      <c r="F11" s="47">
        <v>0</v>
      </c>
      <c r="G11" s="47">
        <v>0</v>
      </c>
      <c r="H11" s="48">
        <v>0</v>
      </c>
      <c r="I11" s="32">
        <f>B11+D11-H11</f>
        <v>58</v>
      </c>
      <c r="J11" s="45">
        <v>41</v>
      </c>
      <c r="K11" s="46">
        <v>41</v>
      </c>
      <c r="L11" s="46">
        <v>3</v>
      </c>
      <c r="M11" s="47">
        <v>0</v>
      </c>
      <c r="N11" s="48">
        <f>J11+L11-M11</f>
        <v>44</v>
      </c>
      <c r="O11" s="45">
        <f>48+53</f>
        <v>101</v>
      </c>
      <c r="P11" s="46">
        <f>48+54</f>
        <v>102</v>
      </c>
      <c r="Q11" s="47">
        <v>85</v>
      </c>
      <c r="R11" s="32">
        <f>O11-Q11</f>
        <v>16</v>
      </c>
      <c r="S11" s="45">
        <f>14+0</f>
        <v>14</v>
      </c>
      <c r="T11" s="46">
        <v>14</v>
      </c>
      <c r="U11" s="47">
        <v>0</v>
      </c>
      <c r="V11" s="32">
        <f>S11-U11</f>
        <v>14</v>
      </c>
    </row>
    <row r="12" spans="1:23" s="49" customFormat="1" ht="12.75">
      <c r="A12" s="44" t="s">
        <v>193</v>
      </c>
      <c r="B12" s="45">
        <v>128</v>
      </c>
      <c r="C12" s="46">
        <v>128</v>
      </c>
      <c r="D12" s="46">
        <v>178</v>
      </c>
      <c r="E12" s="47">
        <v>0</v>
      </c>
      <c r="F12" s="47">
        <v>0</v>
      </c>
      <c r="G12" s="47">
        <v>0</v>
      </c>
      <c r="H12" s="48">
        <v>46</v>
      </c>
      <c r="I12" s="32">
        <f aca="true" t="shared" si="2" ref="I12:I24">B12+D12-H12</f>
        <v>260</v>
      </c>
      <c r="J12" s="45">
        <v>183</v>
      </c>
      <c r="K12" s="46">
        <v>183</v>
      </c>
      <c r="L12" s="46">
        <v>0</v>
      </c>
      <c r="M12" s="47">
        <v>0</v>
      </c>
      <c r="N12" s="48">
        <f aca="true" t="shared" si="3" ref="N12:N24">J12+L12-M12</f>
        <v>183</v>
      </c>
      <c r="O12" s="45">
        <f>170+9</f>
        <v>179</v>
      </c>
      <c r="P12" s="46">
        <v>179</v>
      </c>
      <c r="Q12" s="47">
        <v>179</v>
      </c>
      <c r="R12" s="32">
        <f aca="true" t="shared" si="4" ref="R12:R24">O12-Q12</f>
        <v>0</v>
      </c>
      <c r="S12" s="45">
        <v>0</v>
      </c>
      <c r="T12" s="46">
        <v>0</v>
      </c>
      <c r="U12" s="47">
        <v>0</v>
      </c>
      <c r="V12" s="32">
        <f aca="true" t="shared" si="5" ref="V12:V24">S12-U12</f>
        <v>0</v>
      </c>
      <c r="W12" s="50"/>
    </row>
    <row r="13" spans="1:23" ht="12.75">
      <c r="A13" s="22" t="s">
        <v>43</v>
      </c>
      <c r="B13" s="45">
        <v>278</v>
      </c>
      <c r="C13" s="46">
        <v>278</v>
      </c>
      <c r="D13" s="46">
        <v>59</v>
      </c>
      <c r="E13" s="47">
        <v>0</v>
      </c>
      <c r="F13" s="47">
        <v>0</v>
      </c>
      <c r="G13" s="47">
        <v>0</v>
      </c>
      <c r="H13" s="48">
        <v>0</v>
      </c>
      <c r="I13" s="32">
        <f t="shared" si="2"/>
        <v>337</v>
      </c>
      <c r="J13" s="45">
        <v>3</v>
      </c>
      <c r="K13" s="46">
        <v>3</v>
      </c>
      <c r="L13" s="46">
        <v>0</v>
      </c>
      <c r="M13" s="47">
        <v>0</v>
      </c>
      <c r="N13" s="48">
        <f t="shared" si="3"/>
        <v>3</v>
      </c>
      <c r="O13" s="45">
        <f>92+110</f>
        <v>202</v>
      </c>
      <c r="P13" s="46">
        <v>202</v>
      </c>
      <c r="Q13" s="47">
        <v>105</v>
      </c>
      <c r="R13" s="32">
        <f t="shared" si="4"/>
        <v>97</v>
      </c>
      <c r="S13" s="45">
        <v>0</v>
      </c>
      <c r="T13" s="46">
        <v>0</v>
      </c>
      <c r="U13" s="47">
        <v>0</v>
      </c>
      <c r="V13" s="32">
        <f t="shared" si="5"/>
        <v>0</v>
      </c>
      <c r="W13" s="49"/>
    </row>
    <row r="14" spans="1:23" s="49" customFormat="1" ht="12.75">
      <c r="A14" s="44" t="s">
        <v>180</v>
      </c>
      <c r="B14" s="45">
        <v>8</v>
      </c>
      <c r="C14" s="46">
        <v>8</v>
      </c>
      <c r="D14" s="46">
        <v>81</v>
      </c>
      <c r="E14" s="47">
        <v>0</v>
      </c>
      <c r="F14" s="47">
        <v>0</v>
      </c>
      <c r="G14" s="47">
        <v>0</v>
      </c>
      <c r="H14" s="48">
        <v>71</v>
      </c>
      <c r="I14" s="32">
        <f t="shared" si="2"/>
        <v>18</v>
      </c>
      <c r="J14" s="45">
        <v>1</v>
      </c>
      <c r="K14" s="46">
        <v>1</v>
      </c>
      <c r="L14" s="46">
        <v>0</v>
      </c>
      <c r="M14" s="47">
        <v>0</v>
      </c>
      <c r="N14" s="48">
        <f t="shared" si="3"/>
        <v>1</v>
      </c>
      <c r="O14" s="45">
        <f>202+116</f>
        <v>318</v>
      </c>
      <c r="P14" s="46">
        <f>116+202</f>
        <v>318</v>
      </c>
      <c r="Q14" s="47">
        <v>80</v>
      </c>
      <c r="R14" s="32">
        <f t="shared" si="4"/>
        <v>238</v>
      </c>
      <c r="S14" s="45">
        <v>0</v>
      </c>
      <c r="T14" s="46">
        <v>0</v>
      </c>
      <c r="U14" s="47">
        <v>0</v>
      </c>
      <c r="V14" s="32">
        <f t="shared" si="5"/>
        <v>0</v>
      </c>
      <c r="W14" s="50"/>
    </row>
    <row r="15" spans="1:22" s="49" customFormat="1" ht="12.75">
      <c r="A15" s="44" t="s">
        <v>61</v>
      </c>
      <c r="B15" s="45">
        <v>0</v>
      </c>
      <c r="C15" s="46">
        <v>0</v>
      </c>
      <c r="D15" s="46">
        <v>0</v>
      </c>
      <c r="E15" s="47">
        <v>0</v>
      </c>
      <c r="F15" s="47">
        <v>0</v>
      </c>
      <c r="G15" s="47">
        <v>0</v>
      </c>
      <c r="H15" s="48">
        <v>0</v>
      </c>
      <c r="I15" s="32">
        <f t="shared" si="2"/>
        <v>0</v>
      </c>
      <c r="J15" s="45">
        <v>14</v>
      </c>
      <c r="K15" s="46">
        <v>14</v>
      </c>
      <c r="L15" s="46">
        <v>0</v>
      </c>
      <c r="M15" s="47">
        <v>14</v>
      </c>
      <c r="N15" s="48">
        <f t="shared" si="3"/>
        <v>0</v>
      </c>
      <c r="O15" s="45">
        <f>60+73</f>
        <v>133</v>
      </c>
      <c r="P15" s="46">
        <f>73+60</f>
        <v>133</v>
      </c>
      <c r="Q15" s="47">
        <v>60</v>
      </c>
      <c r="R15" s="32">
        <f t="shared" si="4"/>
        <v>73</v>
      </c>
      <c r="S15" s="45">
        <v>0</v>
      </c>
      <c r="T15" s="46">
        <v>0</v>
      </c>
      <c r="U15" s="47">
        <v>0</v>
      </c>
      <c r="V15" s="32">
        <f t="shared" si="5"/>
        <v>0</v>
      </c>
    </row>
    <row r="16" spans="1:22" s="49" customFormat="1" ht="12.75">
      <c r="A16" s="44" t="s">
        <v>181</v>
      </c>
      <c r="B16" s="45">
        <v>43</v>
      </c>
      <c r="C16" s="46">
        <v>43</v>
      </c>
      <c r="D16" s="46">
        <v>21</v>
      </c>
      <c r="E16" s="47">
        <v>0</v>
      </c>
      <c r="F16" s="47">
        <v>0</v>
      </c>
      <c r="G16" s="47">
        <v>0</v>
      </c>
      <c r="H16" s="48">
        <v>0</v>
      </c>
      <c r="I16" s="32">
        <f t="shared" si="2"/>
        <v>64</v>
      </c>
      <c r="J16" s="45">
        <v>1</v>
      </c>
      <c r="K16" s="46">
        <v>1</v>
      </c>
      <c r="L16" s="46">
        <v>1</v>
      </c>
      <c r="M16" s="47">
        <v>0</v>
      </c>
      <c r="N16" s="48">
        <f t="shared" si="3"/>
        <v>2</v>
      </c>
      <c r="O16" s="45">
        <f>90+120</f>
        <v>210</v>
      </c>
      <c r="P16" s="46">
        <f>120+90</f>
        <v>210</v>
      </c>
      <c r="Q16" s="47">
        <v>155</v>
      </c>
      <c r="R16" s="32">
        <f t="shared" si="4"/>
        <v>55</v>
      </c>
      <c r="S16" s="45">
        <v>0</v>
      </c>
      <c r="T16" s="46">
        <v>0</v>
      </c>
      <c r="U16" s="47">
        <v>0</v>
      </c>
      <c r="V16" s="32">
        <f t="shared" si="5"/>
        <v>0</v>
      </c>
    </row>
    <row r="17" spans="1:23" s="49" customFormat="1" ht="12.75">
      <c r="A17" s="44" t="s">
        <v>178</v>
      </c>
      <c r="B17" s="45">
        <v>75</v>
      </c>
      <c r="C17" s="46">
        <v>75</v>
      </c>
      <c r="D17" s="46">
        <v>18</v>
      </c>
      <c r="E17" s="47">
        <v>0</v>
      </c>
      <c r="F17" s="47">
        <v>0</v>
      </c>
      <c r="G17" s="47">
        <v>0</v>
      </c>
      <c r="H17" s="48">
        <v>0</v>
      </c>
      <c r="I17" s="32">
        <f t="shared" si="2"/>
        <v>93</v>
      </c>
      <c r="J17" s="45">
        <v>58</v>
      </c>
      <c r="K17" s="46">
        <v>58</v>
      </c>
      <c r="L17" s="46">
        <v>10</v>
      </c>
      <c r="M17" s="47">
        <v>50</v>
      </c>
      <c r="N17" s="48">
        <f t="shared" si="3"/>
        <v>18</v>
      </c>
      <c r="O17" s="45">
        <f>94+140</f>
        <v>234</v>
      </c>
      <c r="P17" s="46">
        <f>140+94</f>
        <v>234</v>
      </c>
      <c r="Q17" s="47">
        <v>150</v>
      </c>
      <c r="R17" s="32">
        <f t="shared" si="4"/>
        <v>84</v>
      </c>
      <c r="S17" s="45">
        <v>0</v>
      </c>
      <c r="T17" s="46">
        <v>0</v>
      </c>
      <c r="U17" s="47">
        <v>0</v>
      </c>
      <c r="V17" s="32">
        <f t="shared" si="5"/>
        <v>0</v>
      </c>
      <c r="W17" s="68"/>
    </row>
    <row r="18" spans="1:23" s="49" customFormat="1" ht="12.75">
      <c r="A18" s="44" t="s">
        <v>186</v>
      </c>
      <c r="B18" s="45">
        <v>94</v>
      </c>
      <c r="C18" s="46">
        <v>94</v>
      </c>
      <c r="D18" s="46">
        <v>99</v>
      </c>
      <c r="E18" s="47">
        <v>0</v>
      </c>
      <c r="F18" s="47">
        <v>0</v>
      </c>
      <c r="G18" s="47">
        <v>0</v>
      </c>
      <c r="H18" s="48">
        <v>17</v>
      </c>
      <c r="I18" s="32">
        <f t="shared" si="2"/>
        <v>176</v>
      </c>
      <c r="J18" s="45">
        <v>25</v>
      </c>
      <c r="K18" s="46">
        <v>25</v>
      </c>
      <c r="L18" s="46">
        <v>7</v>
      </c>
      <c r="M18" s="47">
        <v>0</v>
      </c>
      <c r="N18" s="48">
        <f t="shared" si="3"/>
        <v>32</v>
      </c>
      <c r="O18" s="45">
        <f>84+220</f>
        <v>304</v>
      </c>
      <c r="P18" s="46">
        <f>220+84</f>
        <v>304</v>
      </c>
      <c r="Q18" s="47">
        <v>300</v>
      </c>
      <c r="R18" s="32">
        <f t="shared" si="4"/>
        <v>4</v>
      </c>
      <c r="S18" s="45">
        <v>25</v>
      </c>
      <c r="T18" s="46">
        <v>25</v>
      </c>
      <c r="U18" s="47">
        <v>0</v>
      </c>
      <c r="V18" s="32">
        <f t="shared" si="5"/>
        <v>25</v>
      </c>
      <c r="W18" s="50"/>
    </row>
    <row r="19" spans="1:22" s="49" customFormat="1" ht="12.75">
      <c r="A19" s="44" t="s">
        <v>187</v>
      </c>
      <c r="B19" s="45">
        <v>74</v>
      </c>
      <c r="C19" s="46">
        <v>74</v>
      </c>
      <c r="D19" s="46">
        <v>79</v>
      </c>
      <c r="E19" s="47">
        <v>0</v>
      </c>
      <c r="F19" s="47">
        <v>0</v>
      </c>
      <c r="G19" s="47">
        <v>0</v>
      </c>
      <c r="H19" s="48">
        <f>54</f>
        <v>54</v>
      </c>
      <c r="I19" s="32">
        <f t="shared" si="2"/>
        <v>99</v>
      </c>
      <c r="J19" s="45">
        <f>13+22</f>
        <v>35</v>
      </c>
      <c r="K19" s="46">
        <v>35</v>
      </c>
      <c r="L19" s="46">
        <f>8+5</f>
        <v>13</v>
      </c>
      <c r="M19" s="47">
        <f>16+27</f>
        <v>43</v>
      </c>
      <c r="N19" s="48">
        <f t="shared" si="3"/>
        <v>5</v>
      </c>
      <c r="O19" s="45">
        <f>43+120</f>
        <v>163</v>
      </c>
      <c r="P19" s="46">
        <f>43+120</f>
        <v>163</v>
      </c>
      <c r="Q19" s="47">
        <v>125</v>
      </c>
      <c r="R19" s="32">
        <f t="shared" si="4"/>
        <v>38</v>
      </c>
      <c r="S19" s="45">
        <v>10</v>
      </c>
      <c r="T19" s="46">
        <v>10</v>
      </c>
      <c r="U19" s="47">
        <v>0</v>
      </c>
      <c r="V19" s="32">
        <f t="shared" si="5"/>
        <v>10</v>
      </c>
    </row>
    <row r="20" spans="1:22" s="49" customFormat="1" ht="12.75">
      <c r="A20" s="44" t="s">
        <v>194</v>
      </c>
      <c r="B20" s="45">
        <v>80</v>
      </c>
      <c r="C20" s="47">
        <v>80</v>
      </c>
      <c r="D20" s="47">
        <v>19</v>
      </c>
      <c r="E20" s="47">
        <v>0</v>
      </c>
      <c r="F20" s="47">
        <v>0</v>
      </c>
      <c r="G20" s="47">
        <v>0</v>
      </c>
      <c r="H20" s="47">
        <v>0</v>
      </c>
      <c r="I20" s="32">
        <f t="shared" si="2"/>
        <v>99</v>
      </c>
      <c r="J20" s="46">
        <v>261</v>
      </c>
      <c r="K20" s="46">
        <v>261</v>
      </c>
      <c r="L20" s="46">
        <f>48+4</f>
        <v>52</v>
      </c>
      <c r="M20" s="47">
        <f>48+4</f>
        <v>52</v>
      </c>
      <c r="N20" s="48">
        <f t="shared" si="3"/>
        <v>261</v>
      </c>
      <c r="O20" s="45">
        <f>26+79</f>
        <v>105</v>
      </c>
      <c r="P20" s="46">
        <f>79+26</f>
        <v>105</v>
      </c>
      <c r="Q20" s="47">
        <v>85</v>
      </c>
      <c r="R20" s="32">
        <f t="shared" si="4"/>
        <v>20</v>
      </c>
      <c r="S20" s="45">
        <f>12+45</f>
        <v>57</v>
      </c>
      <c r="T20" s="47">
        <f>45+12</f>
        <v>57</v>
      </c>
      <c r="U20" s="47">
        <v>20</v>
      </c>
      <c r="V20" s="32">
        <f t="shared" si="5"/>
        <v>37</v>
      </c>
    </row>
    <row r="21" spans="1:22" s="49" customFormat="1" ht="12.75">
      <c r="A21" s="44" t="s">
        <v>182</v>
      </c>
      <c r="B21" s="45">
        <v>939</v>
      </c>
      <c r="C21" s="47">
        <v>939</v>
      </c>
      <c r="D21" s="47">
        <v>292</v>
      </c>
      <c r="E21" s="47">
        <v>300</v>
      </c>
      <c r="F21" s="47">
        <v>0</v>
      </c>
      <c r="G21" s="47">
        <v>0</v>
      </c>
      <c r="H21" s="47">
        <v>301</v>
      </c>
      <c r="I21" s="48">
        <f t="shared" si="2"/>
        <v>930</v>
      </c>
      <c r="J21" s="45">
        <v>6</v>
      </c>
      <c r="K21" s="47">
        <v>6</v>
      </c>
      <c r="L21" s="47">
        <v>15</v>
      </c>
      <c r="M21" s="47">
        <v>0</v>
      </c>
      <c r="N21" s="48">
        <f t="shared" si="3"/>
        <v>21</v>
      </c>
      <c r="O21" s="45">
        <f>21+39</f>
        <v>60</v>
      </c>
      <c r="P21" s="47">
        <f>21+39</f>
        <v>60</v>
      </c>
      <c r="Q21" s="47">
        <v>45</v>
      </c>
      <c r="R21" s="48">
        <f t="shared" si="4"/>
        <v>15</v>
      </c>
      <c r="S21" s="45">
        <v>8</v>
      </c>
      <c r="T21" s="47">
        <v>8</v>
      </c>
      <c r="U21" s="47">
        <v>0</v>
      </c>
      <c r="V21" s="32">
        <f t="shared" si="5"/>
        <v>8</v>
      </c>
    </row>
    <row r="22" spans="1:22" s="49" customFormat="1" ht="12.75">
      <c r="A22" s="44" t="s">
        <v>183</v>
      </c>
      <c r="B22" s="52">
        <v>0</v>
      </c>
      <c r="C22" s="53">
        <v>0</v>
      </c>
      <c r="D22" s="53">
        <v>0</v>
      </c>
      <c r="E22" s="54">
        <v>0</v>
      </c>
      <c r="F22" s="54">
        <v>0</v>
      </c>
      <c r="G22" s="54">
        <v>0</v>
      </c>
      <c r="H22" s="55">
        <v>0</v>
      </c>
      <c r="I22" s="56">
        <f t="shared" si="2"/>
        <v>0</v>
      </c>
      <c r="J22" s="52">
        <v>0</v>
      </c>
      <c r="K22" s="53">
        <v>0</v>
      </c>
      <c r="L22" s="53">
        <v>0</v>
      </c>
      <c r="M22" s="54">
        <v>0</v>
      </c>
      <c r="N22" s="55">
        <f t="shared" si="3"/>
        <v>0</v>
      </c>
      <c r="O22" s="52">
        <f>3+40</f>
        <v>43</v>
      </c>
      <c r="P22" s="53">
        <v>43</v>
      </c>
      <c r="Q22" s="54">
        <v>43</v>
      </c>
      <c r="R22" s="56">
        <f t="shared" si="4"/>
        <v>0</v>
      </c>
      <c r="S22" s="52">
        <v>0</v>
      </c>
      <c r="T22" s="53">
        <v>0</v>
      </c>
      <c r="U22" s="54">
        <v>0</v>
      </c>
      <c r="V22" s="56">
        <f t="shared" si="5"/>
        <v>0</v>
      </c>
    </row>
    <row r="23" spans="1:54" s="58" customFormat="1" ht="12.75">
      <c r="A23" s="44" t="s">
        <v>184</v>
      </c>
      <c r="B23" s="45">
        <v>5</v>
      </c>
      <c r="C23" s="46">
        <v>5</v>
      </c>
      <c r="D23" s="46">
        <v>3</v>
      </c>
      <c r="E23" s="47">
        <v>0</v>
      </c>
      <c r="F23" s="47">
        <v>0</v>
      </c>
      <c r="G23" s="47">
        <v>0</v>
      </c>
      <c r="H23" s="48">
        <v>0</v>
      </c>
      <c r="I23" s="32">
        <f t="shared" si="2"/>
        <v>8</v>
      </c>
      <c r="J23" s="45">
        <v>4</v>
      </c>
      <c r="K23" s="46">
        <v>4</v>
      </c>
      <c r="L23" s="46">
        <v>1</v>
      </c>
      <c r="M23" s="47">
        <v>0</v>
      </c>
      <c r="N23" s="48">
        <f t="shared" si="3"/>
        <v>5</v>
      </c>
      <c r="O23" s="45">
        <f>10+43</f>
        <v>53</v>
      </c>
      <c r="P23" s="46">
        <f>3+43</f>
        <v>46</v>
      </c>
      <c r="Q23" s="47">
        <v>53</v>
      </c>
      <c r="R23" s="32">
        <f t="shared" si="4"/>
        <v>0</v>
      </c>
      <c r="S23" s="45">
        <v>5</v>
      </c>
      <c r="T23" s="46">
        <v>5</v>
      </c>
      <c r="U23" s="47">
        <v>5</v>
      </c>
      <c r="V23" s="32">
        <f t="shared" si="5"/>
        <v>0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</row>
    <row r="24" spans="1:22" s="58" customFormat="1" ht="13.5" thickBot="1">
      <c r="A24" s="78" t="s">
        <v>185</v>
      </c>
      <c r="B24" s="52">
        <v>43</v>
      </c>
      <c r="C24" s="53">
        <v>43</v>
      </c>
      <c r="D24" s="54">
        <v>583</v>
      </c>
      <c r="E24" s="54">
        <v>230</v>
      </c>
      <c r="F24" s="54">
        <v>0</v>
      </c>
      <c r="G24" s="54">
        <v>0</v>
      </c>
      <c r="H24" s="54">
        <f>230+343</f>
        <v>573</v>
      </c>
      <c r="I24" s="56">
        <f t="shared" si="2"/>
        <v>53</v>
      </c>
      <c r="J24" s="52">
        <v>246</v>
      </c>
      <c r="K24" s="53">
        <v>262</v>
      </c>
      <c r="L24" s="54">
        <v>3</v>
      </c>
      <c r="M24" s="54">
        <v>214</v>
      </c>
      <c r="N24" s="56">
        <f t="shared" si="3"/>
        <v>35</v>
      </c>
      <c r="O24" s="52">
        <f>57+136</f>
        <v>193</v>
      </c>
      <c r="P24" s="53">
        <f>49+136</f>
        <v>185</v>
      </c>
      <c r="Q24" s="54">
        <v>176</v>
      </c>
      <c r="R24" s="56">
        <f t="shared" si="4"/>
        <v>17</v>
      </c>
      <c r="S24" s="52">
        <v>15</v>
      </c>
      <c r="T24" s="53">
        <v>15</v>
      </c>
      <c r="U24" s="54">
        <v>0</v>
      </c>
      <c r="V24" s="56">
        <f t="shared" si="5"/>
        <v>15</v>
      </c>
    </row>
    <row r="25" spans="1:54" ht="13.5" thickBot="1">
      <c r="A25" s="17" t="s">
        <v>15</v>
      </c>
      <c r="B25" s="18">
        <f>SUM(B26:B39)</f>
        <v>9792</v>
      </c>
      <c r="C25" s="19">
        <f aca="true" t="shared" si="6" ref="C25:V25">SUM(C26:C39)</f>
        <v>9792</v>
      </c>
      <c r="D25" s="19">
        <f t="shared" si="6"/>
        <v>12182</v>
      </c>
      <c r="E25" s="19">
        <f t="shared" si="6"/>
        <v>5004</v>
      </c>
      <c r="F25" s="19">
        <f t="shared" si="6"/>
        <v>827</v>
      </c>
      <c r="G25" s="19">
        <f t="shared" si="6"/>
        <v>680</v>
      </c>
      <c r="H25" s="19">
        <f t="shared" si="6"/>
        <v>12974</v>
      </c>
      <c r="I25" s="20">
        <f t="shared" si="6"/>
        <v>9000</v>
      </c>
      <c r="J25" s="18">
        <f t="shared" si="6"/>
        <v>4426</v>
      </c>
      <c r="K25" s="19">
        <f t="shared" si="6"/>
        <v>4426</v>
      </c>
      <c r="L25" s="19">
        <f t="shared" si="6"/>
        <v>728</v>
      </c>
      <c r="M25" s="19">
        <f t="shared" si="6"/>
        <v>2637</v>
      </c>
      <c r="N25" s="20">
        <f t="shared" si="6"/>
        <v>2517</v>
      </c>
      <c r="O25" s="18">
        <f t="shared" si="6"/>
        <v>7093</v>
      </c>
      <c r="P25" s="19">
        <f t="shared" si="6"/>
        <v>6967</v>
      </c>
      <c r="Q25" s="19">
        <f t="shared" si="6"/>
        <v>4508</v>
      </c>
      <c r="R25" s="20">
        <f t="shared" si="6"/>
        <v>2585</v>
      </c>
      <c r="S25" s="18">
        <f t="shared" si="6"/>
        <v>702</v>
      </c>
      <c r="T25" s="19">
        <f t="shared" si="6"/>
        <v>702</v>
      </c>
      <c r="U25" s="19">
        <f t="shared" si="6"/>
        <v>160</v>
      </c>
      <c r="V25" s="20">
        <f t="shared" si="6"/>
        <v>542</v>
      </c>
      <c r="W25" s="34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49" customFormat="1" ht="12.75">
      <c r="A26" s="78" t="s">
        <v>80</v>
      </c>
      <c r="B26" s="52">
        <v>60</v>
      </c>
      <c r="C26" s="53">
        <v>60</v>
      </c>
      <c r="D26" s="53">
        <v>521</v>
      </c>
      <c r="E26" s="54">
        <v>0</v>
      </c>
      <c r="F26" s="54">
        <v>0</v>
      </c>
      <c r="G26" s="54">
        <v>80</v>
      </c>
      <c r="H26" s="55">
        <v>410</v>
      </c>
      <c r="I26" s="56">
        <f aca="true" t="shared" si="7" ref="I26:I39">B26+D26-H26</f>
        <v>171</v>
      </c>
      <c r="J26" s="52">
        <v>298</v>
      </c>
      <c r="K26" s="53">
        <v>298</v>
      </c>
      <c r="L26" s="53">
        <v>91</v>
      </c>
      <c r="M26" s="54">
        <v>389</v>
      </c>
      <c r="N26" s="55">
        <f aca="true" t="shared" si="8" ref="N26:N39">J26+L26-M26</f>
        <v>0</v>
      </c>
      <c r="O26" s="52">
        <f>290+95</f>
        <v>385</v>
      </c>
      <c r="P26" s="53">
        <f>290+91</f>
        <v>381</v>
      </c>
      <c r="Q26" s="54">
        <v>309</v>
      </c>
      <c r="R26" s="56">
        <f aca="true" t="shared" si="9" ref="R26:R39">O26-Q26</f>
        <v>76</v>
      </c>
      <c r="S26" s="52">
        <v>0</v>
      </c>
      <c r="T26" s="53">
        <v>0</v>
      </c>
      <c r="U26" s="54">
        <v>0</v>
      </c>
      <c r="V26" s="56">
        <f aca="true" t="shared" si="10" ref="V26:V39">S26-U26</f>
        <v>0</v>
      </c>
      <c r="W26" s="50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</row>
    <row r="27" spans="1:54" s="49" customFormat="1" ht="12.75">
      <c r="A27" s="44" t="s">
        <v>1</v>
      </c>
      <c r="B27" s="45">
        <v>59</v>
      </c>
      <c r="C27" s="46">
        <v>59</v>
      </c>
      <c r="D27" s="46">
        <v>477</v>
      </c>
      <c r="E27" s="47">
        <v>140</v>
      </c>
      <c r="F27" s="47">
        <v>0</v>
      </c>
      <c r="G27" s="47">
        <v>0</v>
      </c>
      <c r="H27" s="48">
        <v>439</v>
      </c>
      <c r="I27" s="32">
        <f t="shared" si="7"/>
        <v>97</v>
      </c>
      <c r="J27" s="45">
        <v>45</v>
      </c>
      <c r="K27" s="46">
        <v>45</v>
      </c>
      <c r="L27" s="46">
        <v>12</v>
      </c>
      <c r="M27" s="47">
        <v>0</v>
      </c>
      <c r="N27" s="48">
        <f t="shared" si="8"/>
        <v>57</v>
      </c>
      <c r="O27" s="45">
        <f>200+37</f>
        <v>237</v>
      </c>
      <c r="P27" s="46">
        <f>200+42</f>
        <v>242</v>
      </c>
      <c r="Q27" s="47">
        <v>195</v>
      </c>
      <c r="R27" s="32">
        <f t="shared" si="9"/>
        <v>42</v>
      </c>
      <c r="S27" s="45">
        <v>7</v>
      </c>
      <c r="T27" s="46">
        <v>7</v>
      </c>
      <c r="U27" s="47">
        <v>0</v>
      </c>
      <c r="V27" s="32">
        <f t="shared" si="10"/>
        <v>7</v>
      </c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54" s="49" customFormat="1" ht="12.75">
      <c r="A28" s="44" t="s">
        <v>240</v>
      </c>
      <c r="B28" s="45">
        <v>1443</v>
      </c>
      <c r="C28" s="46">
        <v>1443</v>
      </c>
      <c r="D28" s="46">
        <v>2709</v>
      </c>
      <c r="E28" s="47">
        <v>3190</v>
      </c>
      <c r="F28" s="47">
        <v>0</v>
      </c>
      <c r="G28" s="47">
        <v>0</v>
      </c>
      <c r="H28" s="48">
        <v>4050</v>
      </c>
      <c r="I28" s="32">
        <f t="shared" si="7"/>
        <v>102</v>
      </c>
      <c r="J28" s="45">
        <v>121</v>
      </c>
      <c r="K28" s="46">
        <v>121</v>
      </c>
      <c r="L28" s="46">
        <v>45</v>
      </c>
      <c r="M28" s="47">
        <v>0</v>
      </c>
      <c r="N28" s="48">
        <f t="shared" si="8"/>
        <v>166</v>
      </c>
      <c r="O28" s="45">
        <f>450+554</f>
        <v>1004</v>
      </c>
      <c r="P28" s="46">
        <f>450+521</f>
        <v>971</v>
      </c>
      <c r="Q28" s="47">
        <v>712</v>
      </c>
      <c r="R28" s="32">
        <f t="shared" si="9"/>
        <v>292</v>
      </c>
      <c r="S28" s="45">
        <f>1+50</f>
        <v>51</v>
      </c>
      <c r="T28" s="46">
        <f>1+50</f>
        <v>51</v>
      </c>
      <c r="U28" s="47">
        <v>0</v>
      </c>
      <c r="V28" s="32">
        <f t="shared" si="10"/>
        <v>51</v>
      </c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</row>
    <row r="29" spans="1:54" s="49" customFormat="1" ht="12.75">
      <c r="A29" s="44" t="s">
        <v>2</v>
      </c>
      <c r="B29" s="45">
        <v>359</v>
      </c>
      <c r="C29" s="46">
        <v>359</v>
      </c>
      <c r="D29" s="46">
        <v>735</v>
      </c>
      <c r="E29" s="47">
        <v>0</v>
      </c>
      <c r="F29" s="47">
        <v>0</v>
      </c>
      <c r="G29" s="47">
        <v>0</v>
      </c>
      <c r="H29" s="48">
        <v>460</v>
      </c>
      <c r="I29" s="32">
        <f t="shared" si="7"/>
        <v>634</v>
      </c>
      <c r="J29" s="45">
        <v>26</v>
      </c>
      <c r="K29" s="46">
        <v>26</v>
      </c>
      <c r="L29" s="46">
        <v>43</v>
      </c>
      <c r="M29" s="47">
        <v>0</v>
      </c>
      <c r="N29" s="48">
        <f t="shared" si="8"/>
        <v>69</v>
      </c>
      <c r="O29" s="45">
        <f>467+28</f>
        <v>495</v>
      </c>
      <c r="P29" s="46">
        <f>467+28</f>
        <v>495</v>
      </c>
      <c r="Q29" s="47">
        <v>460</v>
      </c>
      <c r="R29" s="32">
        <f t="shared" si="9"/>
        <v>35</v>
      </c>
      <c r="S29" s="45">
        <v>6</v>
      </c>
      <c r="T29" s="46">
        <v>6</v>
      </c>
      <c r="U29" s="47">
        <v>0</v>
      </c>
      <c r="V29" s="32">
        <f t="shared" si="10"/>
        <v>6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</row>
    <row r="30" spans="1:54" s="49" customFormat="1" ht="12.75">
      <c r="A30" s="44" t="s">
        <v>162</v>
      </c>
      <c r="B30" s="45">
        <v>4847</v>
      </c>
      <c r="C30" s="46">
        <v>4847</v>
      </c>
      <c r="D30" s="46">
        <v>2173</v>
      </c>
      <c r="E30" s="47">
        <v>0</v>
      </c>
      <c r="F30" s="47">
        <v>0</v>
      </c>
      <c r="G30" s="47">
        <v>0</v>
      </c>
      <c r="H30" s="48">
        <v>850</v>
      </c>
      <c r="I30" s="32">
        <f t="shared" si="7"/>
        <v>6170</v>
      </c>
      <c r="J30" s="45">
        <v>1056</v>
      </c>
      <c r="K30" s="46">
        <v>1056</v>
      </c>
      <c r="L30" s="46">
        <v>223</v>
      </c>
      <c r="M30" s="47">
        <v>0</v>
      </c>
      <c r="N30" s="48">
        <f t="shared" si="8"/>
        <v>1279</v>
      </c>
      <c r="O30" s="45">
        <f>350+509</f>
        <v>859</v>
      </c>
      <c r="P30" s="46">
        <f>350+509</f>
        <v>859</v>
      </c>
      <c r="Q30" s="47">
        <v>370</v>
      </c>
      <c r="R30" s="32">
        <f t="shared" si="9"/>
        <v>489</v>
      </c>
      <c r="S30" s="45">
        <f>87+226</f>
        <v>313</v>
      </c>
      <c r="T30" s="46">
        <f>87+226</f>
        <v>313</v>
      </c>
      <c r="U30" s="47">
        <v>0</v>
      </c>
      <c r="V30" s="32">
        <f t="shared" si="10"/>
        <v>313</v>
      </c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1:54" s="49" customFormat="1" ht="12.75" customHeight="1">
      <c r="A31" s="44" t="s">
        <v>164</v>
      </c>
      <c r="B31" s="45">
        <v>1231</v>
      </c>
      <c r="C31" s="46">
        <v>1231</v>
      </c>
      <c r="D31" s="46">
        <v>704</v>
      </c>
      <c r="E31" s="47">
        <v>1207</v>
      </c>
      <c r="F31" s="47">
        <v>0</v>
      </c>
      <c r="G31" s="47">
        <v>195</v>
      </c>
      <c r="H31" s="48">
        <v>1772</v>
      </c>
      <c r="I31" s="32">
        <f t="shared" si="7"/>
        <v>163</v>
      </c>
      <c r="J31" s="45">
        <v>1451</v>
      </c>
      <c r="K31" s="46">
        <v>1451</v>
      </c>
      <c r="L31" s="46">
        <v>23</v>
      </c>
      <c r="M31" s="47">
        <v>1406</v>
      </c>
      <c r="N31" s="48">
        <f t="shared" si="8"/>
        <v>68</v>
      </c>
      <c r="O31" s="45">
        <f>190+230</f>
        <v>420</v>
      </c>
      <c r="P31" s="46">
        <f>190+230</f>
        <v>420</v>
      </c>
      <c r="Q31" s="47">
        <v>300</v>
      </c>
      <c r="R31" s="32">
        <f t="shared" si="9"/>
        <v>120</v>
      </c>
      <c r="S31" s="45">
        <v>46</v>
      </c>
      <c r="T31" s="46">
        <v>46</v>
      </c>
      <c r="U31" s="47">
        <v>0</v>
      </c>
      <c r="V31" s="32">
        <f t="shared" si="10"/>
        <v>46</v>
      </c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</row>
    <row r="32" spans="1:54" s="49" customFormat="1" ht="12" customHeight="1">
      <c r="A32" s="44" t="s">
        <v>3</v>
      </c>
      <c r="B32" s="45">
        <v>43</v>
      </c>
      <c r="C32" s="46">
        <v>43</v>
      </c>
      <c r="D32" s="46">
        <v>603</v>
      </c>
      <c r="E32" s="47">
        <v>50</v>
      </c>
      <c r="F32" s="47">
        <v>0</v>
      </c>
      <c r="G32" s="47">
        <v>0</v>
      </c>
      <c r="H32" s="48">
        <v>525</v>
      </c>
      <c r="I32" s="32">
        <f t="shared" si="7"/>
        <v>121</v>
      </c>
      <c r="J32" s="45">
        <v>140</v>
      </c>
      <c r="K32" s="46">
        <v>140</v>
      </c>
      <c r="L32" s="46">
        <v>2</v>
      </c>
      <c r="M32" s="47">
        <v>140</v>
      </c>
      <c r="N32" s="48">
        <f t="shared" si="8"/>
        <v>2</v>
      </c>
      <c r="O32" s="45">
        <f>90+143</f>
        <v>233</v>
      </c>
      <c r="P32" s="46">
        <f>90+143</f>
        <v>233</v>
      </c>
      <c r="Q32" s="47">
        <v>90</v>
      </c>
      <c r="R32" s="32">
        <f t="shared" si="9"/>
        <v>143</v>
      </c>
      <c r="S32" s="45">
        <f>1+13</f>
        <v>14</v>
      </c>
      <c r="T32" s="46">
        <f>1+13</f>
        <v>14</v>
      </c>
      <c r="U32" s="47">
        <v>14</v>
      </c>
      <c r="V32" s="32">
        <f t="shared" si="10"/>
        <v>0</v>
      </c>
      <c r="W32" s="6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</row>
    <row r="33" spans="1:54" s="49" customFormat="1" ht="12.75">
      <c r="A33" s="59" t="s">
        <v>4</v>
      </c>
      <c r="B33" s="45">
        <v>181</v>
      </c>
      <c r="C33" s="46">
        <v>181</v>
      </c>
      <c r="D33" s="47">
        <v>335</v>
      </c>
      <c r="E33" s="47">
        <v>0</v>
      </c>
      <c r="F33" s="47">
        <v>250</v>
      </c>
      <c r="G33" s="47">
        <v>0</v>
      </c>
      <c r="H33" s="47">
        <v>426</v>
      </c>
      <c r="I33" s="32">
        <f t="shared" si="7"/>
        <v>90</v>
      </c>
      <c r="J33" s="45">
        <v>80</v>
      </c>
      <c r="K33" s="46">
        <v>80</v>
      </c>
      <c r="L33" s="47">
        <v>0</v>
      </c>
      <c r="M33" s="47">
        <v>0</v>
      </c>
      <c r="N33" s="32">
        <f t="shared" si="8"/>
        <v>80</v>
      </c>
      <c r="O33" s="45">
        <f>275+110</f>
        <v>385</v>
      </c>
      <c r="P33" s="46">
        <f>275+110</f>
        <v>385</v>
      </c>
      <c r="Q33" s="47">
        <v>295</v>
      </c>
      <c r="R33" s="32">
        <f t="shared" si="9"/>
        <v>90</v>
      </c>
      <c r="S33" s="45">
        <v>3</v>
      </c>
      <c r="T33" s="46">
        <v>3</v>
      </c>
      <c r="U33" s="47">
        <v>0</v>
      </c>
      <c r="V33" s="32">
        <f t="shared" si="10"/>
        <v>3</v>
      </c>
      <c r="W33" s="6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</row>
    <row r="34" spans="1:54" s="49" customFormat="1" ht="12.75">
      <c r="A34" s="77" t="s">
        <v>165</v>
      </c>
      <c r="B34" s="79">
        <v>254</v>
      </c>
      <c r="C34" s="80">
        <v>254</v>
      </c>
      <c r="D34" s="80">
        <v>995</v>
      </c>
      <c r="E34" s="81">
        <v>0</v>
      </c>
      <c r="F34" s="81">
        <v>577</v>
      </c>
      <c r="G34" s="81">
        <v>0</v>
      </c>
      <c r="H34" s="81">
        <v>1249</v>
      </c>
      <c r="I34" s="82">
        <f t="shared" si="7"/>
        <v>0</v>
      </c>
      <c r="J34" s="80">
        <v>119</v>
      </c>
      <c r="K34" s="80">
        <v>119</v>
      </c>
      <c r="L34" s="80">
        <v>40</v>
      </c>
      <c r="M34" s="81">
        <v>159</v>
      </c>
      <c r="N34" s="83">
        <f t="shared" si="8"/>
        <v>0</v>
      </c>
      <c r="O34" s="52">
        <f>298+32</f>
        <v>330</v>
      </c>
      <c r="P34" s="80">
        <f>298+32</f>
        <v>330</v>
      </c>
      <c r="Q34" s="81">
        <v>330</v>
      </c>
      <c r="R34" s="82">
        <f t="shared" si="9"/>
        <v>0</v>
      </c>
      <c r="S34" s="52">
        <f>30+30</f>
        <v>60</v>
      </c>
      <c r="T34" s="80">
        <f>30+30</f>
        <v>60</v>
      </c>
      <c r="U34" s="81">
        <v>60</v>
      </c>
      <c r="V34" s="82">
        <f t="shared" si="10"/>
        <v>0</v>
      </c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s="49" customFormat="1" ht="12.75">
      <c r="A35" s="72" t="s">
        <v>5</v>
      </c>
      <c r="B35" s="39">
        <v>328</v>
      </c>
      <c r="C35" s="40">
        <v>328</v>
      </c>
      <c r="D35" s="40">
        <v>586</v>
      </c>
      <c r="E35" s="41">
        <v>0</v>
      </c>
      <c r="F35" s="41">
        <v>0</v>
      </c>
      <c r="G35" s="41">
        <v>200</v>
      </c>
      <c r="H35" s="42">
        <v>550</v>
      </c>
      <c r="I35" s="43">
        <f t="shared" si="7"/>
        <v>364</v>
      </c>
      <c r="J35" s="39">
        <v>6</v>
      </c>
      <c r="K35" s="40">
        <v>6</v>
      </c>
      <c r="L35" s="40">
        <v>24</v>
      </c>
      <c r="M35" s="41">
        <v>26</v>
      </c>
      <c r="N35" s="42">
        <f t="shared" si="8"/>
        <v>4</v>
      </c>
      <c r="O35" s="39">
        <f>330+513</f>
        <v>843</v>
      </c>
      <c r="P35" s="40">
        <f>330+513</f>
        <v>843</v>
      </c>
      <c r="Q35" s="41">
        <v>350</v>
      </c>
      <c r="R35" s="43">
        <f t="shared" si="9"/>
        <v>493</v>
      </c>
      <c r="S35" s="39">
        <v>2</v>
      </c>
      <c r="T35" s="40">
        <v>2</v>
      </c>
      <c r="U35" s="41">
        <v>0</v>
      </c>
      <c r="V35" s="43">
        <f t="shared" si="10"/>
        <v>2</v>
      </c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22" s="49" customFormat="1" ht="12.75">
      <c r="A36" s="73" t="s">
        <v>148</v>
      </c>
      <c r="B36" s="39">
        <v>21</v>
      </c>
      <c r="C36" s="40">
        <v>21</v>
      </c>
      <c r="D36" s="41">
        <v>1000</v>
      </c>
      <c r="E36" s="41">
        <v>0</v>
      </c>
      <c r="F36" s="41">
        <v>0</v>
      </c>
      <c r="G36" s="41">
        <v>155</v>
      </c>
      <c r="H36" s="41">
        <v>971</v>
      </c>
      <c r="I36" s="43">
        <f t="shared" si="7"/>
        <v>50</v>
      </c>
      <c r="J36" s="39">
        <v>34</v>
      </c>
      <c r="K36" s="40">
        <v>34</v>
      </c>
      <c r="L36" s="41">
        <v>7</v>
      </c>
      <c r="M36" s="41">
        <v>34</v>
      </c>
      <c r="N36" s="43">
        <f t="shared" si="8"/>
        <v>7</v>
      </c>
      <c r="O36" s="39">
        <f>192+404</f>
        <v>596</v>
      </c>
      <c r="P36" s="40">
        <f>192+305</f>
        <v>497</v>
      </c>
      <c r="Q36" s="41">
        <v>210</v>
      </c>
      <c r="R36" s="43">
        <f t="shared" si="9"/>
        <v>386</v>
      </c>
      <c r="S36" s="39">
        <f>1+2</f>
        <v>3</v>
      </c>
      <c r="T36" s="40">
        <f>1+2</f>
        <v>3</v>
      </c>
      <c r="U36" s="41">
        <v>2</v>
      </c>
      <c r="V36" s="43">
        <f t="shared" si="10"/>
        <v>1</v>
      </c>
    </row>
    <row r="37" spans="1:22" s="49" customFormat="1" ht="22.5" customHeight="1">
      <c r="A37" s="109" t="s">
        <v>166</v>
      </c>
      <c r="B37" s="45">
        <v>204</v>
      </c>
      <c r="C37" s="46">
        <v>204</v>
      </c>
      <c r="D37" s="46">
        <v>543</v>
      </c>
      <c r="E37" s="47">
        <v>210</v>
      </c>
      <c r="F37" s="47">
        <v>0</v>
      </c>
      <c r="G37" s="47">
        <v>50</v>
      </c>
      <c r="H37" s="48">
        <v>650</v>
      </c>
      <c r="I37" s="32">
        <f t="shared" si="7"/>
        <v>97</v>
      </c>
      <c r="J37" s="45">
        <v>384</v>
      </c>
      <c r="K37" s="46">
        <v>384</v>
      </c>
      <c r="L37" s="46">
        <v>133</v>
      </c>
      <c r="M37" s="47">
        <v>160</v>
      </c>
      <c r="N37" s="48">
        <f t="shared" si="8"/>
        <v>357</v>
      </c>
      <c r="O37" s="45">
        <f>250+268</f>
        <v>518</v>
      </c>
      <c r="P37" s="46">
        <f>250+273</f>
        <v>523</v>
      </c>
      <c r="Q37" s="47">
        <v>300</v>
      </c>
      <c r="R37" s="32">
        <f t="shared" si="9"/>
        <v>218</v>
      </c>
      <c r="S37" s="45">
        <f>32+152</f>
        <v>184</v>
      </c>
      <c r="T37" s="46">
        <f>32+152</f>
        <v>184</v>
      </c>
      <c r="U37" s="47">
        <v>84</v>
      </c>
      <c r="V37" s="32">
        <f t="shared" si="10"/>
        <v>100</v>
      </c>
    </row>
    <row r="38" spans="1:22" s="49" customFormat="1" ht="12.75">
      <c r="A38" s="44" t="s">
        <v>31</v>
      </c>
      <c r="B38" s="39">
        <v>456</v>
      </c>
      <c r="C38" s="40">
        <v>456</v>
      </c>
      <c r="D38" s="40">
        <v>122</v>
      </c>
      <c r="E38" s="41">
        <v>57</v>
      </c>
      <c r="F38" s="41">
        <v>0</v>
      </c>
      <c r="G38" s="41">
        <v>0</v>
      </c>
      <c r="H38" s="42">
        <v>70</v>
      </c>
      <c r="I38" s="43">
        <f t="shared" si="7"/>
        <v>508</v>
      </c>
      <c r="J38" s="39">
        <v>14</v>
      </c>
      <c r="K38" s="40">
        <v>14</v>
      </c>
      <c r="L38" s="40">
        <v>61</v>
      </c>
      <c r="M38" s="41">
        <v>23</v>
      </c>
      <c r="N38" s="42">
        <f t="shared" si="8"/>
        <v>52</v>
      </c>
      <c r="O38" s="39">
        <f>195+205</f>
        <v>400</v>
      </c>
      <c r="P38" s="40">
        <f>195+205</f>
        <v>400</v>
      </c>
      <c r="Q38" s="41">
        <v>307</v>
      </c>
      <c r="R38" s="43">
        <f t="shared" si="9"/>
        <v>93</v>
      </c>
      <c r="S38" s="39">
        <v>3</v>
      </c>
      <c r="T38" s="40">
        <v>3</v>
      </c>
      <c r="U38" s="41">
        <v>0</v>
      </c>
      <c r="V38" s="43">
        <f t="shared" si="10"/>
        <v>3</v>
      </c>
    </row>
    <row r="39" spans="1:22" s="49" customFormat="1" ht="13.5" thickBot="1">
      <c r="A39" s="72" t="s">
        <v>32</v>
      </c>
      <c r="B39" s="39">
        <v>306</v>
      </c>
      <c r="C39" s="40">
        <v>306</v>
      </c>
      <c r="D39" s="40">
        <v>679</v>
      </c>
      <c r="E39" s="41">
        <v>150</v>
      </c>
      <c r="F39" s="41">
        <v>0</v>
      </c>
      <c r="G39" s="41">
        <v>0</v>
      </c>
      <c r="H39" s="42">
        <v>552</v>
      </c>
      <c r="I39" s="43">
        <f t="shared" si="7"/>
        <v>433</v>
      </c>
      <c r="J39" s="39">
        <v>652</v>
      </c>
      <c r="K39" s="40">
        <v>652</v>
      </c>
      <c r="L39" s="40">
        <v>24</v>
      </c>
      <c r="M39" s="41">
        <v>300</v>
      </c>
      <c r="N39" s="42">
        <f t="shared" si="8"/>
        <v>376</v>
      </c>
      <c r="O39" s="39">
        <f>260+128</f>
        <v>388</v>
      </c>
      <c r="P39" s="40">
        <f>260+128</f>
        <v>388</v>
      </c>
      <c r="Q39" s="41">
        <v>280</v>
      </c>
      <c r="R39" s="43">
        <f t="shared" si="9"/>
        <v>108</v>
      </c>
      <c r="S39" s="39">
        <v>10</v>
      </c>
      <c r="T39" s="40">
        <v>10</v>
      </c>
      <c r="U39" s="41">
        <v>0</v>
      </c>
      <c r="V39" s="43">
        <f t="shared" si="10"/>
        <v>10</v>
      </c>
    </row>
    <row r="40" spans="1:23" s="6" customFormat="1" ht="13.5" thickBot="1">
      <c r="A40" s="21" t="s">
        <v>17</v>
      </c>
      <c r="B40" s="18">
        <f aca="true" t="shared" si="11" ref="B40:V40">SUM(B41+B42+B43+B44+B45+B46+B56+B57+B58+B59+B60+B61+B62+B63+B64+B65+B66)</f>
        <v>6327</v>
      </c>
      <c r="C40" s="19">
        <f t="shared" si="11"/>
        <v>6242</v>
      </c>
      <c r="D40" s="19">
        <f t="shared" si="11"/>
        <v>21751</v>
      </c>
      <c r="E40" s="19">
        <f t="shared" si="11"/>
        <v>8136</v>
      </c>
      <c r="F40" s="19">
        <f t="shared" si="11"/>
        <v>1456</v>
      </c>
      <c r="G40" s="19">
        <f t="shared" si="11"/>
        <v>2032</v>
      </c>
      <c r="H40" s="27">
        <f t="shared" si="11"/>
        <v>20844</v>
      </c>
      <c r="I40" s="20">
        <f t="shared" si="11"/>
        <v>7234</v>
      </c>
      <c r="J40" s="18">
        <f t="shared" si="11"/>
        <v>7120</v>
      </c>
      <c r="K40" s="19">
        <f t="shared" si="11"/>
        <v>6362</v>
      </c>
      <c r="L40" s="19">
        <f t="shared" si="11"/>
        <v>2701</v>
      </c>
      <c r="M40" s="19">
        <f t="shared" si="11"/>
        <v>7452</v>
      </c>
      <c r="N40" s="20">
        <f t="shared" si="11"/>
        <v>2369</v>
      </c>
      <c r="O40" s="18">
        <f t="shared" si="11"/>
        <v>10792</v>
      </c>
      <c r="P40" s="19">
        <f t="shared" si="11"/>
        <v>10300</v>
      </c>
      <c r="Q40" s="19">
        <f t="shared" si="11"/>
        <v>7859</v>
      </c>
      <c r="R40" s="20">
        <f t="shared" si="11"/>
        <v>2933</v>
      </c>
      <c r="S40" s="18">
        <f t="shared" si="11"/>
        <v>3568.5</v>
      </c>
      <c r="T40" s="19">
        <f t="shared" si="11"/>
        <v>3568.5</v>
      </c>
      <c r="U40" s="19">
        <f t="shared" si="11"/>
        <v>1317</v>
      </c>
      <c r="V40" s="20">
        <f t="shared" si="11"/>
        <v>2251.5</v>
      </c>
      <c r="W40" s="35"/>
    </row>
    <row r="41" spans="1:22" s="49" customFormat="1" ht="24" customHeight="1">
      <c r="A41" s="331" t="s">
        <v>196</v>
      </c>
      <c r="B41" s="39">
        <v>168</v>
      </c>
      <c r="C41" s="40">
        <v>168</v>
      </c>
      <c r="D41" s="40">
        <v>409</v>
      </c>
      <c r="E41" s="41">
        <v>0</v>
      </c>
      <c r="F41" s="41">
        <v>250</v>
      </c>
      <c r="G41" s="41">
        <v>57</v>
      </c>
      <c r="H41" s="42">
        <v>547</v>
      </c>
      <c r="I41" s="43">
        <f aca="true" t="shared" si="12" ref="I41:I46">B41+D41-H41</f>
        <v>30</v>
      </c>
      <c r="J41" s="45">
        <v>31</v>
      </c>
      <c r="K41" s="47">
        <v>31</v>
      </c>
      <c r="L41" s="47">
        <f>62+2</f>
        <v>64</v>
      </c>
      <c r="M41" s="47">
        <f>62+3</f>
        <v>65</v>
      </c>
      <c r="N41" s="32">
        <f aca="true" t="shared" si="13" ref="N41:N46">J41+L41-M41</f>
        <v>30</v>
      </c>
      <c r="O41" s="39">
        <f>300+25</f>
        <v>325</v>
      </c>
      <c r="P41" s="145">
        <f>300+25</f>
        <v>325</v>
      </c>
      <c r="Q41" s="41">
        <v>275</v>
      </c>
      <c r="R41" s="43">
        <f aca="true" t="shared" si="14" ref="R41:R46">O41-Q41</f>
        <v>50</v>
      </c>
      <c r="S41" s="39">
        <f>1+4</f>
        <v>5</v>
      </c>
      <c r="T41" s="40">
        <f>1+4</f>
        <v>5</v>
      </c>
      <c r="U41" s="41">
        <v>0</v>
      </c>
      <c r="V41" s="43">
        <f aca="true" t="shared" si="15" ref="V41:V46">S41-U41</f>
        <v>5</v>
      </c>
    </row>
    <row r="42" spans="1:22" s="49" customFormat="1" ht="33.75">
      <c r="A42" s="227" t="s">
        <v>197</v>
      </c>
      <c r="B42" s="333">
        <v>4</v>
      </c>
      <c r="C42" s="334">
        <v>4</v>
      </c>
      <c r="D42" s="334">
        <v>1450</v>
      </c>
      <c r="E42" s="335">
        <v>385</v>
      </c>
      <c r="F42" s="335">
        <v>0</v>
      </c>
      <c r="G42" s="335">
        <v>0</v>
      </c>
      <c r="H42" s="336">
        <v>913</v>
      </c>
      <c r="I42" s="337">
        <f>B42+D42-H42</f>
        <v>541</v>
      </c>
      <c r="J42" s="39">
        <f>1242+2</f>
        <v>1244</v>
      </c>
      <c r="K42" s="40">
        <f>2+269</f>
        <v>271</v>
      </c>
      <c r="L42" s="40">
        <f>30+0</f>
        <v>30</v>
      </c>
      <c r="M42" s="41">
        <v>1242</v>
      </c>
      <c r="N42" s="42">
        <f t="shared" si="13"/>
        <v>32</v>
      </c>
      <c r="O42" s="39">
        <f>135+190</f>
        <v>325</v>
      </c>
      <c r="P42" s="40">
        <f>135+190</f>
        <v>325</v>
      </c>
      <c r="Q42" s="41">
        <v>205</v>
      </c>
      <c r="R42" s="43">
        <f t="shared" si="14"/>
        <v>120</v>
      </c>
      <c r="S42" s="39">
        <f>79</f>
        <v>79</v>
      </c>
      <c r="T42" s="40">
        <f>79</f>
        <v>79</v>
      </c>
      <c r="U42" s="41">
        <v>0</v>
      </c>
      <c r="V42" s="43">
        <f t="shared" si="15"/>
        <v>79</v>
      </c>
    </row>
    <row r="43" spans="1:22" s="49" customFormat="1" ht="23.25" customHeight="1">
      <c r="A43" s="198" t="s">
        <v>198</v>
      </c>
      <c r="B43" s="333">
        <v>160</v>
      </c>
      <c r="C43" s="334">
        <v>160</v>
      </c>
      <c r="D43" s="334">
        <v>385</v>
      </c>
      <c r="E43" s="335">
        <v>120</v>
      </c>
      <c r="F43" s="335">
        <v>0</v>
      </c>
      <c r="G43" s="335">
        <v>0</v>
      </c>
      <c r="H43" s="336">
        <v>378</v>
      </c>
      <c r="I43" s="337">
        <f t="shared" si="12"/>
        <v>167</v>
      </c>
      <c r="J43" s="39">
        <f>58+15</f>
        <v>73</v>
      </c>
      <c r="K43" s="40">
        <f>58+15</f>
        <v>73</v>
      </c>
      <c r="L43" s="40">
        <v>12</v>
      </c>
      <c r="M43" s="41">
        <v>15</v>
      </c>
      <c r="N43" s="42">
        <f t="shared" si="13"/>
        <v>70</v>
      </c>
      <c r="O43" s="39">
        <f>171+280</f>
        <v>451</v>
      </c>
      <c r="P43" s="40">
        <f>280+171</f>
        <v>451</v>
      </c>
      <c r="Q43" s="41">
        <v>337</v>
      </c>
      <c r="R43" s="43">
        <f t="shared" si="14"/>
        <v>114</v>
      </c>
      <c r="S43" s="39">
        <f>123+3</f>
        <v>126</v>
      </c>
      <c r="T43" s="40">
        <f>3+123</f>
        <v>126</v>
      </c>
      <c r="U43" s="41">
        <v>0</v>
      </c>
      <c r="V43" s="43">
        <f t="shared" si="15"/>
        <v>126</v>
      </c>
    </row>
    <row r="44" spans="1:22" s="49" customFormat="1" ht="27.75" customHeight="1">
      <c r="A44" s="227" t="s">
        <v>199</v>
      </c>
      <c r="B44" s="333">
        <v>352</v>
      </c>
      <c r="C44" s="334">
        <v>352</v>
      </c>
      <c r="D44" s="334">
        <v>386</v>
      </c>
      <c r="E44" s="335">
        <v>200</v>
      </c>
      <c r="F44" s="335">
        <v>0</v>
      </c>
      <c r="G44" s="335">
        <v>0</v>
      </c>
      <c r="H44" s="336">
        <f>436</f>
        <v>436</v>
      </c>
      <c r="I44" s="337">
        <f t="shared" si="12"/>
        <v>302</v>
      </c>
      <c r="J44" s="39">
        <v>0</v>
      </c>
      <c r="K44" s="40">
        <v>0</v>
      </c>
      <c r="L44" s="40">
        <v>289</v>
      </c>
      <c r="M44" s="41">
        <v>289</v>
      </c>
      <c r="N44" s="42">
        <f t="shared" si="13"/>
        <v>0</v>
      </c>
      <c r="O44" s="39">
        <f>94+221</f>
        <v>315</v>
      </c>
      <c r="P44" s="40">
        <f>221+94</f>
        <v>315</v>
      </c>
      <c r="Q44" s="41">
        <v>312</v>
      </c>
      <c r="R44" s="43">
        <f t="shared" si="14"/>
        <v>3</v>
      </c>
      <c r="S44" s="39">
        <f>0+54</f>
        <v>54</v>
      </c>
      <c r="T44" s="40">
        <f>0+54</f>
        <v>54</v>
      </c>
      <c r="U44" s="41">
        <v>0</v>
      </c>
      <c r="V44" s="43">
        <f t="shared" si="15"/>
        <v>54</v>
      </c>
    </row>
    <row r="45" spans="1:22" s="49" customFormat="1" ht="15" customHeight="1">
      <c r="A45" s="330" t="s">
        <v>200</v>
      </c>
      <c r="B45" s="333">
        <v>0</v>
      </c>
      <c r="C45" s="334">
        <v>0</v>
      </c>
      <c r="D45" s="334">
        <v>1718</v>
      </c>
      <c r="E45" s="335">
        <v>1368</v>
      </c>
      <c r="F45" s="335">
        <v>0</v>
      </c>
      <c r="G45" s="335">
        <v>0</v>
      </c>
      <c r="H45" s="336">
        <v>1553</v>
      </c>
      <c r="I45" s="337">
        <f t="shared" si="12"/>
        <v>165</v>
      </c>
      <c r="J45" s="39">
        <v>69</v>
      </c>
      <c r="K45" s="40">
        <v>311</v>
      </c>
      <c r="L45" s="40">
        <v>242</v>
      </c>
      <c r="M45" s="41">
        <v>0</v>
      </c>
      <c r="N45" s="42">
        <f t="shared" si="13"/>
        <v>311</v>
      </c>
      <c r="O45" s="39">
        <f>359+111</f>
        <v>470</v>
      </c>
      <c r="P45" s="40">
        <f>359+85</f>
        <v>444</v>
      </c>
      <c r="Q45" s="41">
        <v>300</v>
      </c>
      <c r="R45" s="43">
        <f t="shared" si="14"/>
        <v>170</v>
      </c>
      <c r="S45" s="39">
        <f>0+205</f>
        <v>205</v>
      </c>
      <c r="T45" s="40">
        <f>0+205</f>
        <v>205</v>
      </c>
      <c r="U45" s="41">
        <v>0</v>
      </c>
      <c r="V45" s="43">
        <f t="shared" si="15"/>
        <v>205</v>
      </c>
    </row>
    <row r="46" spans="1:22" s="49" customFormat="1" ht="24.75" customHeight="1" thickBot="1">
      <c r="A46" s="321" t="s">
        <v>201</v>
      </c>
      <c r="B46" s="338">
        <v>97</v>
      </c>
      <c r="C46" s="339">
        <v>97</v>
      </c>
      <c r="D46" s="339">
        <v>1759</v>
      </c>
      <c r="E46" s="340">
        <v>300</v>
      </c>
      <c r="F46" s="340">
        <v>700</v>
      </c>
      <c r="G46" s="340">
        <v>0</v>
      </c>
      <c r="H46" s="341">
        <v>1753</v>
      </c>
      <c r="I46" s="342">
        <f t="shared" si="12"/>
        <v>103</v>
      </c>
      <c r="J46" s="63">
        <v>175</v>
      </c>
      <c r="K46" s="84">
        <v>175</v>
      </c>
      <c r="L46" s="84">
        <v>15</v>
      </c>
      <c r="M46" s="64">
        <v>50</v>
      </c>
      <c r="N46" s="85">
        <f t="shared" si="13"/>
        <v>140</v>
      </c>
      <c r="O46" s="63">
        <f>300+560</f>
        <v>860</v>
      </c>
      <c r="P46" s="84">
        <f>300+560</f>
        <v>860</v>
      </c>
      <c r="Q46" s="64">
        <v>395</v>
      </c>
      <c r="R46" s="62">
        <f t="shared" si="14"/>
        <v>465</v>
      </c>
      <c r="S46" s="63">
        <f>0+1</f>
        <v>1</v>
      </c>
      <c r="T46" s="84">
        <f>0+1</f>
        <v>1</v>
      </c>
      <c r="U46" s="64">
        <v>0</v>
      </c>
      <c r="V46" s="62">
        <f t="shared" si="15"/>
        <v>1</v>
      </c>
    </row>
    <row r="47" spans="1:22" s="49" customFormat="1" ht="12.75">
      <c r="A47" s="89"/>
      <c r="B47" s="343"/>
      <c r="C47" s="343"/>
      <c r="D47" s="343"/>
      <c r="E47" s="343"/>
      <c r="F47" s="343"/>
      <c r="G47" s="343"/>
      <c r="H47" s="343"/>
      <c r="I47" s="343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</row>
    <row r="48" spans="1:22" s="49" customFormat="1" ht="12.75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</row>
    <row r="49" spans="1:22" s="49" customFormat="1" ht="12.7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</row>
    <row r="50" spans="1:23" ht="18">
      <c r="A50" s="531" t="s">
        <v>62</v>
      </c>
      <c r="B50" s="531"/>
      <c r="C50" s="531"/>
      <c r="D50" s="531"/>
      <c r="E50" s="531"/>
      <c r="F50" s="531"/>
      <c r="G50" s="531"/>
      <c r="H50" s="531"/>
      <c r="I50" s="531"/>
      <c r="J50" s="531"/>
      <c r="K50" s="531"/>
      <c r="L50" s="531"/>
      <c r="M50" s="531"/>
      <c r="N50" s="531"/>
      <c r="O50" s="531"/>
      <c r="P50" s="531"/>
      <c r="Q50" s="531"/>
      <c r="R50" s="531"/>
      <c r="S50" s="531"/>
      <c r="T50" s="531"/>
      <c r="U50" s="531"/>
      <c r="V50" s="531"/>
      <c r="W50" s="33"/>
    </row>
    <row r="51" spans="1:23" ht="18.75" thickBot="1">
      <c r="A51" s="23" t="s">
        <v>16</v>
      </c>
      <c r="B51" s="24"/>
      <c r="C51" s="24" t="s">
        <v>16</v>
      </c>
      <c r="D51" s="23"/>
      <c r="E51" s="23" t="s">
        <v>16</v>
      </c>
      <c r="F51" s="23"/>
      <c r="G51" s="23"/>
      <c r="H51" s="23"/>
      <c r="I51" s="23"/>
      <c r="J51" s="23"/>
      <c r="K51" s="23"/>
      <c r="L51" s="23"/>
      <c r="M51" s="23" t="s">
        <v>16</v>
      </c>
      <c r="N51" s="23"/>
      <c r="O51" s="23"/>
      <c r="P51" s="23"/>
      <c r="Q51" s="23"/>
      <c r="R51" s="23"/>
      <c r="S51" s="23"/>
      <c r="T51" s="23"/>
      <c r="U51" s="23"/>
      <c r="V51" s="16" t="s">
        <v>8</v>
      </c>
      <c r="W51" s="33"/>
    </row>
    <row r="52" spans="1:22" s="168" customFormat="1" ht="12.75">
      <c r="A52" s="163"/>
      <c r="B52" s="164" t="s">
        <v>9</v>
      </c>
      <c r="C52" s="165"/>
      <c r="D52" s="165"/>
      <c r="E52" s="165"/>
      <c r="F52" s="165"/>
      <c r="G52" s="165"/>
      <c r="H52" s="165"/>
      <c r="I52" s="166"/>
      <c r="J52" s="164" t="s">
        <v>10</v>
      </c>
      <c r="K52" s="165"/>
      <c r="L52" s="167"/>
      <c r="M52" s="165"/>
      <c r="N52" s="166"/>
      <c r="O52" s="407" t="s">
        <v>11</v>
      </c>
      <c r="P52" s="408"/>
      <c r="Q52" s="408"/>
      <c r="R52" s="409"/>
      <c r="S52" s="407" t="s">
        <v>12</v>
      </c>
      <c r="T52" s="410"/>
      <c r="U52" s="410"/>
      <c r="V52" s="411"/>
    </row>
    <row r="53" spans="1:23" s="173" customFormat="1" ht="14.25" customHeight="1">
      <c r="A53" s="169" t="s">
        <v>0</v>
      </c>
      <c r="B53" s="390" t="s">
        <v>139</v>
      </c>
      <c r="C53" s="393" t="s">
        <v>140</v>
      </c>
      <c r="D53" s="396" t="s">
        <v>141</v>
      </c>
      <c r="E53" s="170" t="s">
        <v>13</v>
      </c>
      <c r="F53" s="170"/>
      <c r="G53" s="170"/>
      <c r="H53" s="171"/>
      <c r="I53" s="387" t="s">
        <v>143</v>
      </c>
      <c r="J53" s="390" t="s">
        <v>139</v>
      </c>
      <c r="K53" s="393" t="s">
        <v>140</v>
      </c>
      <c r="L53" s="396" t="s">
        <v>144</v>
      </c>
      <c r="M53" s="401" t="s">
        <v>145</v>
      </c>
      <c r="N53" s="387" t="s">
        <v>143</v>
      </c>
      <c r="O53" s="390" t="s">
        <v>146</v>
      </c>
      <c r="P53" s="528" t="s">
        <v>147</v>
      </c>
      <c r="Q53" s="401" t="s">
        <v>145</v>
      </c>
      <c r="R53" s="387" t="s">
        <v>143</v>
      </c>
      <c r="S53" s="390" t="s">
        <v>146</v>
      </c>
      <c r="T53" s="528" t="s">
        <v>147</v>
      </c>
      <c r="U53" s="401" t="s">
        <v>145</v>
      </c>
      <c r="V53" s="387" t="s">
        <v>143</v>
      </c>
      <c r="W53" s="172" t="s">
        <v>16</v>
      </c>
    </row>
    <row r="54" spans="1:22" s="168" customFormat="1" ht="12.75" customHeight="1">
      <c r="A54" s="174"/>
      <c r="B54" s="391"/>
      <c r="C54" s="394" t="s">
        <v>30</v>
      </c>
      <c r="D54" s="397"/>
      <c r="E54" s="399" t="s">
        <v>153</v>
      </c>
      <c r="F54" s="399" t="s">
        <v>73</v>
      </c>
      <c r="G54" s="399" t="s">
        <v>74</v>
      </c>
      <c r="H54" s="401" t="s">
        <v>142</v>
      </c>
      <c r="I54" s="388"/>
      <c r="J54" s="391"/>
      <c r="K54" s="394" t="s">
        <v>30</v>
      </c>
      <c r="L54" s="397"/>
      <c r="M54" s="403"/>
      <c r="N54" s="388"/>
      <c r="O54" s="391"/>
      <c r="P54" s="529"/>
      <c r="Q54" s="403"/>
      <c r="R54" s="388"/>
      <c r="S54" s="391"/>
      <c r="T54" s="529"/>
      <c r="U54" s="403"/>
      <c r="V54" s="388"/>
    </row>
    <row r="55" spans="1:22" s="168" customFormat="1" ht="53.25" customHeight="1" thickBot="1">
      <c r="A55" s="175" t="s">
        <v>16</v>
      </c>
      <c r="B55" s="392"/>
      <c r="C55" s="395" t="s">
        <v>63</v>
      </c>
      <c r="D55" s="398"/>
      <c r="E55" s="400"/>
      <c r="F55" s="400"/>
      <c r="G55" s="400"/>
      <c r="H55" s="402"/>
      <c r="I55" s="389"/>
      <c r="J55" s="392"/>
      <c r="K55" s="395" t="s">
        <v>63</v>
      </c>
      <c r="L55" s="398"/>
      <c r="M55" s="402"/>
      <c r="N55" s="389"/>
      <c r="O55" s="392"/>
      <c r="P55" s="530"/>
      <c r="Q55" s="402"/>
      <c r="R55" s="389"/>
      <c r="S55" s="392"/>
      <c r="T55" s="530"/>
      <c r="U55" s="402"/>
      <c r="V55" s="389"/>
    </row>
    <row r="56" spans="1:22" s="49" customFormat="1" ht="24" customHeight="1">
      <c r="A56" s="109" t="s">
        <v>202</v>
      </c>
      <c r="B56" s="52">
        <v>250</v>
      </c>
      <c r="C56" s="53">
        <v>250</v>
      </c>
      <c r="D56" s="53">
        <v>415</v>
      </c>
      <c r="E56" s="54">
        <v>90</v>
      </c>
      <c r="F56" s="54">
        <v>0</v>
      </c>
      <c r="G56" s="54">
        <v>0</v>
      </c>
      <c r="H56" s="55">
        <v>302</v>
      </c>
      <c r="I56" s="56">
        <f aca="true" t="shared" si="16" ref="I56:I66">B56+D56-H56</f>
        <v>363</v>
      </c>
      <c r="J56" s="52">
        <v>215</v>
      </c>
      <c r="K56" s="53">
        <v>215</v>
      </c>
      <c r="L56" s="53">
        <v>33</v>
      </c>
      <c r="M56" s="54">
        <v>200</v>
      </c>
      <c r="N56" s="55">
        <f aca="true" t="shared" si="17" ref="N56:N66">J56+L56-M56</f>
        <v>48</v>
      </c>
      <c r="O56" s="52">
        <f>200+54</f>
        <v>254</v>
      </c>
      <c r="P56" s="53">
        <f>200+32</f>
        <v>232</v>
      </c>
      <c r="Q56" s="54">
        <v>235</v>
      </c>
      <c r="R56" s="56">
        <f aca="true" t="shared" si="18" ref="R56:R66">O56-Q56</f>
        <v>19</v>
      </c>
      <c r="S56" s="52">
        <f>0+64</f>
        <v>64</v>
      </c>
      <c r="T56" s="53">
        <v>64</v>
      </c>
      <c r="U56" s="54">
        <v>0</v>
      </c>
      <c r="V56" s="56">
        <f aca="true" t="shared" si="19" ref="V56:V66">S56-U56</f>
        <v>64</v>
      </c>
    </row>
    <row r="57" spans="1:22" s="49" customFormat="1" ht="13.5" customHeight="1">
      <c r="A57" s="109" t="s">
        <v>57</v>
      </c>
      <c r="B57" s="45">
        <v>60</v>
      </c>
      <c r="C57" s="46">
        <v>60</v>
      </c>
      <c r="D57" s="46">
        <v>670</v>
      </c>
      <c r="E57" s="47">
        <v>140</v>
      </c>
      <c r="F57" s="47">
        <v>0</v>
      </c>
      <c r="G57" s="47">
        <v>0</v>
      </c>
      <c r="H57" s="48">
        <v>569</v>
      </c>
      <c r="I57" s="32">
        <f t="shared" si="16"/>
        <v>161</v>
      </c>
      <c r="J57" s="45">
        <v>108</v>
      </c>
      <c r="K57" s="46">
        <v>108</v>
      </c>
      <c r="L57" s="46">
        <f>20+33</f>
        <v>53</v>
      </c>
      <c r="M57" s="47">
        <f>60+20</f>
        <v>80</v>
      </c>
      <c r="N57" s="48">
        <f t="shared" si="17"/>
        <v>81</v>
      </c>
      <c r="O57" s="45">
        <f>180+115</f>
        <v>295</v>
      </c>
      <c r="P57" s="46">
        <f>180+115</f>
        <v>295</v>
      </c>
      <c r="Q57" s="47">
        <v>268</v>
      </c>
      <c r="R57" s="32">
        <f t="shared" si="18"/>
        <v>27</v>
      </c>
      <c r="S57" s="45">
        <f>31+16</f>
        <v>47</v>
      </c>
      <c r="T57" s="46">
        <f>31+16</f>
        <v>47</v>
      </c>
      <c r="U57" s="47">
        <v>47</v>
      </c>
      <c r="V57" s="32">
        <f t="shared" si="19"/>
        <v>0</v>
      </c>
    </row>
    <row r="58" spans="1:23" s="49" customFormat="1" ht="30.75" customHeight="1">
      <c r="A58" s="110" t="s">
        <v>149</v>
      </c>
      <c r="B58" s="45">
        <v>1327</v>
      </c>
      <c r="C58" s="332">
        <v>1327</v>
      </c>
      <c r="D58" s="332">
        <v>3574</v>
      </c>
      <c r="E58" s="344">
        <v>1830</v>
      </c>
      <c r="F58" s="344">
        <v>0</v>
      </c>
      <c r="G58" s="344">
        <v>0</v>
      </c>
      <c r="H58" s="345">
        <v>3320</v>
      </c>
      <c r="I58" s="346">
        <f t="shared" si="16"/>
        <v>1581</v>
      </c>
      <c r="J58" s="45">
        <v>128</v>
      </c>
      <c r="K58" s="46">
        <v>128</v>
      </c>
      <c r="L58" s="46">
        <f>417+18</f>
        <v>435</v>
      </c>
      <c r="M58" s="47">
        <f>190+18</f>
        <v>208</v>
      </c>
      <c r="N58" s="48">
        <f t="shared" si="17"/>
        <v>355</v>
      </c>
      <c r="O58" s="45">
        <f>900+739</f>
        <v>1639</v>
      </c>
      <c r="P58" s="46">
        <f>900+541</f>
        <v>1441</v>
      </c>
      <c r="Q58" s="47">
        <v>950</v>
      </c>
      <c r="R58" s="32">
        <f t="shared" si="18"/>
        <v>689</v>
      </c>
      <c r="S58" s="45">
        <f>104+403</f>
        <v>507</v>
      </c>
      <c r="T58" s="46">
        <f>104+403</f>
        <v>507</v>
      </c>
      <c r="U58" s="47">
        <v>250</v>
      </c>
      <c r="V58" s="32">
        <f t="shared" si="19"/>
        <v>257</v>
      </c>
      <c r="W58" s="50"/>
    </row>
    <row r="59" spans="1:22" s="49" customFormat="1" ht="31.5" customHeight="1">
      <c r="A59" s="327" t="s">
        <v>209</v>
      </c>
      <c r="B59" s="45">
        <v>161</v>
      </c>
      <c r="C59" s="332">
        <v>161</v>
      </c>
      <c r="D59" s="332">
        <v>530</v>
      </c>
      <c r="E59" s="344">
        <v>0</v>
      </c>
      <c r="F59" s="344">
        <v>150</v>
      </c>
      <c r="G59" s="344">
        <v>60</v>
      </c>
      <c r="H59" s="345">
        <v>458</v>
      </c>
      <c r="I59" s="346">
        <f t="shared" si="16"/>
        <v>233</v>
      </c>
      <c r="J59" s="45">
        <v>210</v>
      </c>
      <c r="K59" s="46">
        <v>210</v>
      </c>
      <c r="L59" s="46">
        <f>220+29</f>
        <v>249</v>
      </c>
      <c r="M59" s="47">
        <f>350+29</f>
        <v>379</v>
      </c>
      <c r="N59" s="48">
        <f t="shared" si="17"/>
        <v>80</v>
      </c>
      <c r="O59" s="45">
        <f>230+74</f>
        <v>304</v>
      </c>
      <c r="P59" s="46">
        <f>230+47</f>
        <v>277</v>
      </c>
      <c r="Q59" s="47">
        <v>250</v>
      </c>
      <c r="R59" s="32">
        <f t="shared" si="18"/>
        <v>54</v>
      </c>
      <c r="S59" s="45">
        <f>8+81</f>
        <v>89</v>
      </c>
      <c r="T59" s="46">
        <f>8+81</f>
        <v>89</v>
      </c>
      <c r="U59" s="47">
        <v>70</v>
      </c>
      <c r="V59" s="32">
        <f t="shared" si="19"/>
        <v>19</v>
      </c>
    </row>
    <row r="60" spans="1:22" s="49" customFormat="1" ht="22.5" customHeight="1">
      <c r="A60" s="227" t="s">
        <v>96</v>
      </c>
      <c r="B60" s="45">
        <v>122</v>
      </c>
      <c r="C60" s="332">
        <v>122</v>
      </c>
      <c r="D60" s="332">
        <v>2485</v>
      </c>
      <c r="E60" s="344">
        <v>1200</v>
      </c>
      <c r="F60" s="344">
        <v>356</v>
      </c>
      <c r="G60" s="344">
        <v>0</v>
      </c>
      <c r="H60" s="345">
        <v>2407</v>
      </c>
      <c r="I60" s="346">
        <f t="shared" si="16"/>
        <v>200</v>
      </c>
      <c r="J60" s="45">
        <f>209+753</f>
        <v>962</v>
      </c>
      <c r="K60" s="46">
        <f>209+753</f>
        <v>962</v>
      </c>
      <c r="L60" s="46">
        <v>100</v>
      </c>
      <c r="M60" s="47">
        <f>309+753</f>
        <v>1062</v>
      </c>
      <c r="N60" s="48">
        <f t="shared" si="17"/>
        <v>0</v>
      </c>
      <c r="O60" s="45">
        <f>460+406</f>
        <v>866</v>
      </c>
      <c r="P60" s="46">
        <f>460+376</f>
        <v>836</v>
      </c>
      <c r="Q60" s="47">
        <v>866</v>
      </c>
      <c r="R60" s="32">
        <f t="shared" si="18"/>
        <v>0</v>
      </c>
      <c r="S60" s="45">
        <f>45+49</f>
        <v>94</v>
      </c>
      <c r="T60" s="46">
        <f>45+49</f>
        <v>94</v>
      </c>
      <c r="U60" s="47">
        <v>94</v>
      </c>
      <c r="V60" s="32">
        <f t="shared" si="19"/>
        <v>0</v>
      </c>
    </row>
    <row r="61" spans="1:22" s="49" customFormat="1" ht="28.5" customHeight="1">
      <c r="A61" s="327" t="s">
        <v>204</v>
      </c>
      <c r="B61" s="45">
        <v>636</v>
      </c>
      <c r="C61" s="332">
        <v>636</v>
      </c>
      <c r="D61" s="332">
        <v>3605</v>
      </c>
      <c r="E61" s="344">
        <v>1233</v>
      </c>
      <c r="F61" s="344">
        <v>0</v>
      </c>
      <c r="G61" s="344">
        <v>915</v>
      </c>
      <c r="H61" s="345">
        <v>3879</v>
      </c>
      <c r="I61" s="346">
        <f t="shared" si="16"/>
        <v>362</v>
      </c>
      <c r="J61" s="45">
        <f>452+1534</f>
        <v>1986</v>
      </c>
      <c r="K61" s="46">
        <f>452+1534</f>
        <v>1986</v>
      </c>
      <c r="L61" s="46">
        <f>333</f>
        <v>333</v>
      </c>
      <c r="M61" s="47">
        <f>600+1534</f>
        <v>2134</v>
      </c>
      <c r="N61" s="48">
        <f t="shared" si="17"/>
        <v>185</v>
      </c>
      <c r="O61" s="45">
        <f>670+106</f>
        <v>776</v>
      </c>
      <c r="P61" s="46">
        <f>670+106</f>
        <v>776</v>
      </c>
      <c r="Q61" s="47">
        <v>751</v>
      </c>
      <c r="R61" s="32">
        <f t="shared" si="18"/>
        <v>25</v>
      </c>
      <c r="S61" s="45">
        <f>200+953</f>
        <v>1153</v>
      </c>
      <c r="T61" s="46">
        <f>200+953</f>
        <v>1153</v>
      </c>
      <c r="U61" s="47">
        <v>500</v>
      </c>
      <c r="V61" s="32">
        <f t="shared" si="19"/>
        <v>653</v>
      </c>
    </row>
    <row r="62" spans="1:23" s="49" customFormat="1" ht="25.5" customHeight="1">
      <c r="A62" s="327" t="s">
        <v>205</v>
      </c>
      <c r="B62" s="45">
        <v>201</v>
      </c>
      <c r="C62" s="332">
        <v>201</v>
      </c>
      <c r="D62" s="332">
        <v>998</v>
      </c>
      <c r="E62" s="344">
        <v>550</v>
      </c>
      <c r="F62" s="344">
        <v>0</v>
      </c>
      <c r="G62" s="344">
        <v>0</v>
      </c>
      <c r="H62" s="345">
        <v>1069</v>
      </c>
      <c r="I62" s="346">
        <f t="shared" si="16"/>
        <v>130</v>
      </c>
      <c r="J62" s="45">
        <v>482</v>
      </c>
      <c r="K62" s="46">
        <v>482</v>
      </c>
      <c r="L62" s="46">
        <v>414</v>
      </c>
      <c r="M62" s="47">
        <v>800</v>
      </c>
      <c r="N62" s="48">
        <f t="shared" si="17"/>
        <v>96</v>
      </c>
      <c r="O62" s="45">
        <f>430+868</f>
        <v>1298</v>
      </c>
      <c r="P62" s="46">
        <f>430+804</f>
        <v>1234</v>
      </c>
      <c r="Q62" s="47">
        <v>450</v>
      </c>
      <c r="R62" s="32">
        <f t="shared" si="18"/>
        <v>848</v>
      </c>
      <c r="S62" s="45">
        <f>0+512</f>
        <v>512</v>
      </c>
      <c r="T62" s="46">
        <f>0+512</f>
        <v>512</v>
      </c>
      <c r="U62" s="47">
        <v>0</v>
      </c>
      <c r="V62" s="32">
        <f t="shared" si="19"/>
        <v>512</v>
      </c>
      <c r="W62" s="68"/>
    </row>
    <row r="63" spans="1:23" s="49" customFormat="1" ht="27" customHeight="1">
      <c r="A63" s="227" t="s">
        <v>206</v>
      </c>
      <c r="B63" s="45">
        <v>1176</v>
      </c>
      <c r="C63" s="332">
        <v>1176</v>
      </c>
      <c r="D63" s="332">
        <v>873</v>
      </c>
      <c r="E63" s="344">
        <v>200</v>
      </c>
      <c r="F63" s="344">
        <v>0</v>
      </c>
      <c r="G63" s="344">
        <v>1000</v>
      </c>
      <c r="H63" s="347">
        <v>1653</v>
      </c>
      <c r="I63" s="346">
        <f t="shared" si="16"/>
        <v>396</v>
      </c>
      <c r="J63" s="45">
        <f>18+465</f>
        <v>483</v>
      </c>
      <c r="K63" s="46">
        <f>18+465</f>
        <v>483</v>
      </c>
      <c r="L63" s="46">
        <f>16+40</f>
        <v>56</v>
      </c>
      <c r="M63" s="47">
        <f>34+305</f>
        <v>339</v>
      </c>
      <c r="N63" s="48">
        <f t="shared" si="17"/>
        <v>200</v>
      </c>
      <c r="O63" s="45">
        <f>416+329</f>
        <v>745</v>
      </c>
      <c r="P63" s="46">
        <f>416+279</f>
        <v>695</v>
      </c>
      <c r="Q63" s="47">
        <v>600</v>
      </c>
      <c r="R63" s="32">
        <f t="shared" si="18"/>
        <v>145</v>
      </c>
      <c r="S63" s="45">
        <f>3+298</f>
        <v>301</v>
      </c>
      <c r="T63" s="46">
        <f>3+298</f>
        <v>301</v>
      </c>
      <c r="U63" s="47">
        <v>301</v>
      </c>
      <c r="V63" s="32">
        <f t="shared" si="19"/>
        <v>0</v>
      </c>
      <c r="W63" s="68"/>
    </row>
    <row r="64" spans="1:22" s="49" customFormat="1" ht="22.5" customHeight="1">
      <c r="A64" s="198" t="s">
        <v>210</v>
      </c>
      <c r="B64" s="45">
        <v>752</v>
      </c>
      <c r="C64" s="332">
        <v>752</v>
      </c>
      <c r="D64" s="332">
        <v>1400</v>
      </c>
      <c r="E64" s="344">
        <v>520</v>
      </c>
      <c r="F64" s="344">
        <v>0</v>
      </c>
      <c r="G64" s="344">
        <v>0</v>
      </c>
      <c r="H64" s="345">
        <v>1000</v>
      </c>
      <c r="I64" s="346">
        <f t="shared" si="16"/>
        <v>1152</v>
      </c>
      <c r="J64" s="45">
        <f>453+25</f>
        <v>478</v>
      </c>
      <c r="K64" s="46">
        <f>453+25</f>
        <v>478</v>
      </c>
      <c r="L64" s="46">
        <f>250+10</f>
        <v>260</v>
      </c>
      <c r="M64" s="47">
        <f>350+35</f>
        <v>385</v>
      </c>
      <c r="N64" s="48">
        <f t="shared" si="17"/>
        <v>353</v>
      </c>
      <c r="O64" s="45">
        <f>550+357</f>
        <v>907</v>
      </c>
      <c r="P64" s="46">
        <f>550+357</f>
        <v>907</v>
      </c>
      <c r="Q64" s="47">
        <f>907</f>
        <v>907</v>
      </c>
      <c r="R64" s="32">
        <f t="shared" si="18"/>
        <v>0</v>
      </c>
      <c r="S64" s="45">
        <f>46+132</f>
        <v>178</v>
      </c>
      <c r="T64" s="46">
        <f>46+132</f>
        <v>178</v>
      </c>
      <c r="U64" s="47">
        <v>50</v>
      </c>
      <c r="V64" s="32">
        <f t="shared" si="19"/>
        <v>128</v>
      </c>
    </row>
    <row r="65" spans="1:22" s="49" customFormat="1" ht="24" customHeight="1">
      <c r="A65" s="109" t="s">
        <v>207</v>
      </c>
      <c r="B65" s="45">
        <v>610</v>
      </c>
      <c r="C65" s="332">
        <v>525</v>
      </c>
      <c r="D65" s="332">
        <v>958</v>
      </c>
      <c r="E65" s="344">
        <v>0</v>
      </c>
      <c r="F65" s="344">
        <v>0</v>
      </c>
      <c r="G65" s="344">
        <v>0</v>
      </c>
      <c r="H65" s="345">
        <v>524</v>
      </c>
      <c r="I65" s="346">
        <f t="shared" si="16"/>
        <v>1044</v>
      </c>
      <c r="J65" s="45">
        <f>26+179</f>
        <v>205</v>
      </c>
      <c r="K65" s="46">
        <f>26+152</f>
        <v>178</v>
      </c>
      <c r="L65" s="46">
        <f>23+0</f>
        <v>23</v>
      </c>
      <c r="M65" s="47">
        <f>25+179</f>
        <v>204</v>
      </c>
      <c r="N65" s="48">
        <f t="shared" si="17"/>
        <v>24</v>
      </c>
      <c r="O65" s="45">
        <f>406+308</f>
        <v>714</v>
      </c>
      <c r="P65" s="46">
        <f>406+233</f>
        <v>639</v>
      </c>
      <c r="Q65" s="47">
        <f>510</f>
        <v>510</v>
      </c>
      <c r="R65" s="32">
        <f t="shared" si="18"/>
        <v>204</v>
      </c>
      <c r="S65" s="45">
        <f>0+22</f>
        <v>22</v>
      </c>
      <c r="T65" s="46">
        <f>0+22</f>
        <v>22</v>
      </c>
      <c r="U65" s="47">
        <v>0</v>
      </c>
      <c r="V65" s="32">
        <f t="shared" si="19"/>
        <v>22</v>
      </c>
    </row>
    <row r="66" spans="1:22" s="49" customFormat="1" ht="25.5" customHeight="1" thickBot="1">
      <c r="A66" s="198" t="s">
        <v>208</v>
      </c>
      <c r="B66" s="45">
        <v>251</v>
      </c>
      <c r="C66" s="332">
        <v>251</v>
      </c>
      <c r="D66" s="332">
        <v>136</v>
      </c>
      <c r="E66" s="344">
        <v>0</v>
      </c>
      <c r="F66" s="344">
        <v>0</v>
      </c>
      <c r="G66" s="344">
        <v>0</v>
      </c>
      <c r="H66" s="345">
        <v>83</v>
      </c>
      <c r="I66" s="346">
        <f t="shared" si="16"/>
        <v>304</v>
      </c>
      <c r="J66" s="45">
        <v>271</v>
      </c>
      <c r="K66" s="46">
        <v>271</v>
      </c>
      <c r="L66" s="46">
        <v>93</v>
      </c>
      <c r="M66" s="47">
        <v>0</v>
      </c>
      <c r="N66" s="48">
        <f t="shared" si="17"/>
        <v>364</v>
      </c>
      <c r="O66" s="45">
        <f>205+43</f>
        <v>248</v>
      </c>
      <c r="P66" s="46">
        <f>205+43</f>
        <v>248</v>
      </c>
      <c r="Q66" s="47">
        <f>248</f>
        <v>248</v>
      </c>
      <c r="R66" s="32">
        <f t="shared" si="18"/>
        <v>0</v>
      </c>
      <c r="S66" s="45">
        <f>53+78.5</f>
        <v>131.5</v>
      </c>
      <c r="T66" s="46">
        <f>53+78.5</f>
        <v>131.5</v>
      </c>
      <c r="U66" s="47">
        <v>5</v>
      </c>
      <c r="V66" s="32">
        <f t="shared" si="19"/>
        <v>126.5</v>
      </c>
    </row>
    <row r="67" spans="1:28" s="10" customFormat="1" ht="13.5" thickBot="1">
      <c r="A67" s="21" t="s">
        <v>18</v>
      </c>
      <c r="B67" s="18">
        <f>SUM(B68:B83)</f>
        <v>13027</v>
      </c>
      <c r="C67" s="18">
        <f>SUM(C68:C83)</f>
        <v>13181</v>
      </c>
      <c r="D67" s="19">
        <f aca="true" t="shared" si="20" ref="D67:V67">SUM(D68:D83)</f>
        <v>24957</v>
      </c>
      <c r="E67" s="19">
        <f t="shared" si="20"/>
        <v>6567</v>
      </c>
      <c r="F67" s="19">
        <f t="shared" si="20"/>
        <v>2500</v>
      </c>
      <c r="G67" s="19">
        <f t="shared" si="20"/>
        <v>2500</v>
      </c>
      <c r="H67" s="19">
        <f t="shared" si="20"/>
        <v>24438</v>
      </c>
      <c r="I67" s="20">
        <f t="shared" si="20"/>
        <v>13546</v>
      </c>
      <c r="J67" s="18">
        <f t="shared" si="20"/>
        <v>8619</v>
      </c>
      <c r="K67" s="19">
        <f t="shared" si="20"/>
        <v>8619</v>
      </c>
      <c r="L67" s="19">
        <f t="shared" si="20"/>
        <v>1849</v>
      </c>
      <c r="M67" s="19">
        <f t="shared" si="20"/>
        <v>4055</v>
      </c>
      <c r="N67" s="20">
        <f t="shared" si="20"/>
        <v>6413</v>
      </c>
      <c r="O67" s="18">
        <f t="shared" si="20"/>
        <v>13736</v>
      </c>
      <c r="P67" s="19">
        <f t="shared" si="20"/>
        <v>13136</v>
      </c>
      <c r="Q67" s="19">
        <f t="shared" si="20"/>
        <v>8789</v>
      </c>
      <c r="R67" s="20">
        <f t="shared" si="20"/>
        <v>4947</v>
      </c>
      <c r="S67" s="18">
        <f t="shared" si="20"/>
        <v>5398</v>
      </c>
      <c r="T67" s="19">
        <f t="shared" si="20"/>
        <v>5398</v>
      </c>
      <c r="U67" s="19">
        <f t="shared" si="20"/>
        <v>1679</v>
      </c>
      <c r="V67" s="20">
        <f t="shared" si="20"/>
        <v>3719</v>
      </c>
      <c r="W67" s="36"/>
      <c r="X67" s="9"/>
      <c r="Y67" s="9"/>
      <c r="Z67" s="9"/>
      <c r="AA67" s="9"/>
      <c r="AB67" s="9"/>
    </row>
    <row r="68" spans="1:25" s="74" customFormat="1" ht="12.75">
      <c r="A68" s="78" t="s">
        <v>103</v>
      </c>
      <c r="B68" s="52">
        <v>180</v>
      </c>
      <c r="C68" s="53">
        <v>180</v>
      </c>
      <c r="D68" s="53">
        <v>1898</v>
      </c>
      <c r="E68" s="54">
        <v>1550</v>
      </c>
      <c r="F68" s="54">
        <v>0</v>
      </c>
      <c r="G68" s="54">
        <v>0</v>
      </c>
      <c r="H68" s="55">
        <f>1550+295</f>
        <v>1845</v>
      </c>
      <c r="I68" s="56">
        <f aca="true" t="shared" si="21" ref="I68:I83">B68+D68-H68</f>
        <v>233</v>
      </c>
      <c r="J68" s="52">
        <v>33</v>
      </c>
      <c r="K68" s="53">
        <v>33</v>
      </c>
      <c r="L68" s="53">
        <v>56</v>
      </c>
      <c r="M68" s="54">
        <v>50</v>
      </c>
      <c r="N68" s="55">
        <f aca="true" t="shared" si="22" ref="N68:N83">J68+L68-M68</f>
        <v>39</v>
      </c>
      <c r="O68" s="52">
        <f>585+250</f>
        <v>835</v>
      </c>
      <c r="P68" s="53">
        <f>250+386</f>
        <v>636</v>
      </c>
      <c r="Q68" s="54">
        <v>323</v>
      </c>
      <c r="R68" s="56">
        <f aca="true" t="shared" si="23" ref="R68:R83">O68-Q68</f>
        <v>512</v>
      </c>
      <c r="S68" s="52">
        <f>13+107</f>
        <v>120</v>
      </c>
      <c r="T68" s="54">
        <f>13+107</f>
        <v>120</v>
      </c>
      <c r="U68" s="54">
        <v>0</v>
      </c>
      <c r="V68" s="56">
        <f aca="true" t="shared" si="24" ref="V68:V83">S68-U68</f>
        <v>120</v>
      </c>
      <c r="Y68" s="74" t="s">
        <v>16</v>
      </c>
    </row>
    <row r="69" spans="1:22" s="49" customFormat="1" ht="12.75">
      <c r="A69" s="44" t="s">
        <v>150</v>
      </c>
      <c r="B69" s="45">
        <v>923</v>
      </c>
      <c r="C69" s="46">
        <v>963</v>
      </c>
      <c r="D69" s="46">
        <v>2022</v>
      </c>
      <c r="E69" s="47">
        <v>176</v>
      </c>
      <c r="F69" s="47">
        <v>0</v>
      </c>
      <c r="G69" s="47">
        <v>0</v>
      </c>
      <c r="H69" s="48">
        <f>176+2471</f>
        <v>2647</v>
      </c>
      <c r="I69" s="32">
        <f t="shared" si="21"/>
        <v>298</v>
      </c>
      <c r="J69" s="45">
        <f>734+152</f>
        <v>886</v>
      </c>
      <c r="K69" s="46">
        <f>152+734</f>
        <v>886</v>
      </c>
      <c r="L69" s="46">
        <v>72</v>
      </c>
      <c r="M69" s="47">
        <f>152+500</f>
        <v>652</v>
      </c>
      <c r="N69" s="48">
        <f t="shared" si="22"/>
        <v>306</v>
      </c>
      <c r="O69" s="45">
        <f>489+103</f>
        <v>592</v>
      </c>
      <c r="P69" s="46">
        <f>489+86</f>
        <v>575</v>
      </c>
      <c r="Q69" s="47">
        <v>592</v>
      </c>
      <c r="R69" s="32">
        <f t="shared" si="23"/>
        <v>0</v>
      </c>
      <c r="S69" s="45">
        <f>169+426</f>
        <v>595</v>
      </c>
      <c r="T69" s="47">
        <f>169+426</f>
        <v>595</v>
      </c>
      <c r="U69" s="47">
        <v>595</v>
      </c>
      <c r="V69" s="32">
        <f t="shared" si="24"/>
        <v>0</v>
      </c>
    </row>
    <row r="70" spans="1:22" s="49" customFormat="1" ht="22.5">
      <c r="A70" s="109" t="s">
        <v>224</v>
      </c>
      <c r="B70" s="45">
        <v>1151</v>
      </c>
      <c r="C70" s="46">
        <v>1265</v>
      </c>
      <c r="D70" s="46">
        <v>2188</v>
      </c>
      <c r="E70" s="47">
        <v>680</v>
      </c>
      <c r="F70" s="47">
        <v>400</v>
      </c>
      <c r="G70" s="47">
        <v>120</v>
      </c>
      <c r="H70" s="48">
        <f>845+680+400+120</f>
        <v>2045</v>
      </c>
      <c r="I70" s="32">
        <f t="shared" si="21"/>
        <v>1294</v>
      </c>
      <c r="J70" s="45">
        <v>630</v>
      </c>
      <c r="K70" s="46">
        <v>630</v>
      </c>
      <c r="L70" s="46">
        <v>26</v>
      </c>
      <c r="M70" s="47">
        <v>16</v>
      </c>
      <c r="N70" s="48">
        <f t="shared" si="22"/>
        <v>640</v>
      </c>
      <c r="O70" s="45">
        <f>410+186</f>
        <v>596</v>
      </c>
      <c r="P70" s="46">
        <f>410+96</f>
        <v>506</v>
      </c>
      <c r="Q70" s="47">
        <v>400</v>
      </c>
      <c r="R70" s="32">
        <f t="shared" si="23"/>
        <v>196</v>
      </c>
      <c r="S70" s="45">
        <f>25+174</f>
        <v>199</v>
      </c>
      <c r="T70" s="46">
        <f>25+174</f>
        <v>199</v>
      </c>
      <c r="U70" s="47">
        <v>0</v>
      </c>
      <c r="V70" s="32">
        <f t="shared" si="24"/>
        <v>199</v>
      </c>
    </row>
    <row r="71" spans="1:22" s="49" customFormat="1" ht="12.75">
      <c r="A71" s="44" t="s">
        <v>34</v>
      </c>
      <c r="B71" s="45">
        <v>640</v>
      </c>
      <c r="C71" s="46">
        <v>640</v>
      </c>
      <c r="D71" s="46">
        <v>1447</v>
      </c>
      <c r="E71" s="47">
        <v>310</v>
      </c>
      <c r="F71" s="47">
        <v>0</v>
      </c>
      <c r="G71" s="47">
        <v>40</v>
      </c>
      <c r="H71" s="48">
        <f>310+40+760</f>
        <v>1110</v>
      </c>
      <c r="I71" s="32">
        <f t="shared" si="21"/>
        <v>977</v>
      </c>
      <c r="J71" s="45">
        <v>746</v>
      </c>
      <c r="K71" s="46">
        <v>746</v>
      </c>
      <c r="L71" s="46">
        <v>300</v>
      </c>
      <c r="M71" s="47">
        <v>0</v>
      </c>
      <c r="N71" s="48">
        <f t="shared" si="22"/>
        <v>1046</v>
      </c>
      <c r="O71" s="45">
        <f>554+570</f>
        <v>1124</v>
      </c>
      <c r="P71" s="46">
        <f>545+554</f>
        <v>1099</v>
      </c>
      <c r="Q71" s="47">
        <v>969</v>
      </c>
      <c r="R71" s="32">
        <f t="shared" si="23"/>
        <v>155</v>
      </c>
      <c r="S71" s="45">
        <f>100+1095</f>
        <v>1195</v>
      </c>
      <c r="T71" s="47">
        <f>100+1095</f>
        <v>1195</v>
      </c>
      <c r="U71" s="47">
        <v>0</v>
      </c>
      <c r="V71" s="32">
        <f t="shared" si="24"/>
        <v>1195</v>
      </c>
    </row>
    <row r="72" spans="1:22" s="49" customFormat="1" ht="12.75">
      <c r="A72" s="44" t="s">
        <v>154</v>
      </c>
      <c r="B72" s="45">
        <v>151</v>
      </c>
      <c r="C72" s="46">
        <v>151</v>
      </c>
      <c r="D72" s="46">
        <v>630</v>
      </c>
      <c r="E72" s="47">
        <v>0</v>
      </c>
      <c r="F72" s="47">
        <v>0</v>
      </c>
      <c r="G72" s="47">
        <v>0</v>
      </c>
      <c r="H72" s="48">
        <v>393</v>
      </c>
      <c r="I72" s="32">
        <f t="shared" si="21"/>
        <v>388</v>
      </c>
      <c r="J72" s="45">
        <v>115</v>
      </c>
      <c r="K72" s="46">
        <v>115</v>
      </c>
      <c r="L72" s="46">
        <v>32</v>
      </c>
      <c r="M72" s="47">
        <v>0</v>
      </c>
      <c r="N72" s="48">
        <f t="shared" si="22"/>
        <v>147</v>
      </c>
      <c r="O72" s="45">
        <f>290+458</f>
        <v>748</v>
      </c>
      <c r="P72" s="46">
        <f>290+437</f>
        <v>727</v>
      </c>
      <c r="Q72" s="47">
        <v>338</v>
      </c>
      <c r="R72" s="32">
        <f t="shared" si="23"/>
        <v>410</v>
      </c>
      <c r="S72" s="45">
        <v>61</v>
      </c>
      <c r="T72" s="47">
        <v>61</v>
      </c>
      <c r="U72" s="47">
        <v>0</v>
      </c>
      <c r="V72" s="32">
        <f t="shared" si="24"/>
        <v>61</v>
      </c>
    </row>
    <row r="73" spans="1:22" s="49" customFormat="1" ht="12.75">
      <c r="A73" s="44" t="s">
        <v>155</v>
      </c>
      <c r="B73" s="45">
        <v>2290</v>
      </c>
      <c r="C73" s="46">
        <v>2290</v>
      </c>
      <c r="D73" s="46">
        <v>2334</v>
      </c>
      <c r="E73" s="47">
        <v>0</v>
      </c>
      <c r="F73" s="47">
        <v>1050</v>
      </c>
      <c r="G73" s="47">
        <v>0</v>
      </c>
      <c r="H73" s="48">
        <f>1740+1050</f>
        <v>2790</v>
      </c>
      <c r="I73" s="32">
        <f t="shared" si="21"/>
        <v>1834</v>
      </c>
      <c r="J73" s="45">
        <v>314</v>
      </c>
      <c r="K73" s="46">
        <v>314</v>
      </c>
      <c r="L73" s="46">
        <v>194</v>
      </c>
      <c r="M73" s="47">
        <v>0</v>
      </c>
      <c r="N73" s="48">
        <f t="shared" si="22"/>
        <v>508</v>
      </c>
      <c r="O73" s="45">
        <f>803+941</f>
        <v>1744</v>
      </c>
      <c r="P73" s="46">
        <f>803+899</f>
        <v>1702</v>
      </c>
      <c r="Q73" s="47">
        <v>850</v>
      </c>
      <c r="R73" s="32">
        <f t="shared" si="23"/>
        <v>894</v>
      </c>
      <c r="S73" s="45">
        <v>631</v>
      </c>
      <c r="T73" s="47">
        <v>631</v>
      </c>
      <c r="U73" s="47">
        <v>0</v>
      </c>
      <c r="V73" s="32">
        <f t="shared" si="24"/>
        <v>631</v>
      </c>
    </row>
    <row r="74" spans="1:22" s="49" customFormat="1" ht="12.75">
      <c r="A74" s="44" t="s">
        <v>35</v>
      </c>
      <c r="B74" s="45">
        <v>247</v>
      </c>
      <c r="C74" s="46">
        <v>247</v>
      </c>
      <c r="D74" s="46">
        <f>1094+30</f>
        <v>1124</v>
      </c>
      <c r="E74" s="47">
        <v>661</v>
      </c>
      <c r="F74" s="47">
        <v>0</v>
      </c>
      <c r="G74" s="47">
        <v>200</v>
      </c>
      <c r="H74" s="48">
        <f>661+200+330</f>
        <v>1191</v>
      </c>
      <c r="I74" s="32">
        <f t="shared" si="21"/>
        <v>180</v>
      </c>
      <c r="J74" s="45">
        <f>17+16</f>
        <v>33</v>
      </c>
      <c r="K74" s="46">
        <f>17+16</f>
        <v>33</v>
      </c>
      <c r="L74" s="46">
        <f>46+35</f>
        <v>81</v>
      </c>
      <c r="M74" s="47">
        <v>65</v>
      </c>
      <c r="N74" s="48">
        <f t="shared" si="22"/>
        <v>49</v>
      </c>
      <c r="O74" s="45">
        <f>410+775</f>
        <v>1185</v>
      </c>
      <c r="P74" s="46">
        <f>410+775</f>
        <v>1185</v>
      </c>
      <c r="Q74" s="47">
        <v>435</v>
      </c>
      <c r="R74" s="32">
        <f t="shared" si="23"/>
        <v>750</v>
      </c>
      <c r="S74" s="45">
        <f>26+280</f>
        <v>306</v>
      </c>
      <c r="T74" s="47">
        <f>26+280</f>
        <v>306</v>
      </c>
      <c r="U74" s="47">
        <v>0</v>
      </c>
      <c r="V74" s="32">
        <f t="shared" si="24"/>
        <v>306</v>
      </c>
    </row>
    <row r="75" spans="1:22" s="49" customFormat="1" ht="12.75">
      <c r="A75" s="44" t="s">
        <v>36</v>
      </c>
      <c r="B75" s="45">
        <v>182</v>
      </c>
      <c r="C75" s="46">
        <v>182</v>
      </c>
      <c r="D75" s="46">
        <v>1443</v>
      </c>
      <c r="E75" s="47">
        <v>80</v>
      </c>
      <c r="F75" s="47">
        <v>0</v>
      </c>
      <c r="G75" s="47">
        <v>700</v>
      </c>
      <c r="H75" s="48">
        <f>773+80+700</f>
        <v>1553</v>
      </c>
      <c r="I75" s="32">
        <f t="shared" si="21"/>
        <v>72</v>
      </c>
      <c r="J75" s="45">
        <v>4</v>
      </c>
      <c r="K75" s="46">
        <v>4</v>
      </c>
      <c r="L75" s="46">
        <v>49</v>
      </c>
      <c r="M75" s="47">
        <f>49+1</f>
        <v>50</v>
      </c>
      <c r="N75" s="48">
        <f t="shared" si="22"/>
        <v>3</v>
      </c>
      <c r="O75" s="45">
        <f>498+96</f>
        <v>594</v>
      </c>
      <c r="P75" s="46">
        <f>498+117</f>
        <v>615</v>
      </c>
      <c r="Q75" s="47">
        <v>578</v>
      </c>
      <c r="R75" s="32">
        <f t="shared" si="23"/>
        <v>16</v>
      </c>
      <c r="S75" s="45">
        <v>161</v>
      </c>
      <c r="T75" s="47">
        <v>161</v>
      </c>
      <c r="U75" s="47">
        <v>60</v>
      </c>
      <c r="V75" s="32">
        <f t="shared" si="24"/>
        <v>101</v>
      </c>
    </row>
    <row r="76" spans="1:22" s="49" customFormat="1" ht="12.75">
      <c r="A76" s="44" t="s">
        <v>37</v>
      </c>
      <c r="B76" s="45">
        <v>563</v>
      </c>
      <c r="C76" s="46">
        <v>563</v>
      </c>
      <c r="D76" s="46">
        <v>2428</v>
      </c>
      <c r="E76" s="47">
        <v>750</v>
      </c>
      <c r="F76" s="47">
        <v>0</v>
      </c>
      <c r="G76" s="47">
        <v>590</v>
      </c>
      <c r="H76" s="48">
        <f>948+750+590</f>
        <v>2288</v>
      </c>
      <c r="I76" s="32">
        <f t="shared" si="21"/>
        <v>703</v>
      </c>
      <c r="J76" s="45">
        <f>499+29</f>
        <v>528</v>
      </c>
      <c r="K76" s="46">
        <f>499+29</f>
        <v>528</v>
      </c>
      <c r="L76" s="46">
        <f>258</f>
        <v>258</v>
      </c>
      <c r="M76" s="47">
        <v>160</v>
      </c>
      <c r="N76" s="48">
        <f t="shared" si="22"/>
        <v>626</v>
      </c>
      <c r="O76" s="45">
        <f>800+490</f>
        <v>1290</v>
      </c>
      <c r="P76" s="46">
        <f>800+490</f>
        <v>1290</v>
      </c>
      <c r="Q76" s="47">
        <v>700</v>
      </c>
      <c r="R76" s="32">
        <f t="shared" si="23"/>
        <v>590</v>
      </c>
      <c r="S76" s="45">
        <f>50+157</f>
        <v>207</v>
      </c>
      <c r="T76" s="47">
        <f>50+157</f>
        <v>207</v>
      </c>
      <c r="U76" s="47">
        <v>10</v>
      </c>
      <c r="V76" s="32">
        <f t="shared" si="24"/>
        <v>197</v>
      </c>
    </row>
    <row r="77" spans="1:22" s="49" customFormat="1" ht="12.75">
      <c r="A77" s="44" t="s">
        <v>156</v>
      </c>
      <c r="B77" s="45">
        <v>2065</v>
      </c>
      <c r="C77" s="46">
        <v>2065</v>
      </c>
      <c r="D77" s="46">
        <v>1052</v>
      </c>
      <c r="E77" s="47">
        <v>0</v>
      </c>
      <c r="F77" s="47">
        <v>0</v>
      </c>
      <c r="G77" s="47">
        <v>0</v>
      </c>
      <c r="H77" s="48">
        <f>522</f>
        <v>522</v>
      </c>
      <c r="I77" s="32">
        <f t="shared" si="21"/>
        <v>2595</v>
      </c>
      <c r="J77" s="45">
        <v>2334</v>
      </c>
      <c r="K77" s="46">
        <v>2334</v>
      </c>
      <c r="L77" s="46">
        <v>131</v>
      </c>
      <c r="M77" s="47">
        <v>500</v>
      </c>
      <c r="N77" s="48">
        <f t="shared" si="22"/>
        <v>1965</v>
      </c>
      <c r="O77" s="45">
        <f>210+270</f>
        <v>480</v>
      </c>
      <c r="P77" s="46">
        <f>210+225</f>
        <v>435</v>
      </c>
      <c r="Q77" s="47">
        <v>271</v>
      </c>
      <c r="R77" s="32">
        <f t="shared" si="23"/>
        <v>209</v>
      </c>
      <c r="S77" s="45">
        <f>523+521</f>
        <v>1044</v>
      </c>
      <c r="T77" s="47">
        <f>523+521</f>
        <v>1044</v>
      </c>
      <c r="U77" s="47">
        <v>800</v>
      </c>
      <c r="V77" s="32">
        <f t="shared" si="24"/>
        <v>244</v>
      </c>
    </row>
    <row r="78" spans="1:22" s="49" customFormat="1" ht="12.75">
      <c r="A78" s="72" t="s">
        <v>38</v>
      </c>
      <c r="B78" s="39">
        <v>690</v>
      </c>
      <c r="C78" s="40">
        <v>690</v>
      </c>
      <c r="D78" s="40">
        <v>979</v>
      </c>
      <c r="E78" s="41">
        <v>273</v>
      </c>
      <c r="F78" s="41">
        <v>0</v>
      </c>
      <c r="G78" s="41">
        <v>250</v>
      </c>
      <c r="H78" s="42">
        <f>273+511+250</f>
        <v>1034</v>
      </c>
      <c r="I78" s="43">
        <f t="shared" si="21"/>
        <v>635</v>
      </c>
      <c r="J78" s="39">
        <v>95</v>
      </c>
      <c r="K78" s="40">
        <v>95</v>
      </c>
      <c r="L78" s="40">
        <f>65+14</f>
        <v>79</v>
      </c>
      <c r="M78" s="41">
        <v>100</v>
      </c>
      <c r="N78" s="42">
        <f t="shared" si="22"/>
        <v>74</v>
      </c>
      <c r="O78" s="39">
        <f>520+467</f>
        <v>987</v>
      </c>
      <c r="P78" s="40">
        <f>520+467</f>
        <v>987</v>
      </c>
      <c r="Q78" s="41">
        <v>770</v>
      </c>
      <c r="R78" s="43">
        <f t="shared" si="23"/>
        <v>217</v>
      </c>
      <c r="S78" s="39">
        <v>3</v>
      </c>
      <c r="T78" s="41">
        <v>3</v>
      </c>
      <c r="U78" s="41">
        <v>0</v>
      </c>
      <c r="V78" s="43">
        <f t="shared" si="24"/>
        <v>3</v>
      </c>
    </row>
    <row r="79" spans="1:23" s="49" customFormat="1" ht="12.75">
      <c r="A79" s="72" t="s">
        <v>157</v>
      </c>
      <c r="B79" s="39">
        <v>975</v>
      </c>
      <c r="C79" s="40">
        <v>975</v>
      </c>
      <c r="D79" s="40">
        <v>1315</v>
      </c>
      <c r="E79" s="41">
        <v>469</v>
      </c>
      <c r="F79" s="41">
        <v>0</v>
      </c>
      <c r="G79" s="41">
        <v>0</v>
      </c>
      <c r="H79" s="42">
        <f>661+469+495</f>
        <v>1625</v>
      </c>
      <c r="I79" s="43">
        <f t="shared" si="21"/>
        <v>665</v>
      </c>
      <c r="J79" s="39">
        <v>438</v>
      </c>
      <c r="K79" s="40">
        <v>438</v>
      </c>
      <c r="L79" s="40">
        <v>132</v>
      </c>
      <c r="M79" s="41">
        <v>0</v>
      </c>
      <c r="N79" s="42">
        <f t="shared" si="22"/>
        <v>570</v>
      </c>
      <c r="O79" s="39">
        <f>400+179</f>
        <v>579</v>
      </c>
      <c r="P79" s="40">
        <f>400+179</f>
        <v>579</v>
      </c>
      <c r="Q79" s="41">
        <v>579</v>
      </c>
      <c r="R79" s="43">
        <f t="shared" si="23"/>
        <v>0</v>
      </c>
      <c r="S79" s="39">
        <f>33+180</f>
        <v>213</v>
      </c>
      <c r="T79" s="41">
        <f>33+180</f>
        <v>213</v>
      </c>
      <c r="U79" s="41">
        <v>14</v>
      </c>
      <c r="V79" s="43">
        <f t="shared" si="24"/>
        <v>199</v>
      </c>
      <c r="W79" s="68"/>
    </row>
    <row r="80" spans="1:22" s="49" customFormat="1" ht="12.75">
      <c r="A80" s="72" t="s">
        <v>39</v>
      </c>
      <c r="B80" s="39">
        <v>136</v>
      </c>
      <c r="C80" s="40">
        <v>136</v>
      </c>
      <c r="D80" s="40">
        <f>1079+170</f>
        <v>1249</v>
      </c>
      <c r="E80" s="41">
        <v>0</v>
      </c>
      <c r="F80" s="41">
        <v>0</v>
      </c>
      <c r="G80" s="41">
        <v>0</v>
      </c>
      <c r="H80" s="42">
        <f>619</f>
        <v>619</v>
      </c>
      <c r="I80" s="43">
        <f t="shared" si="21"/>
        <v>766</v>
      </c>
      <c r="J80" s="39">
        <v>278</v>
      </c>
      <c r="K80" s="40">
        <v>278</v>
      </c>
      <c r="L80" s="40">
        <v>19</v>
      </c>
      <c r="M80" s="41">
        <v>200</v>
      </c>
      <c r="N80" s="42">
        <f t="shared" si="22"/>
        <v>97</v>
      </c>
      <c r="O80" s="39">
        <f>384+62</f>
        <v>446</v>
      </c>
      <c r="P80" s="40">
        <f>384+62</f>
        <v>446</v>
      </c>
      <c r="Q80" s="41">
        <v>446</v>
      </c>
      <c r="R80" s="43">
        <f t="shared" si="23"/>
        <v>0</v>
      </c>
      <c r="S80" s="39">
        <f>1+4</f>
        <v>5</v>
      </c>
      <c r="T80" s="41">
        <f>1+4</f>
        <v>5</v>
      </c>
      <c r="U80" s="41">
        <v>0</v>
      </c>
      <c r="V80" s="43">
        <f t="shared" si="24"/>
        <v>5</v>
      </c>
    </row>
    <row r="81" spans="1:22" s="49" customFormat="1" ht="12.75">
      <c r="A81" s="72" t="s">
        <v>40</v>
      </c>
      <c r="B81" s="39">
        <v>712</v>
      </c>
      <c r="C81" s="40">
        <v>712</v>
      </c>
      <c r="D81" s="40">
        <f>1453+1000</f>
        <v>2453</v>
      </c>
      <c r="E81" s="41">
        <v>407</v>
      </c>
      <c r="F81" s="41">
        <v>1050</v>
      </c>
      <c r="G81" s="41">
        <v>100</v>
      </c>
      <c r="H81" s="42">
        <f>675+407+1050+100</f>
        <v>2232</v>
      </c>
      <c r="I81" s="43">
        <f t="shared" si="21"/>
        <v>933</v>
      </c>
      <c r="J81" s="39">
        <v>844</v>
      </c>
      <c r="K81" s="40">
        <v>844</v>
      </c>
      <c r="L81" s="40">
        <v>369</v>
      </c>
      <c r="M81" s="41">
        <v>1100</v>
      </c>
      <c r="N81" s="42">
        <f t="shared" si="22"/>
        <v>113</v>
      </c>
      <c r="O81" s="39">
        <f>350+828</f>
        <v>1178</v>
      </c>
      <c r="P81" s="40">
        <f>350+669</f>
        <v>1019</v>
      </c>
      <c r="Q81" s="41">
        <v>468</v>
      </c>
      <c r="R81" s="43">
        <f t="shared" si="23"/>
        <v>710</v>
      </c>
      <c r="S81" s="39">
        <v>256</v>
      </c>
      <c r="T81" s="41">
        <v>256</v>
      </c>
      <c r="U81" s="41">
        <v>0</v>
      </c>
      <c r="V81" s="43">
        <f t="shared" si="24"/>
        <v>256</v>
      </c>
    </row>
    <row r="82" spans="1:22" s="49" customFormat="1" ht="12.75">
      <c r="A82" s="72" t="s">
        <v>158</v>
      </c>
      <c r="B82" s="39">
        <v>1661</v>
      </c>
      <c r="C82" s="40">
        <v>1661</v>
      </c>
      <c r="D82" s="40">
        <f>1719</f>
        <v>1719</v>
      </c>
      <c r="E82" s="41">
        <v>1081</v>
      </c>
      <c r="F82" s="41">
        <v>0</v>
      </c>
      <c r="G82" s="41">
        <v>500</v>
      </c>
      <c r="H82" s="42">
        <f>417+1081+500</f>
        <v>1998</v>
      </c>
      <c r="I82" s="43">
        <f t="shared" si="21"/>
        <v>1382</v>
      </c>
      <c r="J82" s="39">
        <f>629+500</f>
        <v>1129</v>
      </c>
      <c r="K82" s="40">
        <f>629+500</f>
        <v>1129</v>
      </c>
      <c r="L82" s="40">
        <v>51</v>
      </c>
      <c r="M82" s="41">
        <f>450+500</f>
        <v>950</v>
      </c>
      <c r="N82" s="42">
        <f t="shared" si="22"/>
        <v>230</v>
      </c>
      <c r="O82" s="39">
        <f>431+400</f>
        <v>831</v>
      </c>
      <c r="P82" s="40">
        <f>431+400</f>
        <v>831</v>
      </c>
      <c r="Q82" s="41">
        <v>619</v>
      </c>
      <c r="R82" s="43">
        <f t="shared" si="23"/>
        <v>212</v>
      </c>
      <c r="S82" s="39">
        <v>399</v>
      </c>
      <c r="T82" s="41">
        <v>399</v>
      </c>
      <c r="U82" s="41">
        <v>200</v>
      </c>
      <c r="V82" s="43">
        <f t="shared" si="24"/>
        <v>199</v>
      </c>
    </row>
    <row r="83" spans="1:22" s="49" customFormat="1" ht="13.5" thickBot="1">
      <c r="A83" s="72" t="s">
        <v>159</v>
      </c>
      <c r="B83" s="39">
        <v>461</v>
      </c>
      <c r="C83" s="40">
        <v>461</v>
      </c>
      <c r="D83" s="40">
        <v>676</v>
      </c>
      <c r="E83" s="41">
        <v>130</v>
      </c>
      <c r="F83" s="41">
        <v>0</v>
      </c>
      <c r="G83" s="41">
        <v>0</v>
      </c>
      <c r="H83" s="42">
        <f>416+130</f>
        <v>546</v>
      </c>
      <c r="I83" s="43">
        <f t="shared" si="21"/>
        <v>591</v>
      </c>
      <c r="J83" s="39">
        <v>212</v>
      </c>
      <c r="K83" s="40">
        <v>212</v>
      </c>
      <c r="L83" s="40">
        <v>0</v>
      </c>
      <c r="M83" s="41">
        <v>212</v>
      </c>
      <c r="N83" s="42">
        <f t="shared" si="22"/>
        <v>0</v>
      </c>
      <c r="O83" s="39">
        <f>267+260</f>
        <v>527</v>
      </c>
      <c r="P83" s="40">
        <f>260+244</f>
        <v>504</v>
      </c>
      <c r="Q83" s="41">
        <v>451</v>
      </c>
      <c r="R83" s="43">
        <f t="shared" si="23"/>
        <v>76</v>
      </c>
      <c r="S83" s="39">
        <v>3</v>
      </c>
      <c r="T83" s="41">
        <v>3</v>
      </c>
      <c r="U83" s="41">
        <v>0</v>
      </c>
      <c r="V83" s="43">
        <f t="shared" si="24"/>
        <v>3</v>
      </c>
    </row>
    <row r="84" spans="1:256" s="7" customFormat="1" ht="13.5" thickBot="1">
      <c r="A84" s="21" t="s">
        <v>41</v>
      </c>
      <c r="B84" s="18">
        <f>SUM(B85)</f>
        <v>29</v>
      </c>
      <c r="C84" s="19">
        <f aca="true" t="shared" si="25" ref="C84:V84">SUM(C85)</f>
        <v>29</v>
      </c>
      <c r="D84" s="19">
        <f t="shared" si="25"/>
        <v>416</v>
      </c>
      <c r="E84" s="19">
        <f t="shared" si="25"/>
        <v>0</v>
      </c>
      <c r="F84" s="19">
        <f t="shared" si="25"/>
        <v>0</v>
      </c>
      <c r="G84" s="19">
        <f t="shared" si="25"/>
        <v>0</v>
      </c>
      <c r="H84" s="19">
        <f t="shared" si="25"/>
        <v>177</v>
      </c>
      <c r="I84" s="20">
        <f t="shared" si="25"/>
        <v>268</v>
      </c>
      <c r="J84" s="18">
        <f t="shared" si="25"/>
        <v>65</v>
      </c>
      <c r="K84" s="19">
        <f t="shared" si="25"/>
        <v>65</v>
      </c>
      <c r="L84" s="19">
        <f t="shared" si="25"/>
        <v>8</v>
      </c>
      <c r="M84" s="19">
        <f t="shared" si="25"/>
        <v>2</v>
      </c>
      <c r="N84" s="20">
        <f t="shared" si="25"/>
        <v>71</v>
      </c>
      <c r="O84" s="18">
        <f t="shared" si="25"/>
        <v>315</v>
      </c>
      <c r="P84" s="19">
        <f t="shared" si="25"/>
        <v>315</v>
      </c>
      <c r="Q84" s="19">
        <f t="shared" si="25"/>
        <v>280</v>
      </c>
      <c r="R84" s="20">
        <f t="shared" si="25"/>
        <v>35</v>
      </c>
      <c r="S84" s="18">
        <f t="shared" si="25"/>
        <v>20</v>
      </c>
      <c r="T84" s="19">
        <f t="shared" si="25"/>
        <v>20</v>
      </c>
      <c r="U84" s="19">
        <f t="shared" si="25"/>
        <v>0</v>
      </c>
      <c r="V84" s="20">
        <f t="shared" si="25"/>
        <v>20</v>
      </c>
      <c r="W84" s="35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49" customFormat="1" ht="13.5" thickBot="1">
      <c r="A85" s="144" t="s">
        <v>58</v>
      </c>
      <c r="B85" s="111">
        <v>29</v>
      </c>
      <c r="C85" s="112">
        <v>29</v>
      </c>
      <c r="D85" s="112">
        <v>416</v>
      </c>
      <c r="E85" s="113">
        <v>0</v>
      </c>
      <c r="F85" s="113">
        <v>0</v>
      </c>
      <c r="G85" s="113">
        <v>0</v>
      </c>
      <c r="H85" s="114">
        <v>177</v>
      </c>
      <c r="I85" s="115">
        <f>B85+D85-H85</f>
        <v>268</v>
      </c>
      <c r="J85" s="111">
        <v>65</v>
      </c>
      <c r="K85" s="112">
        <v>65</v>
      </c>
      <c r="L85" s="112">
        <v>8</v>
      </c>
      <c r="M85" s="113">
        <v>2</v>
      </c>
      <c r="N85" s="114">
        <f>J85+L85-M85</f>
        <v>71</v>
      </c>
      <c r="O85" s="111">
        <f>220+95</f>
        <v>315</v>
      </c>
      <c r="P85" s="112">
        <f>95+220</f>
        <v>315</v>
      </c>
      <c r="Q85" s="113">
        <v>280</v>
      </c>
      <c r="R85" s="115">
        <f>O85-Q85</f>
        <v>35</v>
      </c>
      <c r="S85" s="111">
        <v>20</v>
      </c>
      <c r="T85" s="112">
        <v>20</v>
      </c>
      <c r="U85" s="113">
        <v>0</v>
      </c>
      <c r="V85" s="115">
        <f>S85-U85</f>
        <v>20</v>
      </c>
      <c r="W85" s="57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s="49" customFormat="1" ht="13.5" thickBot="1">
      <c r="A86" s="116" t="s">
        <v>19</v>
      </c>
      <c r="B86" s="120">
        <f>SUM(B87)</f>
        <v>7240</v>
      </c>
      <c r="C86" s="119">
        <f aca="true" t="shared" si="26" ref="C86:V86">SUM(C87)</f>
        <v>1000</v>
      </c>
      <c r="D86" s="119">
        <f t="shared" si="26"/>
        <v>4750</v>
      </c>
      <c r="E86" s="119">
        <f t="shared" si="26"/>
        <v>8800</v>
      </c>
      <c r="F86" s="119">
        <f t="shared" si="26"/>
        <v>400</v>
      </c>
      <c r="G86" s="119">
        <f t="shared" si="26"/>
        <v>800</v>
      </c>
      <c r="H86" s="119">
        <f t="shared" si="26"/>
        <v>10000</v>
      </c>
      <c r="I86" s="121">
        <f t="shared" si="26"/>
        <v>1990</v>
      </c>
      <c r="J86" s="120">
        <f t="shared" si="26"/>
        <v>7138</v>
      </c>
      <c r="K86" s="119">
        <f t="shared" si="26"/>
        <v>1000</v>
      </c>
      <c r="L86" s="119">
        <f t="shared" si="26"/>
        <v>46</v>
      </c>
      <c r="M86" s="119">
        <f t="shared" si="26"/>
        <v>0</v>
      </c>
      <c r="N86" s="121">
        <f t="shared" si="26"/>
        <v>7184</v>
      </c>
      <c r="O86" s="120">
        <f t="shared" si="26"/>
        <v>651</v>
      </c>
      <c r="P86" s="119">
        <f t="shared" si="26"/>
        <v>395</v>
      </c>
      <c r="Q86" s="119">
        <f t="shared" si="26"/>
        <v>335</v>
      </c>
      <c r="R86" s="121">
        <f t="shared" si="26"/>
        <v>316</v>
      </c>
      <c r="S86" s="120">
        <f t="shared" si="26"/>
        <v>495</v>
      </c>
      <c r="T86" s="119">
        <f t="shared" si="26"/>
        <v>495</v>
      </c>
      <c r="U86" s="119">
        <f t="shared" si="26"/>
        <v>300</v>
      </c>
      <c r="V86" s="121">
        <f t="shared" si="26"/>
        <v>195</v>
      </c>
      <c r="W86" s="57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s="49" customFormat="1" ht="13.5" thickBot="1">
      <c r="A87" s="51" t="s">
        <v>119</v>
      </c>
      <c r="B87" s="79">
        <v>7240</v>
      </c>
      <c r="C87" s="80">
        <v>1000</v>
      </c>
      <c r="D87" s="80">
        <v>4750</v>
      </c>
      <c r="E87" s="81">
        <v>8800</v>
      </c>
      <c r="F87" s="81">
        <v>400</v>
      </c>
      <c r="G87" s="81">
        <v>800</v>
      </c>
      <c r="H87" s="83">
        <v>10000</v>
      </c>
      <c r="I87" s="82">
        <f>B87+D87-H87</f>
        <v>1990</v>
      </c>
      <c r="J87" s="79">
        <v>7138</v>
      </c>
      <c r="K87" s="80">
        <v>1000</v>
      </c>
      <c r="L87" s="80">
        <v>46</v>
      </c>
      <c r="M87" s="81">
        <v>0</v>
      </c>
      <c r="N87" s="83">
        <f>J87+L87-M87</f>
        <v>7184</v>
      </c>
      <c r="O87" s="79">
        <f>315+336</f>
        <v>651</v>
      </c>
      <c r="P87" s="80">
        <f>315+80</f>
        <v>395</v>
      </c>
      <c r="Q87" s="81">
        <v>335</v>
      </c>
      <c r="R87" s="82">
        <f>O87-Q87</f>
        <v>316</v>
      </c>
      <c r="S87" s="80">
        <f>40+455</f>
        <v>495</v>
      </c>
      <c r="T87" s="80">
        <f>40+455</f>
        <v>495</v>
      </c>
      <c r="U87" s="81">
        <v>300</v>
      </c>
      <c r="V87" s="82">
        <f>S87-U87</f>
        <v>195</v>
      </c>
      <c r="W87" s="57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s="7" customFormat="1" ht="13.5" thickBot="1">
      <c r="A88" s="21" t="s">
        <v>20</v>
      </c>
      <c r="B88" s="18">
        <f>SUM(B89:B93)</f>
        <v>252</v>
      </c>
      <c r="C88" s="19">
        <f aca="true" t="shared" si="27" ref="C88:V88">SUM(C89:C93)</f>
        <v>252</v>
      </c>
      <c r="D88" s="19">
        <f t="shared" si="27"/>
        <v>156</v>
      </c>
      <c r="E88" s="19">
        <f t="shared" si="27"/>
        <v>0</v>
      </c>
      <c r="F88" s="19">
        <f t="shared" si="27"/>
        <v>0</v>
      </c>
      <c r="G88" s="19">
        <f t="shared" si="27"/>
        <v>0</v>
      </c>
      <c r="H88" s="19">
        <f t="shared" si="27"/>
        <v>49</v>
      </c>
      <c r="I88" s="20">
        <f t="shared" si="27"/>
        <v>359</v>
      </c>
      <c r="J88" s="18">
        <f t="shared" si="27"/>
        <v>66</v>
      </c>
      <c r="K88" s="19">
        <f t="shared" si="27"/>
        <v>66</v>
      </c>
      <c r="L88" s="19">
        <f t="shared" si="27"/>
        <v>7</v>
      </c>
      <c r="M88" s="19">
        <f t="shared" si="27"/>
        <v>2</v>
      </c>
      <c r="N88" s="20">
        <f t="shared" si="27"/>
        <v>71</v>
      </c>
      <c r="O88" s="18">
        <f t="shared" si="27"/>
        <v>334</v>
      </c>
      <c r="P88" s="19">
        <f t="shared" si="27"/>
        <v>334</v>
      </c>
      <c r="Q88" s="19">
        <f t="shared" si="27"/>
        <v>293</v>
      </c>
      <c r="R88" s="20">
        <f t="shared" si="27"/>
        <v>41</v>
      </c>
      <c r="S88" s="18">
        <f t="shared" si="27"/>
        <v>20</v>
      </c>
      <c r="T88" s="19">
        <f t="shared" si="27"/>
        <v>20</v>
      </c>
      <c r="U88" s="19">
        <f t="shared" si="27"/>
        <v>20</v>
      </c>
      <c r="V88" s="20">
        <f t="shared" si="27"/>
        <v>0</v>
      </c>
      <c r="W88" s="35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49" customFormat="1" ht="12.75">
      <c r="A89" s="51" t="s">
        <v>225</v>
      </c>
      <c r="B89" s="52">
        <v>78</v>
      </c>
      <c r="C89" s="53">
        <v>78</v>
      </c>
      <c r="D89" s="53">
        <v>23</v>
      </c>
      <c r="E89" s="54">
        <v>0</v>
      </c>
      <c r="F89" s="54">
        <v>0</v>
      </c>
      <c r="G89" s="54">
        <v>0</v>
      </c>
      <c r="H89" s="55">
        <v>18</v>
      </c>
      <c r="I89" s="56">
        <f>B89+D89-H89</f>
        <v>83</v>
      </c>
      <c r="J89" s="52">
        <v>21</v>
      </c>
      <c r="K89" s="53">
        <v>21</v>
      </c>
      <c r="L89" s="53">
        <v>0</v>
      </c>
      <c r="M89" s="54">
        <v>0</v>
      </c>
      <c r="N89" s="55">
        <f>J89+L89-M89</f>
        <v>21</v>
      </c>
      <c r="O89" s="52">
        <f>11+43</f>
        <v>54</v>
      </c>
      <c r="P89" s="53">
        <f>11+43</f>
        <v>54</v>
      </c>
      <c r="Q89" s="54">
        <v>54</v>
      </c>
      <c r="R89" s="56">
        <f>O89-Q89</f>
        <v>0</v>
      </c>
      <c r="S89" s="52">
        <v>0</v>
      </c>
      <c r="T89" s="53">
        <v>0</v>
      </c>
      <c r="U89" s="54">
        <v>0</v>
      </c>
      <c r="V89" s="56">
        <f>S89-U89</f>
        <v>0</v>
      </c>
      <c r="W89" s="57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s="49" customFormat="1" ht="12.75">
      <c r="A90" s="60" t="s">
        <v>21</v>
      </c>
      <c r="B90" s="45">
        <v>1</v>
      </c>
      <c r="C90" s="46">
        <v>1</v>
      </c>
      <c r="D90" s="46">
        <v>31</v>
      </c>
      <c r="E90" s="47">
        <v>0</v>
      </c>
      <c r="F90" s="47">
        <v>0</v>
      </c>
      <c r="G90" s="47">
        <v>0</v>
      </c>
      <c r="H90" s="48">
        <v>31</v>
      </c>
      <c r="I90" s="32">
        <f>B90+D90-H90</f>
        <v>1</v>
      </c>
      <c r="J90" s="45">
        <v>0</v>
      </c>
      <c r="K90" s="46">
        <v>0</v>
      </c>
      <c r="L90" s="46">
        <v>1</v>
      </c>
      <c r="M90" s="47">
        <v>0</v>
      </c>
      <c r="N90" s="48">
        <f>J90+L90-M90</f>
        <v>1</v>
      </c>
      <c r="O90" s="45">
        <f>28+62</f>
        <v>90</v>
      </c>
      <c r="P90" s="46">
        <v>90</v>
      </c>
      <c r="Q90" s="47">
        <v>60</v>
      </c>
      <c r="R90" s="32">
        <f>O90-Q90</f>
        <v>30</v>
      </c>
      <c r="S90" s="45">
        <v>0</v>
      </c>
      <c r="T90" s="46">
        <v>0</v>
      </c>
      <c r="U90" s="47">
        <v>0</v>
      </c>
      <c r="V90" s="32">
        <f>S90-U90</f>
        <v>0</v>
      </c>
      <c r="W90" s="57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s="49" customFormat="1" ht="12.75">
      <c r="A91" s="60" t="s">
        <v>22</v>
      </c>
      <c r="B91" s="45">
        <v>0</v>
      </c>
      <c r="C91" s="46">
        <v>0</v>
      </c>
      <c r="D91" s="46">
        <v>0</v>
      </c>
      <c r="E91" s="47">
        <v>0</v>
      </c>
      <c r="F91" s="47">
        <v>0</v>
      </c>
      <c r="G91" s="47">
        <v>0</v>
      </c>
      <c r="H91" s="48">
        <v>0</v>
      </c>
      <c r="I91" s="32">
        <f>B91+D91-H91</f>
        <v>0</v>
      </c>
      <c r="J91" s="45">
        <v>2</v>
      </c>
      <c r="K91" s="46">
        <v>2</v>
      </c>
      <c r="L91" s="46">
        <v>0</v>
      </c>
      <c r="M91" s="47">
        <v>2</v>
      </c>
      <c r="N91" s="48">
        <f>J91+L91-M91</f>
        <v>0</v>
      </c>
      <c r="O91" s="45">
        <f>7+38</f>
        <v>45</v>
      </c>
      <c r="P91" s="46">
        <v>45</v>
      </c>
      <c r="Q91" s="47">
        <v>38</v>
      </c>
      <c r="R91" s="32">
        <f>O91-Q91</f>
        <v>7</v>
      </c>
      <c r="S91" s="45">
        <v>0</v>
      </c>
      <c r="T91" s="46">
        <v>0</v>
      </c>
      <c r="U91" s="47">
        <v>0</v>
      </c>
      <c r="V91" s="32">
        <f>S91-U91</f>
        <v>0</v>
      </c>
      <c r="W91" s="57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56" ht="12.75">
      <c r="A92" s="25" t="s">
        <v>23</v>
      </c>
      <c r="B92" s="45">
        <v>89</v>
      </c>
      <c r="C92" s="46">
        <v>89</v>
      </c>
      <c r="D92" s="46">
        <v>53</v>
      </c>
      <c r="E92" s="47">
        <v>0</v>
      </c>
      <c r="F92" s="47">
        <v>0</v>
      </c>
      <c r="G92" s="47">
        <v>0</v>
      </c>
      <c r="H92" s="48">
        <v>0</v>
      </c>
      <c r="I92" s="32">
        <f>B92+D92-H92</f>
        <v>142</v>
      </c>
      <c r="J92" s="45">
        <v>42</v>
      </c>
      <c r="K92" s="46">
        <v>42</v>
      </c>
      <c r="L92" s="46">
        <v>6</v>
      </c>
      <c r="M92" s="47">
        <v>0</v>
      </c>
      <c r="N92" s="48">
        <f>J92+L92-M92</f>
        <v>48</v>
      </c>
      <c r="O92" s="45">
        <f>4+56</f>
        <v>60</v>
      </c>
      <c r="P92" s="46">
        <v>60</v>
      </c>
      <c r="Q92" s="47">
        <v>60</v>
      </c>
      <c r="R92" s="32">
        <f>O92-Q92</f>
        <v>0</v>
      </c>
      <c r="S92" s="45">
        <v>20</v>
      </c>
      <c r="T92" s="46">
        <v>20</v>
      </c>
      <c r="U92" s="47">
        <v>20</v>
      </c>
      <c r="V92" s="32">
        <f>S92-U92</f>
        <v>0</v>
      </c>
      <c r="W92" s="35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49" customFormat="1" ht="13.5" thickBot="1">
      <c r="A93" s="88" t="s">
        <v>33</v>
      </c>
      <c r="B93" s="63">
        <v>84</v>
      </c>
      <c r="C93" s="64">
        <v>84</v>
      </c>
      <c r="D93" s="64">
        <v>49</v>
      </c>
      <c r="E93" s="64">
        <v>0</v>
      </c>
      <c r="F93" s="64">
        <v>0</v>
      </c>
      <c r="G93" s="64">
        <v>0</v>
      </c>
      <c r="H93" s="64">
        <v>0</v>
      </c>
      <c r="I93" s="85">
        <f>B93+D93-H93</f>
        <v>133</v>
      </c>
      <c r="J93" s="63">
        <v>1</v>
      </c>
      <c r="K93" s="64">
        <v>1</v>
      </c>
      <c r="L93" s="64">
        <v>0</v>
      </c>
      <c r="M93" s="64">
        <v>0</v>
      </c>
      <c r="N93" s="85">
        <f>J93+L93-M93</f>
        <v>1</v>
      </c>
      <c r="O93" s="63">
        <f>22+63</f>
        <v>85</v>
      </c>
      <c r="P93" s="64">
        <v>85</v>
      </c>
      <c r="Q93" s="64">
        <v>81</v>
      </c>
      <c r="R93" s="85">
        <f>O93-Q93</f>
        <v>4</v>
      </c>
      <c r="S93" s="63">
        <v>0</v>
      </c>
      <c r="T93" s="64">
        <v>0</v>
      </c>
      <c r="U93" s="64">
        <v>0</v>
      </c>
      <c r="V93" s="62">
        <f>S93-U93</f>
        <v>0</v>
      </c>
      <c r="W93" s="57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1:256" s="49" customFormat="1" ht="12.75">
      <c r="A94" s="122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1:256" s="8" customFormat="1" ht="18">
      <c r="A95" s="531" t="s">
        <v>62</v>
      </c>
      <c r="B95" s="531"/>
      <c r="C95" s="531"/>
      <c r="D95" s="531"/>
      <c r="E95" s="531"/>
      <c r="F95" s="531"/>
      <c r="G95" s="531"/>
      <c r="H95" s="531"/>
      <c r="I95" s="531"/>
      <c r="J95" s="531"/>
      <c r="K95" s="531"/>
      <c r="L95" s="531"/>
      <c r="M95" s="531"/>
      <c r="N95" s="531"/>
      <c r="O95" s="531"/>
      <c r="P95" s="531"/>
      <c r="Q95" s="531"/>
      <c r="R95" s="531"/>
      <c r="S95" s="531"/>
      <c r="T95" s="531"/>
      <c r="U95" s="531"/>
      <c r="V95" s="531"/>
      <c r="W95" s="3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</row>
    <row r="96" spans="1:256" ht="13.5" thickBot="1">
      <c r="A96" s="15" t="s">
        <v>16</v>
      </c>
      <c r="B96" s="14"/>
      <c r="C96" s="14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26" t="s">
        <v>8</v>
      </c>
      <c r="W96" s="33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2" s="168" customFormat="1" ht="12.75">
      <c r="A97" s="163"/>
      <c r="B97" s="164" t="s">
        <v>9</v>
      </c>
      <c r="C97" s="165"/>
      <c r="D97" s="165"/>
      <c r="E97" s="165"/>
      <c r="F97" s="165"/>
      <c r="G97" s="165"/>
      <c r="H97" s="165"/>
      <c r="I97" s="166"/>
      <c r="J97" s="164" t="s">
        <v>10</v>
      </c>
      <c r="K97" s="165"/>
      <c r="L97" s="167"/>
      <c r="M97" s="165"/>
      <c r="N97" s="166"/>
      <c r="O97" s="407" t="s">
        <v>11</v>
      </c>
      <c r="P97" s="408"/>
      <c r="Q97" s="408"/>
      <c r="R97" s="409"/>
      <c r="S97" s="407" t="s">
        <v>12</v>
      </c>
      <c r="T97" s="410"/>
      <c r="U97" s="410"/>
      <c r="V97" s="411"/>
    </row>
    <row r="98" spans="1:23" s="173" customFormat="1" ht="14.25" customHeight="1">
      <c r="A98" s="169" t="s">
        <v>0</v>
      </c>
      <c r="B98" s="390" t="s">
        <v>139</v>
      </c>
      <c r="C98" s="393" t="s">
        <v>140</v>
      </c>
      <c r="D98" s="396" t="s">
        <v>141</v>
      </c>
      <c r="E98" s="170" t="s">
        <v>13</v>
      </c>
      <c r="F98" s="170"/>
      <c r="G98" s="170"/>
      <c r="H98" s="171"/>
      <c r="I98" s="387" t="s">
        <v>143</v>
      </c>
      <c r="J98" s="390" t="s">
        <v>139</v>
      </c>
      <c r="K98" s="393" t="s">
        <v>140</v>
      </c>
      <c r="L98" s="396" t="s">
        <v>144</v>
      </c>
      <c r="M98" s="401" t="s">
        <v>145</v>
      </c>
      <c r="N98" s="387" t="s">
        <v>143</v>
      </c>
      <c r="O98" s="390" t="s">
        <v>146</v>
      </c>
      <c r="P98" s="528" t="s">
        <v>147</v>
      </c>
      <c r="Q98" s="401" t="s">
        <v>145</v>
      </c>
      <c r="R98" s="387" t="s">
        <v>143</v>
      </c>
      <c r="S98" s="390" t="s">
        <v>146</v>
      </c>
      <c r="T98" s="528" t="s">
        <v>147</v>
      </c>
      <c r="U98" s="401" t="s">
        <v>145</v>
      </c>
      <c r="V98" s="387" t="s">
        <v>143</v>
      </c>
      <c r="W98" s="172" t="s">
        <v>16</v>
      </c>
    </row>
    <row r="99" spans="1:22" s="168" customFormat="1" ht="12.75" customHeight="1">
      <c r="A99" s="174"/>
      <c r="B99" s="391"/>
      <c r="C99" s="394" t="s">
        <v>30</v>
      </c>
      <c r="D99" s="397"/>
      <c r="E99" s="399" t="s">
        <v>153</v>
      </c>
      <c r="F99" s="399" t="s">
        <v>73</v>
      </c>
      <c r="G99" s="399" t="s">
        <v>74</v>
      </c>
      <c r="H99" s="401" t="s">
        <v>142</v>
      </c>
      <c r="I99" s="388"/>
      <c r="J99" s="391"/>
      <c r="K99" s="394" t="s">
        <v>30</v>
      </c>
      <c r="L99" s="397"/>
      <c r="M99" s="403"/>
      <c r="N99" s="388"/>
      <c r="O99" s="391"/>
      <c r="P99" s="529"/>
      <c r="Q99" s="403"/>
      <c r="R99" s="388"/>
      <c r="S99" s="391"/>
      <c r="T99" s="529"/>
      <c r="U99" s="403"/>
      <c r="V99" s="388"/>
    </row>
    <row r="100" spans="1:22" s="168" customFormat="1" ht="53.25" customHeight="1" thickBot="1">
      <c r="A100" s="175" t="s">
        <v>16</v>
      </c>
      <c r="B100" s="392"/>
      <c r="C100" s="395" t="s">
        <v>63</v>
      </c>
      <c r="D100" s="398"/>
      <c r="E100" s="400"/>
      <c r="F100" s="400"/>
      <c r="G100" s="400"/>
      <c r="H100" s="402"/>
      <c r="I100" s="389"/>
      <c r="J100" s="392"/>
      <c r="K100" s="395" t="s">
        <v>63</v>
      </c>
      <c r="L100" s="398"/>
      <c r="M100" s="402"/>
      <c r="N100" s="389"/>
      <c r="O100" s="392"/>
      <c r="P100" s="530"/>
      <c r="Q100" s="402"/>
      <c r="R100" s="389"/>
      <c r="S100" s="392"/>
      <c r="T100" s="530"/>
      <c r="U100" s="402"/>
      <c r="V100" s="389"/>
    </row>
    <row r="101" spans="1:256" ht="13.5" thickBot="1">
      <c r="A101" s="21" t="s">
        <v>24</v>
      </c>
      <c r="B101" s="127">
        <f aca="true" t="shared" si="28" ref="B101:V101">SUM(B102:B102)</f>
        <v>660</v>
      </c>
      <c r="C101" s="124">
        <f t="shared" si="28"/>
        <v>660</v>
      </c>
      <c r="D101" s="124">
        <f t="shared" si="28"/>
        <v>870</v>
      </c>
      <c r="E101" s="124">
        <f t="shared" si="28"/>
        <v>0</v>
      </c>
      <c r="F101" s="124">
        <f t="shared" si="28"/>
        <v>0</v>
      </c>
      <c r="G101" s="124">
        <f t="shared" si="28"/>
        <v>666</v>
      </c>
      <c r="H101" s="128">
        <f t="shared" si="28"/>
        <v>979</v>
      </c>
      <c r="I101" s="125">
        <f t="shared" si="28"/>
        <v>551</v>
      </c>
      <c r="J101" s="127">
        <f t="shared" si="28"/>
        <v>294</v>
      </c>
      <c r="K101" s="124">
        <f t="shared" si="28"/>
        <v>294</v>
      </c>
      <c r="L101" s="124">
        <f t="shared" si="28"/>
        <v>11</v>
      </c>
      <c r="M101" s="124">
        <f t="shared" si="28"/>
        <v>150</v>
      </c>
      <c r="N101" s="125">
        <f t="shared" si="28"/>
        <v>155</v>
      </c>
      <c r="O101" s="127">
        <f t="shared" si="28"/>
        <v>334</v>
      </c>
      <c r="P101" s="124">
        <f t="shared" si="28"/>
        <v>315</v>
      </c>
      <c r="Q101" s="124">
        <f t="shared" si="28"/>
        <v>168</v>
      </c>
      <c r="R101" s="125">
        <f t="shared" si="28"/>
        <v>166</v>
      </c>
      <c r="S101" s="127">
        <f t="shared" si="28"/>
        <v>47</v>
      </c>
      <c r="T101" s="124">
        <f t="shared" si="28"/>
        <v>47</v>
      </c>
      <c r="U101" s="124">
        <f t="shared" si="28"/>
        <v>47</v>
      </c>
      <c r="V101" s="125">
        <f t="shared" si="28"/>
        <v>0</v>
      </c>
      <c r="W101" s="33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49" customFormat="1" ht="24.75" customHeight="1" thickBot="1">
      <c r="A102" s="51" t="s">
        <v>211</v>
      </c>
      <c r="B102" s="98">
        <v>660</v>
      </c>
      <c r="C102" s="99">
        <v>660</v>
      </c>
      <c r="D102" s="100">
        <v>870</v>
      </c>
      <c r="E102" s="102">
        <v>0</v>
      </c>
      <c r="F102" s="103">
        <v>0</v>
      </c>
      <c r="G102" s="98">
        <v>666</v>
      </c>
      <c r="H102" s="104">
        <f>313+666</f>
        <v>979</v>
      </c>
      <c r="I102" s="118">
        <f>B102+D102-H102</f>
        <v>551</v>
      </c>
      <c r="J102" s="108">
        <v>294</v>
      </c>
      <c r="K102" s="99">
        <v>294</v>
      </c>
      <c r="L102" s="100">
        <v>11</v>
      </c>
      <c r="M102" s="98">
        <v>150</v>
      </c>
      <c r="N102" s="76">
        <f>J102+L102-M102</f>
        <v>155</v>
      </c>
      <c r="O102" s="107">
        <f>155+179</f>
        <v>334</v>
      </c>
      <c r="P102" s="99">
        <f>155+160</f>
        <v>315</v>
      </c>
      <c r="Q102" s="98">
        <f>168</f>
        <v>168</v>
      </c>
      <c r="R102" s="76">
        <f>O102-Q102</f>
        <v>166</v>
      </c>
      <c r="S102" s="107">
        <v>47</v>
      </c>
      <c r="T102" s="98">
        <v>47</v>
      </c>
      <c r="U102" s="98">
        <v>47</v>
      </c>
      <c r="V102" s="76">
        <f>S102-U102</f>
        <v>0</v>
      </c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  <c r="IA102" s="58"/>
      <c r="IB102" s="58"/>
      <c r="IC102" s="58"/>
      <c r="ID102" s="58"/>
      <c r="IE102" s="58"/>
      <c r="IF102" s="58"/>
      <c r="IG102" s="58"/>
      <c r="IH102" s="58"/>
      <c r="II102" s="58"/>
      <c r="IJ102" s="58"/>
      <c r="IK102" s="58"/>
      <c r="IL102" s="58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s="7" customFormat="1" ht="13.5" thickBot="1">
      <c r="A103" s="21" t="s">
        <v>25</v>
      </c>
      <c r="B103" s="18">
        <f>SUM(B104:B105)</f>
        <v>93</v>
      </c>
      <c r="C103" s="19">
        <f aca="true" t="shared" si="29" ref="C103:V103">SUM(C104:C105)</f>
        <v>93</v>
      </c>
      <c r="D103" s="19">
        <f t="shared" si="29"/>
        <v>0</v>
      </c>
      <c r="E103" s="19">
        <f t="shared" si="29"/>
        <v>0</v>
      </c>
      <c r="F103" s="19">
        <f t="shared" si="29"/>
        <v>0</v>
      </c>
      <c r="G103" s="19">
        <f t="shared" si="29"/>
        <v>0</v>
      </c>
      <c r="H103" s="19">
        <f t="shared" si="29"/>
        <v>0</v>
      </c>
      <c r="I103" s="20">
        <f t="shared" si="29"/>
        <v>93</v>
      </c>
      <c r="J103" s="18">
        <f t="shared" si="29"/>
        <v>391</v>
      </c>
      <c r="K103" s="19">
        <f t="shared" si="29"/>
        <v>391</v>
      </c>
      <c r="L103" s="19">
        <f t="shared" si="29"/>
        <v>9</v>
      </c>
      <c r="M103" s="19">
        <f t="shared" si="29"/>
        <v>0</v>
      </c>
      <c r="N103" s="20">
        <f t="shared" si="29"/>
        <v>400</v>
      </c>
      <c r="O103" s="18">
        <f t="shared" si="29"/>
        <v>180</v>
      </c>
      <c r="P103" s="19">
        <f t="shared" si="29"/>
        <v>179</v>
      </c>
      <c r="Q103" s="19">
        <f t="shared" si="29"/>
        <v>75</v>
      </c>
      <c r="R103" s="20">
        <f t="shared" si="29"/>
        <v>105</v>
      </c>
      <c r="S103" s="18">
        <f t="shared" si="29"/>
        <v>20</v>
      </c>
      <c r="T103" s="19">
        <f t="shared" si="29"/>
        <v>20</v>
      </c>
      <c r="U103" s="19">
        <f t="shared" si="29"/>
        <v>15</v>
      </c>
      <c r="V103" s="20">
        <f t="shared" si="29"/>
        <v>5</v>
      </c>
      <c r="W103" s="35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3" s="58" customFormat="1" ht="12.75">
      <c r="A104" s="69" t="s">
        <v>7</v>
      </c>
      <c r="B104" s="52">
        <v>93</v>
      </c>
      <c r="C104" s="53">
        <v>93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6">
        <f>B104+D104-H104</f>
        <v>93</v>
      </c>
      <c r="J104" s="52">
        <v>164</v>
      </c>
      <c r="K104" s="53">
        <v>164</v>
      </c>
      <c r="L104" s="54">
        <v>0</v>
      </c>
      <c r="M104" s="54">
        <v>0</v>
      </c>
      <c r="N104" s="56">
        <f>J104+L104-M104</f>
        <v>164</v>
      </c>
      <c r="O104" s="52">
        <f>40+56</f>
        <v>96</v>
      </c>
      <c r="P104" s="53">
        <f>40+56</f>
        <v>96</v>
      </c>
      <c r="Q104" s="54">
        <v>40</v>
      </c>
      <c r="R104" s="56">
        <f>O104-Q104</f>
        <v>56</v>
      </c>
      <c r="S104" s="52">
        <v>0</v>
      </c>
      <c r="T104" s="53">
        <v>0</v>
      </c>
      <c r="U104" s="54">
        <v>0</v>
      </c>
      <c r="V104" s="56">
        <f>S104-U104</f>
        <v>0</v>
      </c>
      <c r="W104" s="57"/>
    </row>
    <row r="105" spans="1:23" s="58" customFormat="1" ht="23.25" thickBot="1">
      <c r="A105" s="123" t="s">
        <v>59</v>
      </c>
      <c r="B105" s="45">
        <v>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56">
        <f>B105+D105-H105</f>
        <v>0</v>
      </c>
      <c r="J105" s="52">
        <v>227</v>
      </c>
      <c r="K105" s="53">
        <v>227</v>
      </c>
      <c r="L105" s="54">
        <v>9</v>
      </c>
      <c r="M105" s="54">
        <v>0</v>
      </c>
      <c r="N105" s="56">
        <f>J105+L105-M105</f>
        <v>236</v>
      </c>
      <c r="O105" s="52">
        <f>35+49</f>
        <v>84</v>
      </c>
      <c r="P105" s="53">
        <f>35+48</f>
        <v>83</v>
      </c>
      <c r="Q105" s="54">
        <v>35</v>
      </c>
      <c r="R105" s="56">
        <f>O105-Q105</f>
        <v>49</v>
      </c>
      <c r="S105" s="52">
        <f>2+18</f>
        <v>20</v>
      </c>
      <c r="T105" s="53">
        <f>2+18</f>
        <v>20</v>
      </c>
      <c r="U105" s="54">
        <v>15</v>
      </c>
      <c r="V105" s="56">
        <f>S105-U105</f>
        <v>5</v>
      </c>
      <c r="W105" s="57"/>
    </row>
    <row r="106" spans="1:217" s="2" customFormat="1" ht="13.5" thickBot="1">
      <c r="A106" s="21" t="s">
        <v>26</v>
      </c>
      <c r="B106" s="18">
        <f aca="true" t="shared" si="30" ref="B106:V106">SUM(B107:B109)</f>
        <v>255</v>
      </c>
      <c r="C106" s="19">
        <f t="shared" si="30"/>
        <v>255</v>
      </c>
      <c r="D106" s="19">
        <f t="shared" si="30"/>
        <v>201</v>
      </c>
      <c r="E106" s="19">
        <f t="shared" si="30"/>
        <v>0</v>
      </c>
      <c r="F106" s="19">
        <f t="shared" si="30"/>
        <v>0</v>
      </c>
      <c r="G106" s="19">
        <f t="shared" si="30"/>
        <v>240</v>
      </c>
      <c r="H106" s="19">
        <f t="shared" si="30"/>
        <v>240</v>
      </c>
      <c r="I106" s="20">
        <f t="shared" si="30"/>
        <v>216</v>
      </c>
      <c r="J106" s="18">
        <f t="shared" si="30"/>
        <v>110</v>
      </c>
      <c r="K106" s="19">
        <f t="shared" si="30"/>
        <v>110</v>
      </c>
      <c r="L106" s="19">
        <f t="shared" si="30"/>
        <v>36</v>
      </c>
      <c r="M106" s="19">
        <f t="shared" si="30"/>
        <v>41</v>
      </c>
      <c r="N106" s="20">
        <f t="shared" si="30"/>
        <v>105</v>
      </c>
      <c r="O106" s="18">
        <f t="shared" si="30"/>
        <v>520</v>
      </c>
      <c r="P106" s="19">
        <f t="shared" si="30"/>
        <v>520</v>
      </c>
      <c r="Q106" s="19">
        <f t="shared" si="30"/>
        <v>362</v>
      </c>
      <c r="R106" s="20">
        <f t="shared" si="30"/>
        <v>158</v>
      </c>
      <c r="S106" s="18">
        <f t="shared" si="30"/>
        <v>63</v>
      </c>
      <c r="T106" s="19">
        <f t="shared" si="30"/>
        <v>63</v>
      </c>
      <c r="U106" s="19">
        <f t="shared" si="30"/>
        <v>54</v>
      </c>
      <c r="V106" s="20">
        <f t="shared" si="30"/>
        <v>9</v>
      </c>
      <c r="W106" s="36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</row>
    <row r="107" spans="1:217" s="74" customFormat="1" ht="12.75">
      <c r="A107" s="51" t="s">
        <v>188</v>
      </c>
      <c r="B107" s="52">
        <v>188</v>
      </c>
      <c r="C107" s="54">
        <v>188</v>
      </c>
      <c r="D107" s="54">
        <v>166</v>
      </c>
      <c r="E107" s="54">
        <v>0</v>
      </c>
      <c r="F107" s="54">
        <v>0</v>
      </c>
      <c r="G107" s="54">
        <v>200</v>
      </c>
      <c r="H107" s="54">
        <v>200</v>
      </c>
      <c r="I107" s="56">
        <f>B107+D107-H107</f>
        <v>154</v>
      </c>
      <c r="J107" s="52">
        <v>82</v>
      </c>
      <c r="K107" s="53">
        <v>82</v>
      </c>
      <c r="L107" s="53">
        <v>23</v>
      </c>
      <c r="M107" s="54">
        <v>0</v>
      </c>
      <c r="N107" s="55">
        <f>J107+L107-M107</f>
        <v>105</v>
      </c>
      <c r="O107" s="146">
        <v>253</v>
      </c>
      <c r="P107" s="147">
        <v>253</v>
      </c>
      <c r="Q107" s="148">
        <v>115</v>
      </c>
      <c r="R107" s="149">
        <v>138</v>
      </c>
      <c r="S107" s="52">
        <v>9</v>
      </c>
      <c r="T107" s="54">
        <v>9</v>
      </c>
      <c r="U107" s="54">
        <v>0</v>
      </c>
      <c r="V107" s="56">
        <f>S107-U107</f>
        <v>9</v>
      </c>
      <c r="W107" s="65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</row>
    <row r="108" spans="1:217" s="49" customFormat="1" ht="12.75">
      <c r="A108" s="66" t="s">
        <v>44</v>
      </c>
      <c r="B108" s="45">
        <v>0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32">
        <f>B108+D108-H108</f>
        <v>0</v>
      </c>
      <c r="J108" s="45">
        <v>21</v>
      </c>
      <c r="K108" s="46">
        <v>21</v>
      </c>
      <c r="L108" s="47">
        <v>13</v>
      </c>
      <c r="M108" s="47">
        <v>34</v>
      </c>
      <c r="N108" s="32">
        <f>J108+L108-M108</f>
        <v>0</v>
      </c>
      <c r="O108" s="45">
        <v>70</v>
      </c>
      <c r="P108" s="46">
        <v>70</v>
      </c>
      <c r="Q108" s="47">
        <v>50</v>
      </c>
      <c r="R108" s="32">
        <f>O108-Q108</f>
        <v>20</v>
      </c>
      <c r="S108" s="45">
        <v>12</v>
      </c>
      <c r="T108" s="47">
        <v>12</v>
      </c>
      <c r="U108" s="47">
        <v>12</v>
      </c>
      <c r="V108" s="32">
        <f>S108-U108</f>
        <v>0</v>
      </c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</row>
    <row r="109" spans="1:217" s="49" customFormat="1" ht="13.5" thickBot="1">
      <c r="A109" s="60" t="s">
        <v>241</v>
      </c>
      <c r="B109" s="45">
        <v>67</v>
      </c>
      <c r="C109" s="47">
        <v>67</v>
      </c>
      <c r="D109" s="47">
        <v>35</v>
      </c>
      <c r="E109" s="47">
        <v>0</v>
      </c>
      <c r="F109" s="47">
        <v>0</v>
      </c>
      <c r="G109" s="47">
        <v>40</v>
      </c>
      <c r="H109" s="47">
        <v>40</v>
      </c>
      <c r="I109" s="32">
        <f>B109+D109-H109</f>
        <v>62</v>
      </c>
      <c r="J109" s="46">
        <v>7</v>
      </c>
      <c r="K109" s="46">
        <v>7</v>
      </c>
      <c r="L109" s="46">
        <v>0</v>
      </c>
      <c r="M109" s="47">
        <v>7</v>
      </c>
      <c r="N109" s="48">
        <f>J109+L109-M109</f>
        <v>0</v>
      </c>
      <c r="O109" s="45">
        <v>197</v>
      </c>
      <c r="P109" s="46">
        <v>197</v>
      </c>
      <c r="Q109" s="47">
        <v>197</v>
      </c>
      <c r="R109" s="32">
        <f>O109-Q109</f>
        <v>0</v>
      </c>
      <c r="S109" s="45">
        <v>42</v>
      </c>
      <c r="T109" s="47">
        <v>42</v>
      </c>
      <c r="U109" s="47">
        <v>42</v>
      </c>
      <c r="V109" s="32">
        <f>S109-U109</f>
        <v>0</v>
      </c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</row>
    <row r="110" spans="1:35" ht="13.5" thickBot="1">
      <c r="A110" s="28" t="s">
        <v>55</v>
      </c>
      <c r="B110" s="120">
        <f>SUM(B111)</f>
        <v>95</v>
      </c>
      <c r="C110" s="119">
        <f aca="true" t="shared" si="31" ref="C110:V110">SUM(C111)</f>
        <v>95</v>
      </c>
      <c r="D110" s="119">
        <f t="shared" si="31"/>
        <v>110</v>
      </c>
      <c r="E110" s="119">
        <f t="shared" si="31"/>
        <v>0</v>
      </c>
      <c r="F110" s="119">
        <f t="shared" si="31"/>
        <v>0</v>
      </c>
      <c r="G110" s="119">
        <f t="shared" si="31"/>
        <v>0</v>
      </c>
      <c r="H110" s="119">
        <f t="shared" si="31"/>
        <v>0</v>
      </c>
      <c r="I110" s="121">
        <f t="shared" si="31"/>
        <v>205</v>
      </c>
      <c r="J110" s="120">
        <f t="shared" si="31"/>
        <v>1941</v>
      </c>
      <c r="K110" s="119">
        <f t="shared" si="31"/>
        <v>1941</v>
      </c>
      <c r="L110" s="119">
        <f t="shared" si="31"/>
        <v>0</v>
      </c>
      <c r="M110" s="119">
        <f t="shared" si="31"/>
        <v>1941</v>
      </c>
      <c r="N110" s="121">
        <f t="shared" si="31"/>
        <v>0</v>
      </c>
      <c r="O110" s="120">
        <f t="shared" si="31"/>
        <v>109</v>
      </c>
      <c r="P110" s="119">
        <f t="shared" si="31"/>
        <v>104</v>
      </c>
      <c r="Q110" s="119">
        <f t="shared" si="31"/>
        <v>60</v>
      </c>
      <c r="R110" s="121">
        <f t="shared" si="31"/>
        <v>49</v>
      </c>
      <c r="S110" s="120">
        <f t="shared" si="31"/>
        <v>9</v>
      </c>
      <c r="T110" s="119">
        <f t="shared" si="31"/>
        <v>9</v>
      </c>
      <c r="U110" s="119">
        <f t="shared" si="31"/>
        <v>8</v>
      </c>
      <c r="V110" s="121">
        <f t="shared" si="31"/>
        <v>1</v>
      </c>
      <c r="W110" s="35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13.5" thickBot="1">
      <c r="A111" s="133" t="s">
        <v>221</v>
      </c>
      <c r="B111" s="79">
        <v>95</v>
      </c>
      <c r="C111" s="81">
        <v>95</v>
      </c>
      <c r="D111" s="81">
        <v>110</v>
      </c>
      <c r="E111" s="81">
        <v>0</v>
      </c>
      <c r="F111" s="81">
        <v>0</v>
      </c>
      <c r="G111" s="81">
        <v>0</v>
      </c>
      <c r="H111" s="81">
        <v>0</v>
      </c>
      <c r="I111" s="82">
        <f>B111+D111-H111</f>
        <v>205</v>
      </c>
      <c r="J111" s="79">
        <v>1941</v>
      </c>
      <c r="K111" s="80">
        <v>1941</v>
      </c>
      <c r="L111" s="80">
        <v>0</v>
      </c>
      <c r="M111" s="81">
        <v>1941</v>
      </c>
      <c r="N111" s="83">
        <f>J111+L111-M111</f>
        <v>0</v>
      </c>
      <c r="O111" s="79">
        <f>62+47</f>
        <v>109</v>
      </c>
      <c r="P111" s="80">
        <f>62+42</f>
        <v>104</v>
      </c>
      <c r="Q111" s="81">
        <v>60</v>
      </c>
      <c r="R111" s="82">
        <f>O111-Q111</f>
        <v>49</v>
      </c>
      <c r="S111" s="79">
        <f>1+8</f>
        <v>9</v>
      </c>
      <c r="T111" s="81">
        <f>1+8</f>
        <v>9</v>
      </c>
      <c r="U111" s="81">
        <v>8</v>
      </c>
      <c r="V111" s="82">
        <f>S111-U111</f>
        <v>1</v>
      </c>
      <c r="W111" s="35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13.5" thickBot="1">
      <c r="A112" s="28" t="s">
        <v>27</v>
      </c>
      <c r="B112" s="18">
        <f aca="true" t="shared" si="32" ref="B112:V112">SUM(B113:B117)</f>
        <v>920</v>
      </c>
      <c r="C112" s="19">
        <f t="shared" si="32"/>
        <v>920</v>
      </c>
      <c r="D112" s="19">
        <f t="shared" si="32"/>
        <v>322</v>
      </c>
      <c r="E112" s="19">
        <f t="shared" si="32"/>
        <v>0</v>
      </c>
      <c r="F112" s="19">
        <f t="shared" si="32"/>
        <v>0</v>
      </c>
      <c r="G112" s="19">
        <f t="shared" si="32"/>
        <v>317</v>
      </c>
      <c r="H112" s="19">
        <f t="shared" si="32"/>
        <v>558</v>
      </c>
      <c r="I112" s="20">
        <f t="shared" si="32"/>
        <v>684</v>
      </c>
      <c r="J112" s="18">
        <f t="shared" si="32"/>
        <v>270</v>
      </c>
      <c r="K112" s="19">
        <f t="shared" si="32"/>
        <v>270</v>
      </c>
      <c r="L112" s="19">
        <f t="shared" si="32"/>
        <v>198</v>
      </c>
      <c r="M112" s="19">
        <f t="shared" si="32"/>
        <v>60</v>
      </c>
      <c r="N112" s="20">
        <f t="shared" si="32"/>
        <v>408</v>
      </c>
      <c r="O112" s="18">
        <f t="shared" si="32"/>
        <v>471</v>
      </c>
      <c r="P112" s="19">
        <f t="shared" si="32"/>
        <v>471</v>
      </c>
      <c r="Q112" s="19">
        <f t="shared" si="32"/>
        <v>179</v>
      </c>
      <c r="R112" s="20">
        <f t="shared" si="32"/>
        <v>292</v>
      </c>
      <c r="S112" s="18">
        <f t="shared" si="32"/>
        <v>129</v>
      </c>
      <c r="T112" s="19">
        <f t="shared" si="32"/>
        <v>129</v>
      </c>
      <c r="U112" s="19">
        <f t="shared" si="32"/>
        <v>52</v>
      </c>
      <c r="V112" s="20">
        <f t="shared" si="32"/>
        <v>77</v>
      </c>
      <c r="W112" s="35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s="49" customFormat="1" ht="12.75">
      <c r="A113" s="86" t="s">
        <v>190</v>
      </c>
      <c r="B113" s="70">
        <v>356</v>
      </c>
      <c r="C113" s="71">
        <v>356</v>
      </c>
      <c r="D113" s="71">
        <v>55</v>
      </c>
      <c r="E113" s="71">
        <v>0</v>
      </c>
      <c r="F113" s="71">
        <v>0</v>
      </c>
      <c r="G113" s="71">
        <v>0</v>
      </c>
      <c r="H113" s="71">
        <v>18</v>
      </c>
      <c r="I113" s="31">
        <f>B113+D113-H113</f>
        <v>393</v>
      </c>
      <c r="J113" s="70">
        <v>9</v>
      </c>
      <c r="K113" s="71">
        <v>9</v>
      </c>
      <c r="L113" s="71">
        <v>104</v>
      </c>
      <c r="M113" s="71">
        <v>0</v>
      </c>
      <c r="N113" s="31">
        <f>J113+L113-M113</f>
        <v>113</v>
      </c>
      <c r="O113" s="70">
        <v>57</v>
      </c>
      <c r="P113" s="71">
        <v>57</v>
      </c>
      <c r="Q113" s="71">
        <v>6</v>
      </c>
      <c r="R113" s="31">
        <f>O113-Q113</f>
        <v>51</v>
      </c>
      <c r="S113" s="70">
        <v>44</v>
      </c>
      <c r="T113" s="71">
        <v>44</v>
      </c>
      <c r="U113" s="71">
        <v>0</v>
      </c>
      <c r="V113" s="31">
        <f>S113-U113</f>
        <v>44</v>
      </c>
      <c r="W113" s="57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</row>
    <row r="114" spans="1:35" s="49" customFormat="1" ht="21" customHeight="1">
      <c r="A114" s="109" t="s">
        <v>45</v>
      </c>
      <c r="B114" s="45">
        <v>66</v>
      </c>
      <c r="C114" s="87">
        <v>66</v>
      </c>
      <c r="D114" s="47">
        <v>7</v>
      </c>
      <c r="E114" s="47">
        <v>0</v>
      </c>
      <c r="F114" s="47">
        <v>0</v>
      </c>
      <c r="G114" s="47">
        <v>0</v>
      </c>
      <c r="H114" s="47">
        <v>0</v>
      </c>
      <c r="I114" s="32">
        <f>B114+D114-H114</f>
        <v>73</v>
      </c>
      <c r="J114" s="45">
        <v>229</v>
      </c>
      <c r="K114" s="47">
        <v>229</v>
      </c>
      <c r="L114" s="47">
        <f>58+20</f>
        <v>78</v>
      </c>
      <c r="M114" s="47">
        <v>20</v>
      </c>
      <c r="N114" s="32">
        <f>J114+L114-M114</f>
        <v>287</v>
      </c>
      <c r="O114" s="45">
        <v>202</v>
      </c>
      <c r="P114" s="47">
        <v>202</v>
      </c>
      <c r="Q114" s="47">
        <v>25</v>
      </c>
      <c r="R114" s="32">
        <f>O114-Q114</f>
        <v>177</v>
      </c>
      <c r="S114" s="45">
        <v>70</v>
      </c>
      <c r="T114" s="47">
        <v>70</v>
      </c>
      <c r="U114" s="47">
        <v>40</v>
      </c>
      <c r="V114" s="32">
        <f>S114-U114</f>
        <v>30</v>
      </c>
      <c r="W114" s="65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</row>
    <row r="115" spans="1:35" s="49" customFormat="1" ht="12.75">
      <c r="A115" s="60" t="s">
        <v>6</v>
      </c>
      <c r="B115" s="45">
        <v>299</v>
      </c>
      <c r="C115" s="47">
        <v>299</v>
      </c>
      <c r="D115" s="47">
        <v>122</v>
      </c>
      <c r="E115" s="47">
        <v>0</v>
      </c>
      <c r="F115" s="47">
        <v>0</v>
      </c>
      <c r="G115" s="47">
        <v>280</v>
      </c>
      <c r="H115" s="47">
        <f>280+29</f>
        <v>309</v>
      </c>
      <c r="I115" s="32">
        <f>B115+D115-H115</f>
        <v>112</v>
      </c>
      <c r="J115" s="45">
        <v>32</v>
      </c>
      <c r="K115" s="47">
        <v>32</v>
      </c>
      <c r="L115" s="47">
        <v>1</v>
      </c>
      <c r="M115" s="47">
        <v>25</v>
      </c>
      <c r="N115" s="32">
        <f>J115+L115-M115</f>
        <v>8</v>
      </c>
      <c r="O115" s="45">
        <v>101</v>
      </c>
      <c r="P115" s="47">
        <v>101</v>
      </c>
      <c r="Q115" s="47">
        <v>90</v>
      </c>
      <c r="R115" s="32">
        <f>O115-Q115</f>
        <v>11</v>
      </c>
      <c r="S115" s="45">
        <v>3</v>
      </c>
      <c r="T115" s="47">
        <v>3</v>
      </c>
      <c r="U115" s="47">
        <v>0</v>
      </c>
      <c r="V115" s="32">
        <f>S115-U115</f>
        <v>3</v>
      </c>
      <c r="W115" s="57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</row>
    <row r="116" spans="1:35" s="49" customFormat="1" ht="12.75">
      <c r="A116" s="44" t="s">
        <v>42</v>
      </c>
      <c r="B116" s="45">
        <v>37</v>
      </c>
      <c r="C116" s="47">
        <v>37</v>
      </c>
      <c r="D116" s="47">
        <v>114</v>
      </c>
      <c r="E116" s="47">
        <v>0</v>
      </c>
      <c r="F116" s="47">
        <v>0</v>
      </c>
      <c r="G116" s="47">
        <v>37</v>
      </c>
      <c r="H116" s="47">
        <f>37+114</f>
        <v>151</v>
      </c>
      <c r="I116" s="32">
        <f>B116+D116-H116</f>
        <v>0</v>
      </c>
      <c r="J116" s="45">
        <v>0</v>
      </c>
      <c r="K116" s="47">
        <v>0</v>
      </c>
      <c r="L116" s="47">
        <v>0</v>
      </c>
      <c r="M116" s="47">
        <v>0</v>
      </c>
      <c r="N116" s="32">
        <f>J116+L116-M116</f>
        <v>0</v>
      </c>
      <c r="O116" s="45">
        <v>36</v>
      </c>
      <c r="P116" s="47">
        <v>36</v>
      </c>
      <c r="Q116" s="47">
        <v>36</v>
      </c>
      <c r="R116" s="32">
        <f>O116-Q116</f>
        <v>0</v>
      </c>
      <c r="S116" s="45">
        <v>0</v>
      </c>
      <c r="T116" s="47">
        <v>0</v>
      </c>
      <c r="U116" s="47">
        <v>0</v>
      </c>
      <c r="V116" s="32">
        <f>S116-U116</f>
        <v>0</v>
      </c>
      <c r="W116" s="57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</row>
    <row r="117" spans="1:35" s="49" customFormat="1" ht="13.5" thickBot="1">
      <c r="A117" s="60" t="s">
        <v>70</v>
      </c>
      <c r="B117" s="45">
        <v>162</v>
      </c>
      <c r="C117" s="47">
        <v>162</v>
      </c>
      <c r="D117" s="47">
        <v>24</v>
      </c>
      <c r="E117" s="47">
        <v>0</v>
      </c>
      <c r="F117" s="47">
        <v>0</v>
      </c>
      <c r="G117" s="47">
        <v>0</v>
      </c>
      <c r="H117" s="47">
        <v>80</v>
      </c>
      <c r="I117" s="32">
        <f>B117+D117-H117</f>
        <v>106</v>
      </c>
      <c r="J117" s="45">
        <v>0</v>
      </c>
      <c r="K117" s="47">
        <v>0</v>
      </c>
      <c r="L117" s="47">
        <v>15</v>
      </c>
      <c r="M117" s="47">
        <v>15</v>
      </c>
      <c r="N117" s="32">
        <f>J117+L117-M117</f>
        <v>0</v>
      </c>
      <c r="O117" s="45">
        <v>75</v>
      </c>
      <c r="P117" s="47">
        <v>75</v>
      </c>
      <c r="Q117" s="47">
        <v>22</v>
      </c>
      <c r="R117" s="32">
        <f>O117-Q117</f>
        <v>53</v>
      </c>
      <c r="S117" s="45">
        <v>12</v>
      </c>
      <c r="T117" s="47">
        <v>12</v>
      </c>
      <c r="U117" s="47">
        <v>12</v>
      </c>
      <c r="V117" s="32">
        <f>S117-U117</f>
        <v>0</v>
      </c>
      <c r="W117" s="57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</row>
    <row r="118" spans="1:35" ht="13.5" thickBot="1">
      <c r="A118" s="28" t="s">
        <v>28</v>
      </c>
      <c r="B118" s="18">
        <f>SUM(B119:B127)</f>
        <v>2382</v>
      </c>
      <c r="C118" s="19">
        <f aca="true" t="shared" si="33" ref="C118:V118">SUM(C119:C127)</f>
        <v>2382</v>
      </c>
      <c r="D118" s="19">
        <f t="shared" si="33"/>
        <v>2219</v>
      </c>
      <c r="E118" s="19">
        <f t="shared" si="33"/>
        <v>945</v>
      </c>
      <c r="F118" s="19">
        <f t="shared" si="33"/>
        <v>50</v>
      </c>
      <c r="G118" s="19">
        <f t="shared" si="33"/>
        <v>1270</v>
      </c>
      <c r="H118" s="19">
        <f t="shared" si="33"/>
        <v>3044</v>
      </c>
      <c r="I118" s="20">
        <f t="shared" si="33"/>
        <v>1557</v>
      </c>
      <c r="J118" s="18">
        <f t="shared" si="33"/>
        <v>1633</v>
      </c>
      <c r="K118" s="19">
        <f t="shared" si="33"/>
        <v>1633</v>
      </c>
      <c r="L118" s="19">
        <f t="shared" si="33"/>
        <v>448</v>
      </c>
      <c r="M118" s="19">
        <f t="shared" si="33"/>
        <v>1283</v>
      </c>
      <c r="N118" s="20">
        <f t="shared" si="33"/>
        <v>798</v>
      </c>
      <c r="O118" s="18">
        <f t="shared" si="33"/>
        <v>1871</v>
      </c>
      <c r="P118" s="19">
        <f t="shared" si="33"/>
        <v>1833</v>
      </c>
      <c r="Q118" s="19">
        <f t="shared" si="33"/>
        <v>1414</v>
      </c>
      <c r="R118" s="20">
        <f t="shared" si="33"/>
        <v>457</v>
      </c>
      <c r="S118" s="18">
        <f t="shared" si="33"/>
        <v>133</v>
      </c>
      <c r="T118" s="19">
        <f t="shared" si="33"/>
        <v>133</v>
      </c>
      <c r="U118" s="19">
        <f t="shared" si="33"/>
        <v>9</v>
      </c>
      <c r="V118" s="20">
        <f t="shared" si="33"/>
        <v>124</v>
      </c>
      <c r="W118" s="35"/>
      <c r="X118" s="6"/>
      <c r="Y118" s="6"/>
      <c r="Z118" s="6"/>
      <c r="AA118" s="96"/>
      <c r="AB118" s="6"/>
      <c r="AC118" s="6"/>
      <c r="AD118" s="6"/>
      <c r="AE118" s="6"/>
      <c r="AF118" s="6"/>
      <c r="AG118" s="6"/>
      <c r="AH118" s="6"/>
      <c r="AI118" s="6"/>
    </row>
    <row r="119" spans="1:35" s="49" customFormat="1" ht="12.75">
      <c r="A119" s="75" t="s">
        <v>46</v>
      </c>
      <c r="B119" s="52">
        <v>212</v>
      </c>
      <c r="C119" s="54">
        <v>212</v>
      </c>
      <c r="D119" s="54">
        <v>260</v>
      </c>
      <c r="E119" s="54">
        <v>42</v>
      </c>
      <c r="F119" s="54">
        <v>0</v>
      </c>
      <c r="G119" s="54">
        <v>250</v>
      </c>
      <c r="H119" s="54">
        <f>42+91+250</f>
        <v>383</v>
      </c>
      <c r="I119" s="56">
        <f aca="true" t="shared" si="34" ref="I119:I127">B119+D119-H119</f>
        <v>89</v>
      </c>
      <c r="J119" s="52">
        <f>20+96</f>
        <v>116</v>
      </c>
      <c r="K119" s="54">
        <v>116</v>
      </c>
      <c r="L119" s="54">
        <f>19+240</f>
        <v>259</v>
      </c>
      <c r="M119" s="54">
        <v>320</v>
      </c>
      <c r="N119" s="56">
        <f aca="true" t="shared" si="35" ref="N119:N126">J119+L119-M119</f>
        <v>55</v>
      </c>
      <c r="O119" s="52">
        <f>88+106</f>
        <v>194</v>
      </c>
      <c r="P119" s="54">
        <f>79+106</f>
        <v>185</v>
      </c>
      <c r="Q119" s="54">
        <v>185</v>
      </c>
      <c r="R119" s="56">
        <f>O119-Q119</f>
        <v>9</v>
      </c>
      <c r="S119" s="52">
        <v>23</v>
      </c>
      <c r="T119" s="54">
        <v>23</v>
      </c>
      <c r="U119" s="54">
        <v>0</v>
      </c>
      <c r="V119" s="56">
        <f aca="true" t="shared" si="36" ref="V119:V126">S119-U119</f>
        <v>23</v>
      </c>
      <c r="W119" s="57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</row>
    <row r="120" spans="1:35" s="49" customFormat="1" ht="12.75">
      <c r="A120" s="60" t="s">
        <v>47</v>
      </c>
      <c r="B120" s="45">
        <v>65</v>
      </c>
      <c r="C120" s="47">
        <v>65</v>
      </c>
      <c r="D120" s="47">
        <v>164</v>
      </c>
      <c r="E120" s="47">
        <v>0</v>
      </c>
      <c r="F120" s="47">
        <v>0</v>
      </c>
      <c r="G120" s="47">
        <v>0</v>
      </c>
      <c r="H120" s="47">
        <v>80</v>
      </c>
      <c r="I120" s="32">
        <f t="shared" si="34"/>
        <v>149</v>
      </c>
      <c r="J120" s="45">
        <v>56</v>
      </c>
      <c r="K120" s="47">
        <v>56</v>
      </c>
      <c r="L120" s="47">
        <v>2</v>
      </c>
      <c r="M120" s="47">
        <v>0</v>
      </c>
      <c r="N120" s="32">
        <f t="shared" si="35"/>
        <v>58</v>
      </c>
      <c r="O120" s="45">
        <f>223+80</f>
        <v>303</v>
      </c>
      <c r="P120" s="47">
        <f>218+80</f>
        <v>298</v>
      </c>
      <c r="Q120" s="47">
        <v>92</v>
      </c>
      <c r="R120" s="32">
        <f aca="true" t="shared" si="37" ref="R120:R127">O120-Q120</f>
        <v>211</v>
      </c>
      <c r="S120" s="45">
        <v>6</v>
      </c>
      <c r="T120" s="47">
        <v>6</v>
      </c>
      <c r="U120" s="47">
        <v>0</v>
      </c>
      <c r="V120" s="32">
        <f t="shared" si="36"/>
        <v>6</v>
      </c>
      <c r="W120" s="57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</row>
    <row r="121" spans="1:35" s="49" customFormat="1" ht="12.75">
      <c r="A121" s="44" t="s">
        <v>48</v>
      </c>
      <c r="B121" s="45">
        <v>223</v>
      </c>
      <c r="C121" s="47">
        <v>223</v>
      </c>
      <c r="D121" s="47">
        <v>308</v>
      </c>
      <c r="E121" s="47">
        <v>0</v>
      </c>
      <c r="F121" s="47">
        <v>0</v>
      </c>
      <c r="G121" s="47">
        <v>0</v>
      </c>
      <c r="H121" s="47">
        <v>83</v>
      </c>
      <c r="I121" s="32">
        <f t="shared" si="34"/>
        <v>448</v>
      </c>
      <c r="J121" s="45">
        <v>485</v>
      </c>
      <c r="K121" s="47">
        <v>485</v>
      </c>
      <c r="L121" s="47">
        <v>30</v>
      </c>
      <c r="M121" s="47">
        <v>180</v>
      </c>
      <c r="N121" s="32">
        <f t="shared" si="35"/>
        <v>335</v>
      </c>
      <c r="O121" s="45">
        <f>105+96</f>
        <v>201</v>
      </c>
      <c r="P121" s="47">
        <f>86+105</f>
        <v>191</v>
      </c>
      <c r="Q121" s="47">
        <v>130</v>
      </c>
      <c r="R121" s="32">
        <f t="shared" si="37"/>
        <v>71</v>
      </c>
      <c r="S121" s="45">
        <f>15+77</f>
        <v>92</v>
      </c>
      <c r="T121" s="47">
        <f>77+15</f>
        <v>92</v>
      </c>
      <c r="U121" s="47">
        <v>0</v>
      </c>
      <c r="V121" s="32">
        <f t="shared" si="36"/>
        <v>92</v>
      </c>
      <c r="W121" s="57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</row>
    <row r="122" spans="1:35" s="49" customFormat="1" ht="12.75">
      <c r="A122" s="60" t="s">
        <v>49</v>
      </c>
      <c r="B122" s="45">
        <v>310</v>
      </c>
      <c r="C122" s="47">
        <v>310</v>
      </c>
      <c r="D122" s="47">
        <v>337</v>
      </c>
      <c r="E122" s="47">
        <v>200</v>
      </c>
      <c r="F122" s="47">
        <v>0</v>
      </c>
      <c r="G122" s="47">
        <v>0</v>
      </c>
      <c r="H122" s="47">
        <v>358</v>
      </c>
      <c r="I122" s="32">
        <f t="shared" si="34"/>
        <v>289</v>
      </c>
      <c r="J122" s="45">
        <v>233</v>
      </c>
      <c r="K122" s="47">
        <v>233</v>
      </c>
      <c r="L122" s="47">
        <v>50</v>
      </c>
      <c r="M122" s="47">
        <v>283</v>
      </c>
      <c r="N122" s="32">
        <f t="shared" si="35"/>
        <v>0</v>
      </c>
      <c r="O122" s="45">
        <f>135+65</f>
        <v>200</v>
      </c>
      <c r="P122" s="47">
        <v>200</v>
      </c>
      <c r="Q122" s="47">
        <v>200</v>
      </c>
      <c r="R122" s="32">
        <f t="shared" si="37"/>
        <v>0</v>
      </c>
      <c r="S122" s="45">
        <v>8</v>
      </c>
      <c r="T122" s="47">
        <v>8</v>
      </c>
      <c r="U122" s="47">
        <v>8</v>
      </c>
      <c r="V122" s="32">
        <f t="shared" si="36"/>
        <v>0</v>
      </c>
      <c r="W122" s="57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</row>
    <row r="123" spans="1:35" s="49" customFormat="1" ht="12.75">
      <c r="A123" s="72" t="s">
        <v>50</v>
      </c>
      <c r="B123" s="45">
        <v>216</v>
      </c>
      <c r="C123" s="47">
        <v>216</v>
      </c>
      <c r="D123" s="47">
        <v>340</v>
      </c>
      <c r="E123" s="47">
        <v>0</v>
      </c>
      <c r="F123" s="47">
        <v>0</v>
      </c>
      <c r="G123" s="47">
        <v>240</v>
      </c>
      <c r="H123" s="47">
        <v>401</v>
      </c>
      <c r="I123" s="32">
        <f t="shared" si="34"/>
        <v>155</v>
      </c>
      <c r="J123" s="45">
        <v>150</v>
      </c>
      <c r="K123" s="47">
        <v>150</v>
      </c>
      <c r="L123" s="47">
        <v>0</v>
      </c>
      <c r="M123" s="47">
        <v>60</v>
      </c>
      <c r="N123" s="32">
        <f t="shared" si="35"/>
        <v>90</v>
      </c>
      <c r="O123" s="45">
        <f>263+110</f>
        <v>373</v>
      </c>
      <c r="P123" s="47">
        <v>373</v>
      </c>
      <c r="Q123" s="47">
        <v>351</v>
      </c>
      <c r="R123" s="32">
        <f t="shared" si="37"/>
        <v>22</v>
      </c>
      <c r="S123" s="45">
        <v>2</v>
      </c>
      <c r="T123" s="47">
        <v>2</v>
      </c>
      <c r="U123" s="47">
        <v>0</v>
      </c>
      <c r="V123" s="32">
        <f t="shared" si="36"/>
        <v>2</v>
      </c>
      <c r="W123" s="57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</row>
    <row r="124" spans="1:35" s="49" customFormat="1" ht="12.75">
      <c r="A124" s="60" t="s">
        <v>51</v>
      </c>
      <c r="B124" s="45">
        <v>506</v>
      </c>
      <c r="C124" s="47">
        <v>506</v>
      </c>
      <c r="D124" s="47">
        <v>315</v>
      </c>
      <c r="E124" s="47">
        <v>600</v>
      </c>
      <c r="F124" s="47">
        <v>0</v>
      </c>
      <c r="G124" s="47">
        <v>30</v>
      </c>
      <c r="H124" s="47">
        <v>645</v>
      </c>
      <c r="I124" s="32">
        <f t="shared" si="34"/>
        <v>176</v>
      </c>
      <c r="J124" s="45">
        <v>53</v>
      </c>
      <c r="K124" s="47">
        <v>53</v>
      </c>
      <c r="L124" s="47">
        <v>4</v>
      </c>
      <c r="M124" s="47">
        <v>0</v>
      </c>
      <c r="N124" s="32">
        <f t="shared" si="35"/>
        <v>57</v>
      </c>
      <c r="O124" s="45">
        <v>87</v>
      </c>
      <c r="P124" s="47">
        <v>87</v>
      </c>
      <c r="Q124" s="47">
        <v>52</v>
      </c>
      <c r="R124" s="32">
        <f t="shared" si="37"/>
        <v>35</v>
      </c>
      <c r="S124" s="45">
        <v>0</v>
      </c>
      <c r="T124" s="47">
        <v>0</v>
      </c>
      <c r="U124" s="47">
        <v>0</v>
      </c>
      <c r="V124" s="32">
        <f t="shared" si="36"/>
        <v>0</v>
      </c>
      <c r="W124" s="57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</row>
    <row r="125" spans="1:35" s="49" customFormat="1" ht="12.75">
      <c r="A125" s="59" t="s">
        <v>52</v>
      </c>
      <c r="B125" s="45">
        <v>586</v>
      </c>
      <c r="C125" s="47">
        <v>586</v>
      </c>
      <c r="D125" s="47">
        <v>242</v>
      </c>
      <c r="E125" s="47">
        <v>0</v>
      </c>
      <c r="F125" s="47">
        <v>50</v>
      </c>
      <c r="G125" s="47">
        <v>500</v>
      </c>
      <c r="H125" s="47">
        <v>653</v>
      </c>
      <c r="I125" s="32">
        <f t="shared" si="34"/>
        <v>175</v>
      </c>
      <c r="J125" s="45">
        <v>170</v>
      </c>
      <c r="K125" s="47">
        <v>170</v>
      </c>
      <c r="L125" s="47">
        <v>50</v>
      </c>
      <c r="M125" s="47">
        <v>103</v>
      </c>
      <c r="N125" s="32">
        <f t="shared" si="35"/>
        <v>117</v>
      </c>
      <c r="O125" s="45">
        <f>80+183</f>
        <v>263</v>
      </c>
      <c r="P125" s="47">
        <v>263</v>
      </c>
      <c r="Q125" s="47">
        <v>200</v>
      </c>
      <c r="R125" s="32">
        <f t="shared" si="37"/>
        <v>63</v>
      </c>
      <c r="S125" s="45">
        <v>1</v>
      </c>
      <c r="T125" s="47">
        <v>1</v>
      </c>
      <c r="U125" s="47">
        <v>1</v>
      </c>
      <c r="V125" s="32">
        <f t="shared" si="36"/>
        <v>0</v>
      </c>
      <c r="W125" s="57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</row>
    <row r="126" spans="1:35" s="49" customFormat="1" ht="12.75">
      <c r="A126" s="60" t="s">
        <v>60</v>
      </c>
      <c r="B126" s="45">
        <v>83</v>
      </c>
      <c r="C126" s="47">
        <v>83</v>
      </c>
      <c r="D126" s="47">
        <v>32</v>
      </c>
      <c r="E126" s="47">
        <v>0</v>
      </c>
      <c r="F126" s="47">
        <v>0</v>
      </c>
      <c r="G126" s="47">
        <v>30</v>
      </c>
      <c r="H126" s="47">
        <v>45</v>
      </c>
      <c r="I126" s="32">
        <f t="shared" si="34"/>
        <v>70</v>
      </c>
      <c r="J126" s="45">
        <v>194</v>
      </c>
      <c r="K126" s="47">
        <v>194</v>
      </c>
      <c r="L126" s="47">
        <v>30</v>
      </c>
      <c r="M126" s="47">
        <v>160</v>
      </c>
      <c r="N126" s="32">
        <f t="shared" si="35"/>
        <v>64</v>
      </c>
      <c r="O126" s="45">
        <f>59+50</f>
        <v>109</v>
      </c>
      <c r="P126" s="47">
        <v>109</v>
      </c>
      <c r="Q126" s="47">
        <v>69</v>
      </c>
      <c r="R126" s="32">
        <f t="shared" si="37"/>
        <v>40</v>
      </c>
      <c r="S126" s="45">
        <v>1</v>
      </c>
      <c r="T126" s="47">
        <v>1</v>
      </c>
      <c r="U126" s="47">
        <v>0</v>
      </c>
      <c r="V126" s="32">
        <f t="shared" si="36"/>
        <v>1</v>
      </c>
      <c r="W126" s="57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</row>
    <row r="127" spans="1:35" s="49" customFormat="1" ht="13.5" thickBot="1">
      <c r="A127" s="61" t="s">
        <v>53</v>
      </c>
      <c r="B127" s="63">
        <v>181</v>
      </c>
      <c r="C127" s="64">
        <v>181</v>
      </c>
      <c r="D127" s="64">
        <v>221</v>
      </c>
      <c r="E127" s="64">
        <v>103</v>
      </c>
      <c r="F127" s="64">
        <v>0</v>
      </c>
      <c r="G127" s="64">
        <v>220</v>
      </c>
      <c r="H127" s="64">
        <v>396</v>
      </c>
      <c r="I127" s="62">
        <f t="shared" si="34"/>
        <v>6</v>
      </c>
      <c r="J127" s="63">
        <f>139+37</f>
        <v>176</v>
      </c>
      <c r="K127" s="64">
        <v>176</v>
      </c>
      <c r="L127" s="64">
        <v>23</v>
      </c>
      <c r="M127" s="64">
        <f>120+57</f>
        <v>177</v>
      </c>
      <c r="N127" s="62">
        <f>J127+L127-M127</f>
        <v>22</v>
      </c>
      <c r="O127" s="63">
        <f>60+81</f>
        <v>141</v>
      </c>
      <c r="P127" s="64">
        <f>46+81</f>
        <v>127</v>
      </c>
      <c r="Q127" s="64">
        <v>135</v>
      </c>
      <c r="R127" s="62">
        <f t="shared" si="37"/>
        <v>6</v>
      </c>
      <c r="S127" s="63">
        <v>0</v>
      </c>
      <c r="T127" s="64">
        <v>0</v>
      </c>
      <c r="U127" s="64">
        <v>0</v>
      </c>
      <c r="V127" s="62">
        <f>S127-U127</f>
        <v>0</v>
      </c>
      <c r="W127" s="65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</row>
    <row r="128" spans="1:35" s="49" customFormat="1" ht="12.75">
      <c r="A128" s="122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67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</row>
    <row r="129" spans="1:34" ht="20.25" customHeight="1" thickBot="1">
      <c r="A129" s="29" t="s">
        <v>174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30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33"/>
      <c r="X129" s="2"/>
      <c r="Y129" s="131"/>
      <c r="Z129" s="130"/>
      <c r="AA129" s="131"/>
      <c r="AC129" s="2"/>
      <c r="AH129" s="2"/>
    </row>
    <row r="130" spans="1:34" s="1" customFormat="1" ht="12.75">
      <c r="A130" s="150" t="s">
        <v>40</v>
      </c>
      <c r="B130" s="151"/>
      <c r="C130" s="385" t="s">
        <v>71</v>
      </c>
      <c r="D130" s="386"/>
      <c r="E130" s="152" t="s">
        <v>35</v>
      </c>
      <c r="F130" s="181"/>
      <c r="G130" s="182"/>
      <c r="H130" s="181"/>
      <c r="I130" s="176"/>
      <c r="J130" s="176" t="s">
        <v>65</v>
      </c>
      <c r="K130" s="152"/>
      <c r="L130" s="153"/>
      <c r="M130" s="154"/>
      <c r="N130" s="154"/>
      <c r="O130" s="349"/>
      <c r="P130" s="350"/>
      <c r="Q130" s="101"/>
      <c r="R130" s="101"/>
      <c r="S130" s="90"/>
      <c r="T130" s="90"/>
      <c r="U130" s="101"/>
      <c r="V130" s="106"/>
      <c r="W130" s="38"/>
      <c r="X130" s="132"/>
      <c r="Y130" s="131"/>
      <c r="Z130" s="130"/>
      <c r="AA130" s="131"/>
      <c r="AC130" s="132"/>
      <c r="AH130" s="132"/>
    </row>
    <row r="131" spans="1:34" s="1" customFormat="1" ht="12.75">
      <c r="A131" s="78" t="s">
        <v>5</v>
      </c>
      <c r="B131" s="137"/>
      <c r="C131" s="91"/>
      <c r="D131" s="138" t="s">
        <v>72</v>
      </c>
      <c r="E131" s="126"/>
      <c r="F131" s="180"/>
      <c r="G131" s="93"/>
      <c r="H131" s="92"/>
      <c r="I131" s="382"/>
      <c r="J131" s="383"/>
      <c r="K131" s="129"/>
      <c r="L131" s="94"/>
      <c r="M131" s="97"/>
      <c r="N131" s="97"/>
      <c r="O131" s="382"/>
      <c r="P131" s="384"/>
      <c r="Q131" s="101"/>
      <c r="R131" s="101"/>
      <c r="S131" s="90"/>
      <c r="T131" s="90"/>
      <c r="U131" s="101"/>
      <c r="V131" s="106"/>
      <c r="W131" s="38"/>
      <c r="X131" s="132"/>
      <c r="Y131" s="131"/>
      <c r="Z131" s="130"/>
      <c r="AA131" s="131"/>
      <c r="AC131" s="132"/>
      <c r="AH131" s="132"/>
    </row>
    <row r="132" spans="1:34" s="1" customFormat="1" ht="12.75">
      <c r="A132" s="155" t="s">
        <v>66</v>
      </c>
      <c r="B132" s="95"/>
      <c r="C132" s="136"/>
      <c r="D132" s="91" t="s">
        <v>67</v>
      </c>
      <c r="E132" s="177"/>
      <c r="F132" s="178"/>
      <c r="G132" s="179"/>
      <c r="H132" s="179"/>
      <c r="I132" s="91"/>
      <c r="J132" s="91"/>
      <c r="K132" s="129"/>
      <c r="L132" s="94"/>
      <c r="M132" s="97"/>
      <c r="N132" s="97"/>
      <c r="O132" s="135"/>
      <c r="P132" s="156"/>
      <c r="Q132" s="101"/>
      <c r="R132" s="101"/>
      <c r="S132" s="101"/>
      <c r="T132" s="101"/>
      <c r="U132" s="101"/>
      <c r="V132" s="101"/>
      <c r="W132" s="38"/>
      <c r="X132" s="132"/>
      <c r="Y132" s="131"/>
      <c r="Z132" s="130"/>
      <c r="AA132" s="131"/>
      <c r="AC132" s="132"/>
      <c r="AH132" s="132"/>
    </row>
    <row r="133" spans="1:34" s="1" customFormat="1" ht="12.75" customHeight="1">
      <c r="A133" s="44" t="s">
        <v>68</v>
      </c>
      <c r="B133" s="92"/>
      <c r="C133" s="136"/>
      <c r="D133" s="91" t="s">
        <v>69</v>
      </c>
      <c r="E133" s="126"/>
      <c r="F133" s="92"/>
      <c r="G133" s="93"/>
      <c r="H133" s="92"/>
      <c r="I133" s="91"/>
      <c r="J133" s="91"/>
      <c r="K133" s="141"/>
      <c r="L133" s="134"/>
      <c r="M133" s="134"/>
      <c r="N133" s="134"/>
      <c r="O133" s="134"/>
      <c r="P133" s="157"/>
      <c r="Q133" s="101"/>
      <c r="R133" s="101"/>
      <c r="S133" s="101"/>
      <c r="T133" s="101"/>
      <c r="U133" s="101"/>
      <c r="V133" s="101"/>
      <c r="W133" s="38"/>
      <c r="X133" s="132"/>
      <c r="Y133" s="131"/>
      <c r="Z133" s="130"/>
      <c r="AA133" s="131"/>
      <c r="AC133" s="132"/>
      <c r="AH133" s="132"/>
    </row>
    <row r="134" spans="1:34" s="1" customFormat="1" ht="12.75" customHeight="1" thickBot="1">
      <c r="A134" s="329" t="s">
        <v>56</v>
      </c>
      <c r="B134" s="161"/>
      <c r="C134" s="162"/>
      <c r="D134" s="159" t="s">
        <v>64</v>
      </c>
      <c r="E134" s="160"/>
      <c r="F134" s="161"/>
      <c r="G134" s="162"/>
      <c r="H134" s="158"/>
      <c r="I134" s="354"/>
      <c r="J134" s="348"/>
      <c r="K134" s="160"/>
      <c r="L134" s="162"/>
      <c r="M134" s="158"/>
      <c r="N134" s="158"/>
      <c r="O134" s="352"/>
      <c r="P134" s="353"/>
      <c r="Q134" s="101"/>
      <c r="R134" s="101"/>
      <c r="S134" s="101"/>
      <c r="T134" s="101"/>
      <c r="U134" s="101"/>
      <c r="V134" s="101"/>
      <c r="W134" s="38"/>
      <c r="X134" s="132"/>
      <c r="Y134" s="131"/>
      <c r="Z134" s="130"/>
      <c r="AA134" s="131"/>
      <c r="AC134" s="132"/>
      <c r="AH134" s="132"/>
    </row>
    <row r="135" spans="1:34" s="1" customFormat="1" ht="12.75" customHeight="1">
      <c r="A135" s="142"/>
      <c r="B135" s="106"/>
      <c r="C135" s="140"/>
      <c r="D135" s="130"/>
      <c r="E135" s="89"/>
      <c r="F135" s="105"/>
      <c r="G135" s="143"/>
      <c r="H135" s="106"/>
      <c r="I135" s="139"/>
      <c r="J135" s="139"/>
      <c r="K135" s="89"/>
      <c r="L135" s="143"/>
      <c r="M135" s="106"/>
      <c r="N135" s="106"/>
      <c r="O135" s="130"/>
      <c r="P135" s="131"/>
      <c r="Q135" s="101"/>
      <c r="R135" s="101"/>
      <c r="S135" s="101"/>
      <c r="T135" s="101"/>
      <c r="U135" s="101"/>
      <c r="V135" s="101"/>
      <c r="W135" s="38"/>
      <c r="X135" s="132"/>
      <c r="Y135" s="131"/>
      <c r="Z135" s="130"/>
      <c r="AA135" s="131"/>
      <c r="AC135" s="132"/>
      <c r="AH135" s="132"/>
    </row>
    <row r="136" spans="1:34" s="168" customFormat="1" ht="18.75" thickBot="1">
      <c r="A136" s="351" t="s">
        <v>75</v>
      </c>
      <c r="B136" s="351"/>
      <c r="C136" s="351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183"/>
      <c r="X136" s="184"/>
      <c r="Y136" s="412"/>
      <c r="Z136" s="413"/>
      <c r="AC136" s="184"/>
      <c r="AH136" s="184"/>
    </row>
    <row r="137" spans="1:34" s="168" customFormat="1" ht="22.5">
      <c r="A137" s="185" t="s">
        <v>0</v>
      </c>
      <c r="B137" s="318" t="s">
        <v>152</v>
      </c>
      <c r="C137" s="318"/>
      <c r="D137" s="318"/>
      <c r="E137" s="318"/>
      <c r="F137" s="318"/>
      <c r="G137" s="319"/>
      <c r="H137" s="186" t="s">
        <v>29</v>
      </c>
      <c r="I137" s="414" t="s">
        <v>151</v>
      </c>
      <c r="J137" s="415"/>
      <c r="K137" s="415"/>
      <c r="L137" s="415"/>
      <c r="M137" s="415"/>
      <c r="N137" s="415"/>
      <c r="O137" s="415"/>
      <c r="P137" s="415"/>
      <c r="Q137" s="415"/>
      <c r="R137" s="415"/>
      <c r="S137" s="415"/>
      <c r="T137" s="415"/>
      <c r="U137" s="416"/>
      <c r="V137" s="187" t="s">
        <v>29</v>
      </c>
      <c r="W137" s="183"/>
      <c r="X137" s="184"/>
      <c r="Y137" s="412"/>
      <c r="Z137" s="413"/>
      <c r="AC137" s="184"/>
      <c r="AH137" s="184"/>
    </row>
    <row r="138" spans="1:34" s="168" customFormat="1" ht="13.5" thickBot="1">
      <c r="A138" s="188"/>
      <c r="B138" s="189" t="s">
        <v>76</v>
      </c>
      <c r="C138" s="189"/>
      <c r="D138" s="189"/>
      <c r="E138" s="189"/>
      <c r="F138" s="189"/>
      <c r="G138" s="190"/>
      <c r="H138" s="191" t="s">
        <v>77</v>
      </c>
      <c r="I138" s="417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9"/>
      <c r="V138" s="192" t="s">
        <v>78</v>
      </c>
      <c r="W138" s="183"/>
      <c r="X138" s="184"/>
      <c r="Y138" s="412"/>
      <c r="Z138" s="413"/>
      <c r="AC138" s="184"/>
      <c r="AH138" s="184"/>
    </row>
    <row r="139" spans="1:34" s="168" customFormat="1" ht="13.5" thickBot="1">
      <c r="A139" s="193" t="s">
        <v>14</v>
      </c>
      <c r="B139" s="194"/>
      <c r="C139" s="195"/>
      <c r="D139" s="195"/>
      <c r="E139" s="195"/>
      <c r="F139" s="195"/>
      <c r="G139" s="195"/>
      <c r="H139" s="196">
        <f>SUM(H140:H153)</f>
        <v>0</v>
      </c>
      <c r="I139" s="197"/>
      <c r="J139" s="195"/>
      <c r="K139" s="195"/>
      <c r="L139" s="195"/>
      <c r="M139" s="195"/>
      <c r="N139" s="195"/>
      <c r="O139" s="195"/>
      <c r="P139" s="195"/>
      <c r="Q139" s="195"/>
      <c r="R139" s="195"/>
      <c r="S139" s="195"/>
      <c r="T139" s="195"/>
      <c r="U139" s="195"/>
      <c r="V139" s="196">
        <f>SUM(V140:V153)</f>
        <v>530</v>
      </c>
      <c r="W139" s="183"/>
      <c r="X139" s="184"/>
      <c r="Y139" s="420"/>
      <c r="Z139" s="413"/>
      <c r="AC139" s="184"/>
      <c r="AH139" s="184"/>
    </row>
    <row r="140" spans="1:34" s="168" customFormat="1" ht="12.75">
      <c r="A140" s="44" t="s">
        <v>179</v>
      </c>
      <c r="B140" s="199"/>
      <c r="C140" s="200"/>
      <c r="D140" s="200"/>
      <c r="E140" s="200"/>
      <c r="F140" s="200"/>
      <c r="G140" s="200"/>
      <c r="H140" s="201">
        <v>0</v>
      </c>
      <c r="I140" s="199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2">
        <v>0</v>
      </c>
      <c r="W140" s="183"/>
      <c r="X140" s="184"/>
      <c r="Y140" s="420"/>
      <c r="Z140" s="413"/>
      <c r="AC140" s="184"/>
      <c r="AH140" s="184"/>
    </row>
    <row r="141" spans="1:34" s="168" customFormat="1" ht="12.75">
      <c r="A141" s="44" t="s">
        <v>193</v>
      </c>
      <c r="B141" s="199"/>
      <c r="C141" s="200"/>
      <c r="D141" s="200"/>
      <c r="E141" s="200"/>
      <c r="F141" s="200"/>
      <c r="G141" s="200"/>
      <c r="H141" s="201">
        <v>0</v>
      </c>
      <c r="I141" s="203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2">
        <v>0</v>
      </c>
      <c r="W141" s="183"/>
      <c r="X141" s="184"/>
      <c r="Y141" s="420"/>
      <c r="Z141" s="413"/>
      <c r="AC141" s="184"/>
      <c r="AH141" s="184"/>
    </row>
    <row r="142" spans="1:34" s="168" customFormat="1" ht="12.75">
      <c r="A142" s="22" t="s">
        <v>43</v>
      </c>
      <c r="B142" s="199"/>
      <c r="C142" s="200"/>
      <c r="D142" s="200"/>
      <c r="E142" s="200"/>
      <c r="F142" s="200"/>
      <c r="G142" s="200"/>
      <c r="H142" s="201">
        <v>0</v>
      </c>
      <c r="I142" s="203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2">
        <v>0</v>
      </c>
      <c r="W142" s="183"/>
      <c r="X142" s="184"/>
      <c r="Y142" s="420"/>
      <c r="Z142" s="413"/>
      <c r="AC142" s="184"/>
      <c r="AH142" s="184"/>
    </row>
    <row r="143" spans="1:34" s="207" customFormat="1" ht="12.75">
      <c r="A143" s="44" t="s">
        <v>180</v>
      </c>
      <c r="B143" s="203"/>
      <c r="C143" s="204"/>
      <c r="D143" s="204"/>
      <c r="E143" s="204"/>
      <c r="F143" s="204"/>
      <c r="G143" s="204"/>
      <c r="H143" s="205">
        <v>0</v>
      </c>
      <c r="I143" s="203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6">
        <v>0</v>
      </c>
      <c r="X143" s="208"/>
      <c r="Y143" s="420"/>
      <c r="Z143" s="413"/>
      <c r="AC143" s="208"/>
      <c r="AH143" s="208"/>
    </row>
    <row r="144" spans="1:34" s="168" customFormat="1" ht="12.75">
      <c r="A144" s="44" t="s">
        <v>61</v>
      </c>
      <c r="B144" s="199"/>
      <c r="C144" s="200"/>
      <c r="D144" s="200"/>
      <c r="E144" s="200"/>
      <c r="F144" s="200"/>
      <c r="G144" s="200"/>
      <c r="H144" s="201">
        <v>0</v>
      </c>
      <c r="I144" s="199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2">
        <v>0</v>
      </c>
      <c r="W144" s="183"/>
      <c r="X144" s="209"/>
      <c r="Y144" s="420"/>
      <c r="Z144" s="413"/>
      <c r="AC144" s="209"/>
      <c r="AH144" s="209"/>
    </row>
    <row r="145" spans="1:26" s="168" customFormat="1" ht="12.75">
      <c r="A145" s="44" t="s">
        <v>181</v>
      </c>
      <c r="B145" s="199"/>
      <c r="C145" s="200"/>
      <c r="D145" s="200"/>
      <c r="E145" s="200"/>
      <c r="F145" s="200"/>
      <c r="G145" s="200"/>
      <c r="H145" s="201">
        <v>0</v>
      </c>
      <c r="I145" s="199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2">
        <v>0</v>
      </c>
      <c r="W145" s="183" t="s">
        <v>16</v>
      </c>
      <c r="Z145" s="209"/>
    </row>
    <row r="146" spans="1:22" s="207" customFormat="1" ht="12.75">
      <c r="A146" s="44" t="s">
        <v>178</v>
      </c>
      <c r="B146" s="203"/>
      <c r="C146" s="204"/>
      <c r="D146" s="204"/>
      <c r="E146" s="204"/>
      <c r="F146" s="204"/>
      <c r="G146" s="204"/>
      <c r="H146" s="205">
        <v>0</v>
      </c>
      <c r="I146" s="203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V146" s="206">
        <v>0</v>
      </c>
    </row>
    <row r="147" spans="1:22" s="207" customFormat="1" ht="12.75">
      <c r="A147" s="44" t="s">
        <v>186</v>
      </c>
      <c r="B147" s="203"/>
      <c r="C147" s="210"/>
      <c r="D147" s="204"/>
      <c r="E147" s="204"/>
      <c r="F147" s="204"/>
      <c r="G147" s="204"/>
      <c r="H147" s="205">
        <v>0</v>
      </c>
      <c r="I147" s="203"/>
      <c r="J147" s="204"/>
      <c r="K147" s="204"/>
      <c r="L147" s="204"/>
      <c r="M147" s="204"/>
      <c r="N147" s="204"/>
      <c r="O147" s="211"/>
      <c r="P147" s="211"/>
      <c r="Q147" s="211"/>
      <c r="R147" s="211"/>
      <c r="S147" s="211"/>
      <c r="T147" s="211"/>
      <c r="U147" s="204"/>
      <c r="V147" s="206">
        <v>0</v>
      </c>
    </row>
    <row r="148" spans="1:23" s="168" customFormat="1" ht="12.75">
      <c r="A148" s="44" t="s">
        <v>187</v>
      </c>
      <c r="B148" s="199"/>
      <c r="C148" s="200"/>
      <c r="D148" s="200"/>
      <c r="E148" s="200"/>
      <c r="F148" s="200"/>
      <c r="G148" s="200"/>
      <c r="H148" s="201">
        <v>0</v>
      </c>
      <c r="I148" s="203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2">
        <v>0</v>
      </c>
      <c r="W148" s="183"/>
    </row>
    <row r="149" spans="1:23" s="168" customFormat="1" ht="12.75">
      <c r="A149" s="44" t="s">
        <v>194</v>
      </c>
      <c r="B149" s="203"/>
      <c r="C149" s="200"/>
      <c r="D149" s="200"/>
      <c r="E149" s="200"/>
      <c r="F149" s="200"/>
      <c r="G149" s="200"/>
      <c r="H149" s="201">
        <v>0</v>
      </c>
      <c r="I149" s="199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2">
        <v>0</v>
      </c>
      <c r="W149" s="183"/>
    </row>
    <row r="150" spans="1:23" s="168" customFormat="1" ht="12.75">
      <c r="A150" s="44" t="s">
        <v>182</v>
      </c>
      <c r="B150" s="199"/>
      <c r="C150" s="200"/>
      <c r="D150" s="200"/>
      <c r="E150" s="200"/>
      <c r="F150" s="200"/>
      <c r="G150" s="200"/>
      <c r="H150" s="201">
        <v>0</v>
      </c>
      <c r="I150" s="218" t="s">
        <v>172</v>
      </c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2">
        <v>300</v>
      </c>
      <c r="W150" s="183"/>
    </row>
    <row r="151" spans="1:23" s="168" customFormat="1" ht="12.75">
      <c r="A151" s="44" t="s">
        <v>183</v>
      </c>
      <c r="B151" s="199"/>
      <c r="C151" s="200"/>
      <c r="D151" s="200"/>
      <c r="E151" s="200"/>
      <c r="F151" s="200"/>
      <c r="G151" s="200"/>
      <c r="H151" s="201">
        <v>0</v>
      </c>
      <c r="I151" s="199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2">
        <v>0</v>
      </c>
      <c r="W151" s="183"/>
    </row>
    <row r="152" spans="1:23" s="168" customFormat="1" ht="12.75">
      <c r="A152" s="44" t="s">
        <v>184</v>
      </c>
      <c r="B152" s="212"/>
      <c r="C152" s="213"/>
      <c r="D152" s="213"/>
      <c r="E152" s="213"/>
      <c r="F152" s="213"/>
      <c r="G152" s="213"/>
      <c r="H152" s="214">
        <v>0</v>
      </c>
      <c r="I152" s="215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6">
        <v>0</v>
      </c>
      <c r="W152" s="183"/>
    </row>
    <row r="153" spans="1:23" s="168" customFormat="1" ht="13.5" thickBot="1">
      <c r="A153" s="78" t="s">
        <v>185</v>
      </c>
      <c r="B153" s="218"/>
      <c r="C153" s="200"/>
      <c r="D153" s="200"/>
      <c r="E153" s="200"/>
      <c r="F153" s="200"/>
      <c r="G153" s="200"/>
      <c r="H153" s="201">
        <v>0</v>
      </c>
      <c r="I153" s="203" t="s">
        <v>170</v>
      </c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5">
        <v>230</v>
      </c>
      <c r="W153" s="183"/>
    </row>
    <row r="154" spans="1:22" s="168" customFormat="1" ht="13.5" thickBot="1">
      <c r="A154" s="219" t="s">
        <v>79</v>
      </c>
      <c r="B154" s="194"/>
      <c r="C154" s="195"/>
      <c r="D154" s="195"/>
      <c r="E154" s="195"/>
      <c r="F154" s="195"/>
      <c r="G154" s="195"/>
      <c r="H154" s="196">
        <f>SUM(H155:H172)</f>
        <v>1507</v>
      </c>
      <c r="I154" s="194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6">
        <f>SUM(V155:V172)</f>
        <v>5004</v>
      </c>
    </row>
    <row r="155" spans="1:22" s="207" customFormat="1" ht="12.75">
      <c r="A155" s="217" t="s">
        <v>80</v>
      </c>
      <c r="B155" s="220" t="s">
        <v>81</v>
      </c>
      <c r="C155" s="221"/>
      <c r="D155" s="221"/>
      <c r="E155" s="221"/>
      <c r="F155" s="221"/>
      <c r="G155" s="222"/>
      <c r="H155" s="223">
        <v>80</v>
      </c>
      <c r="I155" s="220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4">
        <v>0</v>
      </c>
    </row>
    <row r="156" spans="1:22" s="207" customFormat="1" ht="12.75">
      <c r="A156" s="198" t="s">
        <v>1</v>
      </c>
      <c r="B156" s="203"/>
      <c r="C156" s="204"/>
      <c r="D156" s="204"/>
      <c r="E156" s="204"/>
      <c r="F156" s="204"/>
      <c r="G156" s="204"/>
      <c r="H156" s="205">
        <v>0</v>
      </c>
      <c r="I156" s="203" t="s">
        <v>82</v>
      </c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6">
        <v>140</v>
      </c>
    </row>
    <row r="157" spans="1:22" s="207" customFormat="1" ht="36.75" customHeight="1">
      <c r="A157" s="225" t="s">
        <v>161</v>
      </c>
      <c r="B157" s="203"/>
      <c r="C157" s="204"/>
      <c r="D157" s="204"/>
      <c r="E157" s="204"/>
      <c r="F157" s="204"/>
      <c r="G157" s="204"/>
      <c r="H157" s="205">
        <v>0</v>
      </c>
      <c r="I157" s="366" t="s">
        <v>227</v>
      </c>
      <c r="J157" s="421"/>
      <c r="K157" s="421"/>
      <c r="L157" s="421"/>
      <c r="M157" s="421"/>
      <c r="N157" s="421"/>
      <c r="O157" s="421"/>
      <c r="P157" s="421"/>
      <c r="Q157" s="421"/>
      <c r="R157" s="421"/>
      <c r="S157" s="421"/>
      <c r="T157" s="421"/>
      <c r="U157" s="422"/>
      <c r="V157" s="206">
        <v>3190</v>
      </c>
    </row>
    <row r="158" spans="1:22" s="207" customFormat="1" ht="12.75">
      <c r="A158" s="198" t="s">
        <v>2</v>
      </c>
      <c r="B158" s="203"/>
      <c r="C158" s="204"/>
      <c r="D158" s="204"/>
      <c r="E158" s="204"/>
      <c r="F158" s="204"/>
      <c r="G158" s="204"/>
      <c r="H158" s="205">
        <v>0</v>
      </c>
      <c r="I158" s="423"/>
      <c r="J158" s="424"/>
      <c r="K158" s="424"/>
      <c r="L158" s="424"/>
      <c r="M158" s="424"/>
      <c r="N158" s="204"/>
      <c r="O158" s="204"/>
      <c r="P158" s="204"/>
      <c r="Q158" s="204"/>
      <c r="R158" s="204"/>
      <c r="S158" s="204"/>
      <c r="T158" s="204"/>
      <c r="U158" s="204"/>
      <c r="V158" s="206">
        <v>0</v>
      </c>
    </row>
    <row r="159" spans="1:22" s="207" customFormat="1" ht="12.75">
      <c r="A159" s="198" t="s">
        <v>162</v>
      </c>
      <c r="B159" s="203"/>
      <c r="C159" s="211"/>
      <c r="D159" s="204"/>
      <c r="E159" s="204"/>
      <c r="F159" s="204"/>
      <c r="G159" s="204"/>
      <c r="H159" s="205">
        <v>0</v>
      </c>
      <c r="I159" s="203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V159" s="206">
        <v>0</v>
      </c>
    </row>
    <row r="160" spans="1:22" s="207" customFormat="1" ht="12.75" customHeight="1">
      <c r="A160" s="570" t="s">
        <v>163</v>
      </c>
      <c r="B160" s="371" t="s">
        <v>83</v>
      </c>
      <c r="C160" s="372"/>
      <c r="D160" s="372"/>
      <c r="E160" s="372"/>
      <c r="F160" s="372"/>
      <c r="G160" s="373"/>
      <c r="H160" s="369">
        <v>195</v>
      </c>
      <c r="I160" s="564" t="s">
        <v>173</v>
      </c>
      <c r="J160" s="565"/>
      <c r="K160" s="565"/>
      <c r="L160" s="565"/>
      <c r="M160" s="565"/>
      <c r="N160" s="565"/>
      <c r="O160" s="565"/>
      <c r="P160" s="565"/>
      <c r="Q160" s="565"/>
      <c r="R160" s="565"/>
      <c r="S160" s="565"/>
      <c r="T160" s="565"/>
      <c r="U160" s="566"/>
      <c r="V160" s="369">
        <v>1207</v>
      </c>
    </row>
    <row r="161" spans="1:22" s="207" customFormat="1" ht="10.5" customHeight="1">
      <c r="A161" s="571"/>
      <c r="B161" s="374"/>
      <c r="C161" s="375"/>
      <c r="D161" s="375"/>
      <c r="E161" s="375"/>
      <c r="F161" s="375"/>
      <c r="G161" s="376"/>
      <c r="H161" s="370"/>
      <c r="I161" s="567"/>
      <c r="J161" s="568"/>
      <c r="K161" s="568"/>
      <c r="L161" s="568"/>
      <c r="M161" s="568"/>
      <c r="N161" s="568"/>
      <c r="O161" s="568"/>
      <c r="P161" s="568"/>
      <c r="Q161" s="568"/>
      <c r="R161" s="568"/>
      <c r="S161" s="568"/>
      <c r="T161" s="568"/>
      <c r="U161" s="569"/>
      <c r="V161" s="370"/>
    </row>
    <row r="162" spans="1:22" s="207" customFormat="1" ht="12.75">
      <c r="A162" s="198" t="s">
        <v>3</v>
      </c>
      <c r="B162" s="203"/>
      <c r="C162" s="204"/>
      <c r="D162" s="204"/>
      <c r="E162" s="204"/>
      <c r="F162" s="204"/>
      <c r="G162" s="204"/>
      <c r="H162" s="205">
        <v>0</v>
      </c>
      <c r="I162" s="203" t="s">
        <v>84</v>
      </c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V162" s="206">
        <v>50</v>
      </c>
    </row>
    <row r="163" spans="1:22" s="207" customFormat="1" ht="12.75">
      <c r="A163" s="227" t="s">
        <v>4</v>
      </c>
      <c r="B163" s="203" t="s">
        <v>226</v>
      </c>
      <c r="C163" s="204"/>
      <c r="D163" s="204"/>
      <c r="E163" s="204"/>
      <c r="F163" s="204"/>
      <c r="G163" s="204"/>
      <c r="H163" s="205">
        <v>250</v>
      </c>
      <c r="I163" s="203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6">
        <v>0</v>
      </c>
    </row>
    <row r="164" spans="1:22" s="207" customFormat="1" ht="22.5" customHeight="1">
      <c r="A164" s="520" t="s">
        <v>167</v>
      </c>
      <c r="B164" s="371" t="s">
        <v>168</v>
      </c>
      <c r="C164" s="372"/>
      <c r="D164" s="372"/>
      <c r="E164" s="372"/>
      <c r="F164" s="372"/>
      <c r="G164" s="373"/>
      <c r="H164" s="369">
        <v>577</v>
      </c>
      <c r="I164" s="371"/>
      <c r="J164" s="372"/>
      <c r="K164" s="372"/>
      <c r="L164" s="372"/>
      <c r="M164" s="372"/>
      <c r="N164" s="372"/>
      <c r="O164" s="372"/>
      <c r="P164" s="372"/>
      <c r="Q164" s="372"/>
      <c r="R164" s="372"/>
      <c r="S164" s="372"/>
      <c r="T164" s="372"/>
      <c r="U164" s="373"/>
      <c r="V164" s="369">
        <v>0</v>
      </c>
    </row>
    <row r="165" spans="1:22" s="207" customFormat="1" ht="12.75">
      <c r="A165" s="521"/>
      <c r="B165" s="374"/>
      <c r="C165" s="375"/>
      <c r="D165" s="375"/>
      <c r="E165" s="375"/>
      <c r="F165" s="375"/>
      <c r="G165" s="376"/>
      <c r="H165" s="370"/>
      <c r="I165" s="374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6"/>
      <c r="V165" s="370"/>
    </row>
    <row r="166" spans="1:22" s="207" customFormat="1" ht="12.75">
      <c r="A166" s="225" t="s">
        <v>5</v>
      </c>
      <c r="B166" s="203" t="s">
        <v>85</v>
      </c>
      <c r="C166" s="204"/>
      <c r="D166" s="204"/>
      <c r="E166" s="204"/>
      <c r="F166" s="204"/>
      <c r="G166" s="204"/>
      <c r="H166" s="205">
        <v>200</v>
      </c>
      <c r="I166" s="203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V166" s="205">
        <v>0</v>
      </c>
    </row>
    <row r="167" spans="1:22" s="207" customFormat="1" ht="22.5" customHeight="1">
      <c r="A167" s="520" t="s">
        <v>148</v>
      </c>
      <c r="B167" s="371" t="s">
        <v>228</v>
      </c>
      <c r="C167" s="372"/>
      <c r="D167" s="372"/>
      <c r="E167" s="372"/>
      <c r="F167" s="372"/>
      <c r="G167" s="373"/>
      <c r="H167" s="369">
        <v>155</v>
      </c>
      <c r="I167" s="371"/>
      <c r="J167" s="372"/>
      <c r="K167" s="372"/>
      <c r="L167" s="372"/>
      <c r="M167" s="372"/>
      <c r="N167" s="372"/>
      <c r="O167" s="372"/>
      <c r="P167" s="372"/>
      <c r="Q167" s="372"/>
      <c r="R167" s="372"/>
      <c r="S167" s="372"/>
      <c r="T167" s="372"/>
      <c r="U167" s="373"/>
      <c r="V167" s="369">
        <v>0</v>
      </c>
    </row>
    <row r="168" spans="1:22" s="207" customFormat="1" ht="21.75" customHeight="1">
      <c r="A168" s="521"/>
      <c r="B168" s="374"/>
      <c r="C168" s="375"/>
      <c r="D168" s="375"/>
      <c r="E168" s="375"/>
      <c r="F168" s="375"/>
      <c r="G168" s="376"/>
      <c r="H168" s="370"/>
      <c r="I168" s="374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6"/>
      <c r="V168" s="370"/>
    </row>
    <row r="169" spans="1:22" s="207" customFormat="1" ht="12.75" customHeight="1">
      <c r="A169" s="520" t="s">
        <v>166</v>
      </c>
      <c r="B169" s="371" t="s">
        <v>86</v>
      </c>
      <c r="C169" s="372"/>
      <c r="D169" s="372"/>
      <c r="E169" s="372"/>
      <c r="F169" s="372"/>
      <c r="G169" s="373"/>
      <c r="H169" s="369">
        <v>50</v>
      </c>
      <c r="I169" s="371" t="s">
        <v>87</v>
      </c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3"/>
      <c r="V169" s="369">
        <v>210</v>
      </c>
    </row>
    <row r="170" spans="1:22" s="207" customFormat="1" ht="12.75" customHeight="1">
      <c r="A170" s="521"/>
      <c r="B170" s="374"/>
      <c r="C170" s="375"/>
      <c r="D170" s="375"/>
      <c r="E170" s="375"/>
      <c r="F170" s="375"/>
      <c r="G170" s="376"/>
      <c r="H170" s="370"/>
      <c r="I170" s="374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6"/>
      <c r="V170" s="370"/>
    </row>
    <row r="171" spans="1:22" s="207" customFormat="1" ht="12.75">
      <c r="A171" s="198" t="s">
        <v>31</v>
      </c>
      <c r="B171" s="203"/>
      <c r="C171" s="204"/>
      <c r="D171" s="204"/>
      <c r="E171" s="204"/>
      <c r="F171" s="204"/>
      <c r="G171" s="204"/>
      <c r="H171" s="205">
        <v>0</v>
      </c>
      <c r="I171" s="203" t="s">
        <v>88</v>
      </c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6">
        <v>57</v>
      </c>
    </row>
    <row r="172" spans="1:22" s="207" customFormat="1" ht="13.5" thickBot="1">
      <c r="A172" s="230" t="s">
        <v>32</v>
      </c>
      <c r="B172" s="231"/>
      <c r="C172" s="232"/>
      <c r="D172" s="232"/>
      <c r="E172" s="232"/>
      <c r="F172" s="232"/>
      <c r="G172" s="232"/>
      <c r="H172" s="233">
        <v>0</v>
      </c>
      <c r="I172" s="231" t="s">
        <v>89</v>
      </c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4">
        <v>150</v>
      </c>
    </row>
    <row r="173" s="168" customFormat="1" ht="12.75">
      <c r="A173" s="235"/>
    </row>
    <row r="174" spans="1:24" s="168" customFormat="1" ht="18.75" thickBot="1">
      <c r="A174" s="351" t="s">
        <v>75</v>
      </c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X174" s="236"/>
    </row>
    <row r="175" spans="1:34" s="168" customFormat="1" ht="22.5">
      <c r="A175" s="185" t="s">
        <v>0</v>
      </c>
      <c r="B175" s="318" t="s">
        <v>152</v>
      </c>
      <c r="C175" s="318"/>
      <c r="D175" s="318"/>
      <c r="E175" s="318"/>
      <c r="F175" s="318"/>
      <c r="G175" s="319"/>
      <c r="H175" s="186" t="s">
        <v>29</v>
      </c>
      <c r="I175" s="414" t="s">
        <v>151</v>
      </c>
      <c r="J175" s="415"/>
      <c r="K175" s="415"/>
      <c r="L175" s="415"/>
      <c r="M175" s="415"/>
      <c r="N175" s="415"/>
      <c r="O175" s="415"/>
      <c r="P175" s="415"/>
      <c r="Q175" s="415"/>
      <c r="R175" s="415"/>
      <c r="S175" s="415"/>
      <c r="T175" s="415"/>
      <c r="U175" s="416"/>
      <c r="V175" s="187" t="s">
        <v>29</v>
      </c>
      <c r="W175" s="183"/>
      <c r="X175" s="184"/>
      <c r="Y175" s="412"/>
      <c r="Z175" s="413"/>
      <c r="AC175" s="184"/>
      <c r="AH175" s="184"/>
    </row>
    <row r="176" spans="1:34" s="168" customFormat="1" ht="13.5" thickBot="1">
      <c r="A176" s="188"/>
      <c r="B176" s="189" t="s">
        <v>76</v>
      </c>
      <c r="C176" s="189"/>
      <c r="D176" s="189"/>
      <c r="E176" s="189"/>
      <c r="F176" s="189"/>
      <c r="G176" s="190"/>
      <c r="H176" s="191" t="s">
        <v>77</v>
      </c>
      <c r="I176" s="417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  <c r="T176" s="418"/>
      <c r="U176" s="419"/>
      <c r="V176" s="192" t="s">
        <v>78</v>
      </c>
      <c r="W176" s="183"/>
      <c r="X176" s="184"/>
      <c r="Y176" s="412"/>
      <c r="Z176" s="413"/>
      <c r="AC176" s="184"/>
      <c r="AH176" s="184"/>
    </row>
    <row r="177" spans="1:23" s="168" customFormat="1" ht="13.5" thickBot="1">
      <c r="A177" s="193" t="s">
        <v>90</v>
      </c>
      <c r="B177" s="194"/>
      <c r="C177" s="195"/>
      <c r="D177" s="195"/>
      <c r="E177" s="195"/>
      <c r="F177" s="195"/>
      <c r="G177" s="195"/>
      <c r="H177" s="196">
        <f>SUM(H178:H202)</f>
        <v>3488</v>
      </c>
      <c r="I177" s="323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196">
        <f>SUM(I178+V178+V180+V181+V182+V183+V185+V187+V188+V189+V190+V191+V192+V193+V194+V195+V196+V197+V198+V199+V200+V201+V202)</f>
        <v>8136</v>
      </c>
      <c r="W177" s="237"/>
    </row>
    <row r="178" spans="1:22" s="207" customFormat="1" ht="12.75">
      <c r="A178" s="527" t="s">
        <v>196</v>
      </c>
      <c r="B178" s="447" t="s">
        <v>195</v>
      </c>
      <c r="C178" s="378"/>
      <c r="D178" s="378"/>
      <c r="E178" s="378"/>
      <c r="F178" s="378"/>
      <c r="G178" s="379"/>
      <c r="H178" s="572">
        <v>307</v>
      </c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9"/>
      <c r="V178" s="537">
        <v>0</v>
      </c>
    </row>
    <row r="179" spans="1:22" s="207" customFormat="1" ht="12.75">
      <c r="A179" s="521"/>
      <c r="B179" s="374"/>
      <c r="C179" s="375"/>
      <c r="D179" s="375"/>
      <c r="E179" s="375"/>
      <c r="F179" s="375"/>
      <c r="G179" s="376"/>
      <c r="H179" s="549"/>
      <c r="I179" s="540"/>
      <c r="J179" s="540"/>
      <c r="K179" s="540"/>
      <c r="L179" s="540"/>
      <c r="M179" s="540"/>
      <c r="N179" s="540"/>
      <c r="O179" s="540"/>
      <c r="P179" s="540"/>
      <c r="Q179" s="540"/>
      <c r="R179" s="540"/>
      <c r="S179" s="540"/>
      <c r="T179" s="540"/>
      <c r="U179" s="541"/>
      <c r="V179" s="358"/>
    </row>
    <row r="180" spans="1:22" s="207" customFormat="1" ht="33.75">
      <c r="A180" s="217" t="s">
        <v>197</v>
      </c>
      <c r="B180" s="238"/>
      <c r="C180" s="239"/>
      <c r="D180" s="239"/>
      <c r="E180" s="239"/>
      <c r="F180" s="239"/>
      <c r="G180" s="239"/>
      <c r="H180" s="240">
        <v>0</v>
      </c>
      <c r="I180" s="238" t="s">
        <v>212</v>
      </c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29">
        <v>385</v>
      </c>
    </row>
    <row r="181" spans="1:22" s="207" customFormat="1" ht="22.5">
      <c r="A181" s="198" t="s">
        <v>198</v>
      </c>
      <c r="B181" s="203"/>
      <c r="C181" s="210"/>
      <c r="D181" s="204"/>
      <c r="E181" s="204"/>
      <c r="F181" s="204"/>
      <c r="G181" s="204"/>
      <c r="H181" s="205">
        <v>0</v>
      </c>
      <c r="I181" s="203" t="s">
        <v>213</v>
      </c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6">
        <v>120</v>
      </c>
    </row>
    <row r="182" spans="1:22" s="207" customFormat="1" ht="23.25" customHeight="1">
      <c r="A182" s="227" t="s">
        <v>199</v>
      </c>
      <c r="B182" s="203"/>
      <c r="C182" s="204"/>
      <c r="D182" s="204"/>
      <c r="E182" s="204"/>
      <c r="F182" s="204"/>
      <c r="G182" s="204"/>
      <c r="H182" s="205">
        <v>0</v>
      </c>
      <c r="I182" s="203" t="s">
        <v>91</v>
      </c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V182" s="228">
        <v>200</v>
      </c>
    </row>
    <row r="183" spans="1:26" s="207" customFormat="1" ht="12.75" customHeight="1">
      <c r="A183" s="536" t="s">
        <v>200</v>
      </c>
      <c r="B183" s="425"/>
      <c r="C183" s="426"/>
      <c r="D183" s="426"/>
      <c r="E183" s="426"/>
      <c r="F183" s="426"/>
      <c r="G183" s="427"/>
      <c r="H183" s="369">
        <v>0</v>
      </c>
      <c r="I183" s="371" t="s">
        <v>214</v>
      </c>
      <c r="J183" s="431"/>
      <c r="K183" s="431"/>
      <c r="L183" s="431"/>
      <c r="M183" s="431"/>
      <c r="N183" s="431"/>
      <c r="O183" s="431"/>
      <c r="P183" s="431"/>
      <c r="Q183" s="431"/>
      <c r="R183" s="431"/>
      <c r="S183" s="431"/>
      <c r="T183" s="431"/>
      <c r="U183" s="431"/>
      <c r="V183" s="548">
        <v>1368</v>
      </c>
      <c r="W183" s="168"/>
      <c r="X183" s="168"/>
      <c r="Y183" s="168"/>
      <c r="Z183" s="168"/>
    </row>
    <row r="184" spans="1:26" s="207" customFormat="1" ht="12.75">
      <c r="A184" s="521"/>
      <c r="B184" s="428"/>
      <c r="C184" s="429"/>
      <c r="D184" s="429"/>
      <c r="E184" s="429"/>
      <c r="F184" s="429"/>
      <c r="G184" s="430"/>
      <c r="H184" s="370"/>
      <c r="I184" s="432"/>
      <c r="J184" s="433"/>
      <c r="K184" s="433"/>
      <c r="L184" s="433"/>
      <c r="M184" s="433"/>
      <c r="N184" s="433"/>
      <c r="O184" s="433"/>
      <c r="P184" s="433"/>
      <c r="Q184" s="433"/>
      <c r="R184" s="433"/>
      <c r="S184" s="433"/>
      <c r="T184" s="433"/>
      <c r="U184" s="433"/>
      <c r="V184" s="549"/>
      <c r="W184" s="168"/>
      <c r="X184" s="168"/>
      <c r="Y184" s="168"/>
      <c r="Z184" s="168"/>
    </row>
    <row r="185" spans="1:22" s="207" customFormat="1" ht="12.75">
      <c r="A185" s="570" t="s">
        <v>201</v>
      </c>
      <c r="B185" s="371" t="s">
        <v>92</v>
      </c>
      <c r="C185" s="372"/>
      <c r="D185" s="372"/>
      <c r="E185" s="372"/>
      <c r="F185" s="372"/>
      <c r="G185" s="373"/>
      <c r="H185" s="534">
        <v>700</v>
      </c>
      <c r="I185" s="550" t="s">
        <v>93</v>
      </c>
      <c r="J185" s="551"/>
      <c r="K185" s="551"/>
      <c r="L185" s="551"/>
      <c r="M185" s="551"/>
      <c r="N185" s="551"/>
      <c r="O185" s="551"/>
      <c r="P185" s="551"/>
      <c r="Q185" s="551"/>
      <c r="R185" s="551"/>
      <c r="S185" s="551"/>
      <c r="T185" s="551"/>
      <c r="U185" s="552"/>
      <c r="V185" s="369">
        <v>300</v>
      </c>
    </row>
    <row r="186" spans="1:22" s="207" customFormat="1" ht="12.75">
      <c r="A186" s="573"/>
      <c r="B186" s="374"/>
      <c r="C186" s="375"/>
      <c r="D186" s="375"/>
      <c r="E186" s="375"/>
      <c r="F186" s="375"/>
      <c r="G186" s="376"/>
      <c r="H186" s="535"/>
      <c r="I186" s="553"/>
      <c r="J186" s="465"/>
      <c r="K186" s="465"/>
      <c r="L186" s="465"/>
      <c r="M186" s="465"/>
      <c r="N186" s="465"/>
      <c r="O186" s="465"/>
      <c r="P186" s="465"/>
      <c r="Q186" s="465"/>
      <c r="R186" s="465"/>
      <c r="S186" s="465"/>
      <c r="T186" s="465"/>
      <c r="U186" s="466"/>
      <c r="V186" s="358"/>
    </row>
    <row r="187" spans="1:22" s="207" customFormat="1" ht="22.5">
      <c r="A187" s="198" t="s">
        <v>202</v>
      </c>
      <c r="B187" s="203"/>
      <c r="C187" s="204"/>
      <c r="D187" s="204"/>
      <c r="E187" s="204"/>
      <c r="F187" s="204"/>
      <c r="G187" s="204"/>
      <c r="H187" s="205">
        <v>0</v>
      </c>
      <c r="I187" s="203" t="s">
        <v>94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V187" s="206">
        <v>90</v>
      </c>
    </row>
    <row r="188" spans="1:22" s="168" customFormat="1" ht="12.75">
      <c r="A188" s="226" t="s">
        <v>57</v>
      </c>
      <c r="B188" s="242"/>
      <c r="C188" s="243"/>
      <c r="D188" s="243"/>
      <c r="E188" s="243"/>
      <c r="F188" s="243"/>
      <c r="G188" s="243"/>
      <c r="H188" s="244">
        <v>0</v>
      </c>
      <c r="I188" s="238" t="s">
        <v>95</v>
      </c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6">
        <v>140</v>
      </c>
    </row>
    <row r="189" spans="1:47" s="168" customFormat="1" ht="12.75" customHeight="1">
      <c r="A189" s="520" t="s">
        <v>149</v>
      </c>
      <c r="B189" s="542"/>
      <c r="C189" s="543"/>
      <c r="D189" s="543"/>
      <c r="E189" s="543"/>
      <c r="F189" s="543"/>
      <c r="G189" s="544"/>
      <c r="H189" s="532"/>
      <c r="I189" s="360" t="s">
        <v>217</v>
      </c>
      <c r="J189" s="355"/>
      <c r="K189" s="355"/>
      <c r="L189" s="355"/>
      <c r="M189" s="355"/>
      <c r="N189" s="355"/>
      <c r="O189" s="355"/>
      <c r="P189" s="355"/>
      <c r="Q189" s="355"/>
      <c r="R189" s="355"/>
      <c r="S189" s="355"/>
      <c r="T189" s="355"/>
      <c r="U189" s="355"/>
      <c r="V189" s="434">
        <v>1830</v>
      </c>
      <c r="W189" s="235"/>
      <c r="X189" s="235"/>
      <c r="Y189" s="235"/>
      <c r="Z189" s="235"/>
      <c r="AA189" s="235"/>
      <c r="AB189" s="235"/>
      <c r="AC189" s="235"/>
      <c r="AD189" s="235"/>
      <c r="AE189" s="235"/>
      <c r="AF189" s="235"/>
      <c r="AG189" s="235"/>
      <c r="AH189" s="235"/>
      <c r="AI189" s="235"/>
      <c r="AJ189" s="235"/>
      <c r="AK189" s="235"/>
      <c r="AL189" s="235"/>
      <c r="AM189" s="235"/>
      <c r="AN189" s="235"/>
      <c r="AO189" s="235"/>
      <c r="AP189" s="235"/>
      <c r="AQ189" s="235"/>
      <c r="AR189" s="235"/>
      <c r="AS189" s="235"/>
      <c r="AT189" s="235"/>
      <c r="AU189" s="235"/>
    </row>
    <row r="190" spans="1:22" s="168" customFormat="1" ht="48" customHeight="1">
      <c r="A190" s="521"/>
      <c r="B190" s="545"/>
      <c r="C190" s="546"/>
      <c r="D190" s="546"/>
      <c r="E190" s="546"/>
      <c r="F190" s="546"/>
      <c r="G190" s="547"/>
      <c r="H190" s="533"/>
      <c r="I190" s="356"/>
      <c r="J190" s="357"/>
      <c r="K190" s="357"/>
      <c r="L190" s="357"/>
      <c r="M190" s="357"/>
      <c r="N190" s="357"/>
      <c r="O190" s="357"/>
      <c r="P190" s="357"/>
      <c r="Q190" s="357"/>
      <c r="R190" s="357"/>
      <c r="S190" s="357"/>
      <c r="T190" s="357"/>
      <c r="U190" s="357"/>
      <c r="V190" s="435"/>
    </row>
    <row r="191" spans="1:22" s="207" customFormat="1" ht="12.75" customHeight="1">
      <c r="A191" s="520" t="s">
        <v>209</v>
      </c>
      <c r="B191" s="371" t="s">
        <v>203</v>
      </c>
      <c r="C191" s="372"/>
      <c r="D191" s="372"/>
      <c r="E191" s="372"/>
      <c r="F191" s="372"/>
      <c r="G191" s="373"/>
      <c r="H191" s="534">
        <v>210</v>
      </c>
      <c r="I191" s="425"/>
      <c r="J191" s="426"/>
      <c r="K191" s="426"/>
      <c r="L191" s="426"/>
      <c r="M191" s="426"/>
      <c r="N191" s="426"/>
      <c r="O191" s="426"/>
      <c r="P191" s="426"/>
      <c r="Q191" s="426"/>
      <c r="R191" s="426"/>
      <c r="S191" s="426"/>
      <c r="T191" s="426"/>
      <c r="U191" s="427"/>
      <c r="V191" s="369">
        <v>0</v>
      </c>
    </row>
    <row r="192" spans="1:22" s="207" customFormat="1" ht="12.75" customHeight="1">
      <c r="A192" s="521"/>
      <c r="B192" s="374"/>
      <c r="C192" s="375"/>
      <c r="D192" s="375"/>
      <c r="E192" s="375"/>
      <c r="F192" s="375"/>
      <c r="G192" s="376"/>
      <c r="H192" s="549"/>
      <c r="I192" s="428"/>
      <c r="J192" s="429"/>
      <c r="K192" s="429"/>
      <c r="L192" s="429"/>
      <c r="M192" s="429"/>
      <c r="N192" s="429"/>
      <c r="O192" s="429"/>
      <c r="P192" s="429"/>
      <c r="Q192" s="429"/>
      <c r="R192" s="429"/>
      <c r="S192" s="429"/>
      <c r="T192" s="429"/>
      <c r="U192" s="430"/>
      <c r="V192" s="358"/>
    </row>
    <row r="193" spans="1:22" s="207" customFormat="1" ht="77.25" customHeight="1">
      <c r="A193" s="227" t="s">
        <v>96</v>
      </c>
      <c r="B193" s="441" t="s">
        <v>216</v>
      </c>
      <c r="C193" s="442"/>
      <c r="D193" s="442"/>
      <c r="E193" s="442"/>
      <c r="F193" s="442"/>
      <c r="G193" s="442"/>
      <c r="H193" s="322">
        <v>356</v>
      </c>
      <c r="I193" s="436" t="s">
        <v>215</v>
      </c>
      <c r="J193" s="437"/>
      <c r="K193" s="437"/>
      <c r="L193" s="437"/>
      <c r="M193" s="437"/>
      <c r="N193" s="437"/>
      <c r="O193" s="437"/>
      <c r="P193" s="437"/>
      <c r="Q193" s="437"/>
      <c r="R193" s="437"/>
      <c r="S193" s="437"/>
      <c r="T193" s="437"/>
      <c r="U193" s="438"/>
      <c r="V193" s="206">
        <v>1200</v>
      </c>
    </row>
    <row r="194" spans="1:22" s="207" customFormat="1" ht="12.75">
      <c r="A194" s="520" t="s">
        <v>204</v>
      </c>
      <c r="B194" s="371" t="s">
        <v>98</v>
      </c>
      <c r="C194" s="431"/>
      <c r="D194" s="431"/>
      <c r="E194" s="431"/>
      <c r="F194" s="431"/>
      <c r="G194" s="439"/>
      <c r="H194" s="369">
        <v>915</v>
      </c>
      <c r="I194" s="371" t="s">
        <v>97</v>
      </c>
      <c r="J194" s="372"/>
      <c r="K194" s="372"/>
      <c r="L194" s="372"/>
      <c r="M194" s="372"/>
      <c r="N194" s="372"/>
      <c r="O194" s="372"/>
      <c r="P194" s="372"/>
      <c r="Q194" s="372"/>
      <c r="R194" s="372"/>
      <c r="S194" s="372"/>
      <c r="T194" s="372"/>
      <c r="U194" s="373"/>
      <c r="V194" s="369">
        <v>1233</v>
      </c>
    </row>
    <row r="195" spans="1:22" s="207" customFormat="1" ht="34.5" customHeight="1">
      <c r="A195" s="521"/>
      <c r="B195" s="432"/>
      <c r="C195" s="433"/>
      <c r="D195" s="433"/>
      <c r="E195" s="433"/>
      <c r="F195" s="433"/>
      <c r="G195" s="440"/>
      <c r="H195" s="370"/>
      <c r="I195" s="374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6"/>
      <c r="V195" s="358"/>
    </row>
    <row r="196" spans="1:22" s="168" customFormat="1" ht="12.75" customHeight="1">
      <c r="A196" s="520" t="s">
        <v>205</v>
      </c>
      <c r="B196" s="514"/>
      <c r="C196" s="515"/>
      <c r="D196" s="515"/>
      <c r="E196" s="515"/>
      <c r="F196" s="515"/>
      <c r="G196" s="516"/>
      <c r="H196" s="443">
        <v>0</v>
      </c>
      <c r="I196" s="371" t="s">
        <v>99</v>
      </c>
      <c r="J196" s="372"/>
      <c r="K196" s="372"/>
      <c r="L196" s="372"/>
      <c r="M196" s="372"/>
      <c r="N196" s="372"/>
      <c r="O196" s="372"/>
      <c r="P196" s="372"/>
      <c r="Q196" s="372"/>
      <c r="R196" s="372"/>
      <c r="S196" s="372"/>
      <c r="T196" s="372"/>
      <c r="U196" s="373"/>
      <c r="V196" s="443">
        <v>550</v>
      </c>
    </row>
    <row r="197" spans="1:22" s="168" customFormat="1" ht="12.75" customHeight="1">
      <c r="A197" s="521"/>
      <c r="B197" s="517"/>
      <c r="C197" s="518"/>
      <c r="D197" s="518"/>
      <c r="E197" s="518"/>
      <c r="F197" s="518"/>
      <c r="G197" s="519"/>
      <c r="H197" s="444"/>
      <c r="I197" s="374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6"/>
      <c r="V197" s="358"/>
    </row>
    <row r="198" spans="1:22" s="207" customFormat="1" ht="22.5">
      <c r="A198" s="217" t="s">
        <v>206</v>
      </c>
      <c r="B198" s="464" t="s">
        <v>100</v>
      </c>
      <c r="C198" s="465"/>
      <c r="D198" s="465"/>
      <c r="E198" s="465"/>
      <c r="F198" s="465"/>
      <c r="G198" s="466"/>
      <c r="H198" s="240">
        <v>1000</v>
      </c>
      <c r="I198" s="238" t="s">
        <v>101</v>
      </c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29">
        <v>200</v>
      </c>
    </row>
    <row r="199" spans="1:22" s="207" customFormat="1" ht="30.75" customHeight="1">
      <c r="A199" s="198" t="s">
        <v>210</v>
      </c>
      <c r="B199" s="203"/>
      <c r="C199" s="204"/>
      <c r="D199" s="204"/>
      <c r="E199" s="204"/>
      <c r="F199" s="204"/>
      <c r="G199" s="204"/>
      <c r="H199" s="205">
        <v>0</v>
      </c>
      <c r="I199" s="455" t="s">
        <v>218</v>
      </c>
      <c r="J199" s="456"/>
      <c r="K199" s="456"/>
      <c r="L199" s="456"/>
      <c r="M199" s="456"/>
      <c r="N199" s="456"/>
      <c r="O199" s="456"/>
      <c r="P199" s="456"/>
      <c r="Q199" s="456"/>
      <c r="R199" s="456"/>
      <c r="S199" s="456"/>
      <c r="T199" s="456"/>
      <c r="U199" s="457"/>
      <c r="V199" s="206">
        <v>520</v>
      </c>
    </row>
    <row r="200" spans="1:22" s="207" customFormat="1" ht="12.75" customHeight="1">
      <c r="A200" s="520" t="s">
        <v>207</v>
      </c>
      <c r="B200" s="514"/>
      <c r="C200" s="515"/>
      <c r="D200" s="515"/>
      <c r="E200" s="515"/>
      <c r="F200" s="515"/>
      <c r="G200" s="516"/>
      <c r="H200" s="443">
        <v>0</v>
      </c>
      <c r="I200" s="361"/>
      <c r="J200" s="372"/>
      <c r="K200" s="372"/>
      <c r="L200" s="372"/>
      <c r="M200" s="372"/>
      <c r="N200" s="372"/>
      <c r="O200" s="372"/>
      <c r="P200" s="372"/>
      <c r="Q200" s="372"/>
      <c r="R200" s="372"/>
      <c r="S200" s="372"/>
      <c r="T200" s="372"/>
      <c r="U200" s="373"/>
      <c r="V200" s="362">
        <v>0</v>
      </c>
    </row>
    <row r="201" spans="1:22" s="207" customFormat="1" ht="12.75" customHeight="1">
      <c r="A201" s="521"/>
      <c r="B201" s="517"/>
      <c r="C201" s="518"/>
      <c r="D201" s="518"/>
      <c r="E201" s="518"/>
      <c r="F201" s="518"/>
      <c r="G201" s="519"/>
      <c r="H201" s="444"/>
      <c r="I201" s="374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6"/>
      <c r="V201" s="359"/>
    </row>
    <row r="202" spans="1:22" s="207" customFormat="1" ht="23.25" thickBot="1">
      <c r="A202" s="198" t="s">
        <v>208</v>
      </c>
      <c r="B202" s="203"/>
      <c r="C202" s="204"/>
      <c r="D202" s="204"/>
      <c r="E202" s="204"/>
      <c r="F202" s="204"/>
      <c r="G202" s="204"/>
      <c r="H202" s="205">
        <v>0</v>
      </c>
      <c r="I202" s="203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V202" s="206">
        <v>0</v>
      </c>
    </row>
    <row r="203" spans="1:22" s="168" customFormat="1" ht="13.5" thickBot="1">
      <c r="A203" s="193" t="s">
        <v>102</v>
      </c>
      <c r="B203" s="194"/>
      <c r="C203" s="195"/>
      <c r="D203" s="195"/>
      <c r="E203" s="195"/>
      <c r="F203" s="195"/>
      <c r="G203" s="195"/>
      <c r="H203" s="196">
        <f>SUM(H204:H228)</f>
        <v>5000</v>
      </c>
      <c r="I203" s="197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6">
        <f>SUM(V204:V228)</f>
        <v>6567</v>
      </c>
    </row>
    <row r="204" spans="1:22" s="207" customFormat="1" ht="12.75" customHeight="1">
      <c r="A204" s="527" t="s">
        <v>103</v>
      </c>
      <c r="B204" s="447"/>
      <c r="C204" s="378"/>
      <c r="D204" s="378"/>
      <c r="E204" s="378"/>
      <c r="F204" s="378"/>
      <c r="G204" s="379"/>
      <c r="H204" s="445">
        <v>0</v>
      </c>
      <c r="I204" s="447" t="s">
        <v>175</v>
      </c>
      <c r="J204" s="378"/>
      <c r="K204" s="378"/>
      <c r="L204" s="378"/>
      <c r="M204" s="378"/>
      <c r="N204" s="378"/>
      <c r="O204" s="378"/>
      <c r="P204" s="378"/>
      <c r="Q204" s="378"/>
      <c r="R204" s="378"/>
      <c r="S204" s="378"/>
      <c r="T204" s="378"/>
      <c r="U204" s="379"/>
      <c r="V204" s="363">
        <f>800+225+225+300</f>
        <v>1550</v>
      </c>
    </row>
    <row r="205" spans="1:22" s="207" customFormat="1" ht="12.75" customHeight="1">
      <c r="A205" s="521"/>
      <c r="B205" s="374"/>
      <c r="C205" s="375"/>
      <c r="D205" s="375"/>
      <c r="E205" s="375"/>
      <c r="F205" s="375"/>
      <c r="G205" s="376"/>
      <c r="H205" s="446"/>
      <c r="I205" s="374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6"/>
      <c r="V205" s="458"/>
    </row>
    <row r="206" spans="1:22" s="207" customFormat="1" ht="12.75" customHeight="1">
      <c r="A206" s="44" t="s">
        <v>150</v>
      </c>
      <c r="B206" s="238"/>
      <c r="C206" s="239"/>
      <c r="D206" s="239"/>
      <c r="E206" s="239"/>
      <c r="F206" s="239"/>
      <c r="G206" s="239"/>
      <c r="H206" s="240">
        <v>0</v>
      </c>
      <c r="I206" s="455" t="s">
        <v>104</v>
      </c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60"/>
      <c r="V206" s="229">
        <v>176</v>
      </c>
    </row>
    <row r="207" spans="1:22" s="207" customFormat="1" ht="12.75" customHeight="1">
      <c r="A207" s="520" t="s">
        <v>160</v>
      </c>
      <c r="B207" s="371" t="s">
        <v>229</v>
      </c>
      <c r="C207" s="431"/>
      <c r="D207" s="431"/>
      <c r="E207" s="431"/>
      <c r="F207" s="431"/>
      <c r="G207" s="439"/>
      <c r="H207" s="560">
        <v>520</v>
      </c>
      <c r="I207" s="360" t="s">
        <v>219</v>
      </c>
      <c r="J207" s="355"/>
      <c r="K207" s="355"/>
      <c r="L207" s="355"/>
      <c r="M207" s="355"/>
      <c r="N207" s="355"/>
      <c r="O207" s="355"/>
      <c r="P207" s="355"/>
      <c r="Q207" s="355"/>
      <c r="R207" s="355"/>
      <c r="S207" s="355"/>
      <c r="T207" s="355"/>
      <c r="U207" s="448"/>
      <c r="V207" s="560">
        <f>150+380+150</f>
        <v>680</v>
      </c>
    </row>
    <row r="208" spans="1:22" s="207" customFormat="1" ht="12.75" customHeight="1">
      <c r="A208" s="536"/>
      <c r="B208" s="554"/>
      <c r="C208" s="555"/>
      <c r="D208" s="555"/>
      <c r="E208" s="555"/>
      <c r="F208" s="555"/>
      <c r="G208" s="556"/>
      <c r="H208" s="561"/>
      <c r="I208" s="449"/>
      <c r="J208" s="450"/>
      <c r="K208" s="450"/>
      <c r="L208" s="450"/>
      <c r="M208" s="450"/>
      <c r="N208" s="450"/>
      <c r="O208" s="450"/>
      <c r="P208" s="450"/>
      <c r="Q208" s="450"/>
      <c r="R208" s="450"/>
      <c r="S208" s="450"/>
      <c r="T208" s="450"/>
      <c r="U208" s="451"/>
      <c r="V208" s="561"/>
    </row>
    <row r="209" spans="1:22" s="207" customFormat="1" ht="12.75" customHeight="1" thickBot="1">
      <c r="A209" s="563"/>
      <c r="B209" s="557"/>
      <c r="C209" s="558"/>
      <c r="D209" s="558"/>
      <c r="E209" s="558"/>
      <c r="F209" s="558"/>
      <c r="G209" s="559"/>
      <c r="H209" s="562"/>
      <c r="I209" s="452"/>
      <c r="J209" s="453"/>
      <c r="K209" s="453"/>
      <c r="L209" s="453"/>
      <c r="M209" s="453"/>
      <c r="N209" s="453"/>
      <c r="O209" s="453"/>
      <c r="P209" s="453"/>
      <c r="Q209" s="453"/>
      <c r="R209" s="453"/>
      <c r="S209" s="453"/>
      <c r="T209" s="453"/>
      <c r="U209" s="454"/>
      <c r="V209" s="562"/>
    </row>
    <row r="210" s="168" customFormat="1" ht="12.75">
      <c r="A210" s="235"/>
    </row>
    <row r="211" spans="1:22" s="258" customFormat="1" ht="12.75" customHeight="1">
      <c r="A211" s="253"/>
      <c r="B211" s="254"/>
      <c r="C211" s="251"/>
      <c r="D211" s="251"/>
      <c r="E211" s="251"/>
      <c r="F211" s="251"/>
      <c r="G211" s="251"/>
      <c r="H211" s="255"/>
      <c r="I211" s="256"/>
      <c r="J211" s="251"/>
      <c r="K211" s="251"/>
      <c r="L211" s="251"/>
      <c r="M211" s="251"/>
      <c r="N211" s="251"/>
      <c r="O211" s="251"/>
      <c r="P211" s="251"/>
      <c r="Q211" s="251"/>
      <c r="R211" s="251"/>
      <c r="S211" s="251"/>
      <c r="T211" s="251"/>
      <c r="U211" s="251"/>
      <c r="V211" s="257"/>
    </row>
    <row r="212" spans="1:22" s="168" customFormat="1" ht="23.25" customHeight="1" thickBot="1">
      <c r="A212" s="351" t="s">
        <v>75</v>
      </c>
      <c r="B212" s="351"/>
      <c r="C212" s="351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</row>
    <row r="213" spans="1:34" s="168" customFormat="1" ht="22.5">
      <c r="A213" s="185" t="s">
        <v>0</v>
      </c>
      <c r="B213" s="318" t="s">
        <v>152</v>
      </c>
      <c r="C213" s="318"/>
      <c r="D213" s="318"/>
      <c r="E213" s="318"/>
      <c r="F213" s="318"/>
      <c r="G213" s="319"/>
      <c r="H213" s="186" t="s">
        <v>29</v>
      </c>
      <c r="I213" s="414" t="s">
        <v>151</v>
      </c>
      <c r="J213" s="415"/>
      <c r="K213" s="415"/>
      <c r="L213" s="415"/>
      <c r="M213" s="415"/>
      <c r="N213" s="415"/>
      <c r="O213" s="415"/>
      <c r="P213" s="415"/>
      <c r="Q213" s="415"/>
      <c r="R213" s="415"/>
      <c r="S213" s="415"/>
      <c r="T213" s="415"/>
      <c r="U213" s="416"/>
      <c r="V213" s="187" t="s">
        <v>29</v>
      </c>
      <c r="W213" s="183"/>
      <c r="X213" s="184"/>
      <c r="Y213" s="412"/>
      <c r="Z213" s="413"/>
      <c r="AC213" s="184"/>
      <c r="AH213" s="184"/>
    </row>
    <row r="214" spans="1:34" s="168" customFormat="1" ht="13.5" thickBot="1">
      <c r="A214" s="188"/>
      <c r="B214" s="189" t="s">
        <v>76</v>
      </c>
      <c r="C214" s="189"/>
      <c r="D214" s="189"/>
      <c r="E214" s="189"/>
      <c r="F214" s="189"/>
      <c r="G214" s="190"/>
      <c r="H214" s="191" t="s">
        <v>77</v>
      </c>
      <c r="I214" s="417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  <c r="T214" s="418"/>
      <c r="U214" s="419"/>
      <c r="V214" s="192" t="s">
        <v>78</v>
      </c>
      <c r="W214" s="183"/>
      <c r="X214" s="184"/>
      <c r="Y214" s="412"/>
      <c r="Z214" s="413"/>
      <c r="AC214" s="184"/>
      <c r="AH214" s="184"/>
    </row>
    <row r="215" spans="1:22" s="168" customFormat="1" ht="12.75" customHeight="1">
      <c r="A215" s="259" t="s">
        <v>34</v>
      </c>
      <c r="B215" s="472" t="s">
        <v>105</v>
      </c>
      <c r="C215" s="473"/>
      <c r="D215" s="473"/>
      <c r="E215" s="473"/>
      <c r="F215" s="473"/>
      <c r="G215" s="474"/>
      <c r="H215" s="224">
        <v>40</v>
      </c>
      <c r="I215" s="461" t="s">
        <v>220</v>
      </c>
      <c r="J215" s="462"/>
      <c r="K215" s="462"/>
      <c r="L215" s="462"/>
      <c r="M215" s="462"/>
      <c r="N215" s="462"/>
      <c r="O215" s="462"/>
      <c r="P215" s="462"/>
      <c r="Q215" s="462"/>
      <c r="R215" s="462"/>
      <c r="S215" s="462"/>
      <c r="T215" s="462"/>
      <c r="U215" s="463"/>
      <c r="V215" s="260">
        <f>120+190</f>
        <v>310</v>
      </c>
    </row>
    <row r="216" spans="1:22" s="207" customFormat="1" ht="12.75" customHeight="1">
      <c r="A216" s="44" t="s">
        <v>154</v>
      </c>
      <c r="B216" s="464"/>
      <c r="C216" s="465"/>
      <c r="D216" s="465"/>
      <c r="E216" s="465"/>
      <c r="F216" s="465"/>
      <c r="G216" s="466"/>
      <c r="H216" s="240">
        <v>0</v>
      </c>
      <c r="I216" s="238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29">
        <v>0</v>
      </c>
    </row>
    <row r="217" spans="1:22" s="207" customFormat="1" ht="37.5" customHeight="1">
      <c r="A217" s="320" t="s">
        <v>155</v>
      </c>
      <c r="B217" s="366" t="s">
        <v>106</v>
      </c>
      <c r="C217" s="367"/>
      <c r="D217" s="367"/>
      <c r="E217" s="367"/>
      <c r="F217" s="367"/>
      <c r="G217" s="368"/>
      <c r="H217" s="205">
        <f>450+600</f>
        <v>1050</v>
      </c>
      <c r="I217" s="203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V217" s="206">
        <v>0</v>
      </c>
    </row>
    <row r="218" spans="1:22" s="264" customFormat="1" ht="24.75" customHeight="1">
      <c r="A218" s="261" t="s">
        <v>35</v>
      </c>
      <c r="B218" s="467" t="s">
        <v>107</v>
      </c>
      <c r="C218" s="468"/>
      <c r="D218" s="468"/>
      <c r="E218" s="468"/>
      <c r="F218" s="468"/>
      <c r="G218" s="469"/>
      <c r="H218" s="262">
        <v>200</v>
      </c>
      <c r="I218" s="467" t="s">
        <v>176</v>
      </c>
      <c r="J218" s="470"/>
      <c r="K218" s="470"/>
      <c r="L218" s="470"/>
      <c r="M218" s="470"/>
      <c r="N218" s="470"/>
      <c r="O218" s="470"/>
      <c r="P218" s="470"/>
      <c r="Q218" s="470"/>
      <c r="R218" s="470"/>
      <c r="S218" s="470"/>
      <c r="T218" s="470"/>
      <c r="U218" s="471"/>
      <c r="V218" s="263">
        <f>80+451+130</f>
        <v>661</v>
      </c>
    </row>
    <row r="219" spans="1:22" s="207" customFormat="1" ht="12.75" customHeight="1">
      <c r="A219" s="198" t="s">
        <v>36</v>
      </c>
      <c r="B219" s="203" t="s">
        <v>108</v>
      </c>
      <c r="C219" s="204"/>
      <c r="D219" s="204"/>
      <c r="E219" s="204"/>
      <c r="F219" s="204"/>
      <c r="G219" s="204"/>
      <c r="H219" s="205">
        <v>700</v>
      </c>
      <c r="I219" s="203" t="s">
        <v>109</v>
      </c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V219" s="206">
        <v>80</v>
      </c>
    </row>
    <row r="220" spans="1:22" s="207" customFormat="1" ht="27" customHeight="1">
      <c r="A220" s="198" t="s">
        <v>37</v>
      </c>
      <c r="B220" s="203" t="s">
        <v>110</v>
      </c>
      <c r="C220" s="204"/>
      <c r="D220" s="204"/>
      <c r="E220" s="204"/>
      <c r="F220" s="204"/>
      <c r="G220" s="204"/>
      <c r="H220" s="205">
        <v>590</v>
      </c>
      <c r="I220" s="366" t="s">
        <v>111</v>
      </c>
      <c r="J220" s="421"/>
      <c r="K220" s="421"/>
      <c r="L220" s="421"/>
      <c r="M220" s="421"/>
      <c r="N220" s="421"/>
      <c r="O220" s="421"/>
      <c r="P220" s="421"/>
      <c r="Q220" s="421"/>
      <c r="R220" s="421"/>
      <c r="S220" s="421"/>
      <c r="T220" s="421"/>
      <c r="U220" s="422"/>
      <c r="V220" s="206">
        <f>250+200+100+100+100</f>
        <v>750</v>
      </c>
    </row>
    <row r="221" spans="1:22" s="207" customFormat="1" ht="24" customHeight="1">
      <c r="A221" s="198" t="s">
        <v>156</v>
      </c>
      <c r="B221" s="366"/>
      <c r="C221" s="421"/>
      <c r="D221" s="421"/>
      <c r="E221" s="421"/>
      <c r="F221" s="421"/>
      <c r="G221" s="422"/>
      <c r="H221" s="205">
        <v>0</v>
      </c>
      <c r="I221" s="199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6">
        <v>0</v>
      </c>
    </row>
    <row r="222" spans="1:22" s="207" customFormat="1" ht="22.5" customHeight="1">
      <c r="A222" s="225" t="s">
        <v>38</v>
      </c>
      <c r="B222" s="366" t="s">
        <v>112</v>
      </c>
      <c r="C222" s="421"/>
      <c r="D222" s="421"/>
      <c r="E222" s="421"/>
      <c r="F222" s="421"/>
      <c r="G222" s="422"/>
      <c r="H222" s="205">
        <f>100+90+60</f>
        <v>250</v>
      </c>
      <c r="I222" s="203" t="s">
        <v>113</v>
      </c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6">
        <f>107+70+96</f>
        <v>273</v>
      </c>
    </row>
    <row r="223" spans="1:22" s="207" customFormat="1" ht="24.75" customHeight="1">
      <c r="A223" s="225" t="s">
        <v>114</v>
      </c>
      <c r="B223" s="203"/>
      <c r="C223" s="204"/>
      <c r="D223" s="204"/>
      <c r="E223" s="204"/>
      <c r="F223" s="204"/>
      <c r="G223" s="204"/>
      <c r="H223" s="205">
        <v>0</v>
      </c>
      <c r="I223" s="455" t="s">
        <v>177</v>
      </c>
      <c r="J223" s="481"/>
      <c r="K223" s="481"/>
      <c r="L223" s="481"/>
      <c r="M223" s="481"/>
      <c r="N223" s="481"/>
      <c r="O223" s="481"/>
      <c r="P223" s="481"/>
      <c r="Q223" s="481"/>
      <c r="R223" s="481"/>
      <c r="S223" s="481"/>
      <c r="T223" s="481"/>
      <c r="U223" s="482"/>
      <c r="V223" s="206">
        <f>220+249</f>
        <v>469</v>
      </c>
    </row>
    <row r="224" spans="1:22" s="207" customFormat="1" ht="12.75" customHeight="1">
      <c r="A224" s="225" t="s">
        <v>39</v>
      </c>
      <c r="B224" s="203"/>
      <c r="C224" s="204"/>
      <c r="D224" s="204"/>
      <c r="E224" s="204"/>
      <c r="F224" s="204"/>
      <c r="G224" s="204"/>
      <c r="H224" s="205">
        <v>0</v>
      </c>
      <c r="I224" s="326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V224" s="206">
        <v>0</v>
      </c>
    </row>
    <row r="225" spans="1:22" s="207" customFormat="1" ht="12.75" customHeight="1">
      <c r="A225" s="520" t="s">
        <v>40</v>
      </c>
      <c r="B225" s="371" t="s">
        <v>230</v>
      </c>
      <c r="C225" s="431"/>
      <c r="D225" s="431"/>
      <c r="E225" s="431"/>
      <c r="F225" s="431"/>
      <c r="G225" s="439"/>
      <c r="H225" s="369">
        <v>1150</v>
      </c>
      <c r="I225" s="475" t="s">
        <v>115</v>
      </c>
      <c r="J225" s="476"/>
      <c r="K225" s="476"/>
      <c r="L225" s="476"/>
      <c r="M225" s="476"/>
      <c r="N225" s="476"/>
      <c r="O225" s="476"/>
      <c r="P225" s="476"/>
      <c r="Q225" s="476"/>
      <c r="R225" s="476"/>
      <c r="S225" s="476"/>
      <c r="T225" s="476"/>
      <c r="U225" s="477"/>
      <c r="V225" s="369">
        <f>150+80+45+47+85</f>
        <v>407</v>
      </c>
    </row>
    <row r="226" spans="1:22" s="207" customFormat="1" ht="12.75" customHeight="1">
      <c r="A226" s="521"/>
      <c r="B226" s="432"/>
      <c r="C226" s="433"/>
      <c r="D226" s="433"/>
      <c r="E226" s="433"/>
      <c r="F226" s="433"/>
      <c r="G226" s="440"/>
      <c r="H226" s="370"/>
      <c r="I226" s="478"/>
      <c r="J226" s="479"/>
      <c r="K226" s="479"/>
      <c r="L226" s="479"/>
      <c r="M226" s="479"/>
      <c r="N226" s="479"/>
      <c r="O226" s="479"/>
      <c r="P226" s="479"/>
      <c r="Q226" s="479"/>
      <c r="R226" s="479"/>
      <c r="S226" s="479"/>
      <c r="T226" s="479"/>
      <c r="U226" s="480"/>
      <c r="V226" s="370"/>
    </row>
    <row r="227" spans="1:22" s="207" customFormat="1" ht="26.25" customHeight="1">
      <c r="A227" s="321" t="s">
        <v>158</v>
      </c>
      <c r="B227" s="366" t="s">
        <v>116</v>
      </c>
      <c r="C227" s="367"/>
      <c r="D227" s="367"/>
      <c r="E227" s="367"/>
      <c r="F227" s="367"/>
      <c r="G227" s="368"/>
      <c r="H227" s="205">
        <v>500</v>
      </c>
      <c r="I227" s="203" t="s">
        <v>117</v>
      </c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V227" s="206">
        <f>800+281</f>
        <v>1081</v>
      </c>
    </row>
    <row r="228" spans="1:22" s="207" customFormat="1" ht="12.75" customHeight="1" thickBot="1">
      <c r="A228" s="72" t="s">
        <v>159</v>
      </c>
      <c r="B228" s="203"/>
      <c r="C228" s="204"/>
      <c r="D228" s="204"/>
      <c r="E228" s="204"/>
      <c r="F228" s="204"/>
      <c r="G228" s="204"/>
      <c r="H228" s="205">
        <v>0</v>
      </c>
      <c r="I228" s="203" t="s">
        <v>118</v>
      </c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V228" s="206">
        <v>130</v>
      </c>
    </row>
    <row r="229" spans="1:22" s="207" customFormat="1" ht="12.75" customHeight="1" thickBot="1">
      <c r="A229" s="193" t="s">
        <v>41</v>
      </c>
      <c r="B229" s="265"/>
      <c r="C229" s="266"/>
      <c r="D229" s="266"/>
      <c r="E229" s="266"/>
      <c r="F229" s="266"/>
      <c r="G229" s="266"/>
      <c r="H229" s="196">
        <f>SUM(H230)</f>
        <v>0</v>
      </c>
      <c r="I229" s="265"/>
      <c r="J229" s="266"/>
      <c r="K229" s="266"/>
      <c r="L229" s="266"/>
      <c r="M229" s="266"/>
      <c r="N229" s="266"/>
      <c r="O229" s="266"/>
      <c r="P229" s="266"/>
      <c r="Q229" s="266"/>
      <c r="R229" s="266"/>
      <c r="S229" s="266"/>
      <c r="T229" s="266"/>
      <c r="U229" s="267"/>
      <c r="V229" s="196">
        <f>SUM(V230)</f>
        <v>0</v>
      </c>
    </row>
    <row r="230" spans="1:22" s="207" customFormat="1" ht="23.25" customHeight="1" thickBot="1">
      <c r="A230" s="268" t="s">
        <v>223</v>
      </c>
      <c r="B230" s="269"/>
      <c r="C230" s="270"/>
      <c r="D230" s="270"/>
      <c r="E230" s="270"/>
      <c r="F230" s="270"/>
      <c r="G230" s="270"/>
      <c r="H230" s="271">
        <v>0</v>
      </c>
      <c r="I230" s="272"/>
      <c r="J230" s="270"/>
      <c r="K230" s="270"/>
      <c r="L230" s="270"/>
      <c r="M230" s="270"/>
      <c r="N230" s="270"/>
      <c r="O230" s="270"/>
      <c r="P230" s="270"/>
      <c r="Q230" s="270"/>
      <c r="R230" s="270"/>
      <c r="S230" s="270"/>
      <c r="T230" s="270"/>
      <c r="U230" s="270"/>
      <c r="V230" s="271">
        <v>0</v>
      </c>
    </row>
    <row r="231" spans="1:22" s="168" customFormat="1" ht="12.75" customHeight="1" thickBot="1">
      <c r="A231" s="273" t="s">
        <v>19</v>
      </c>
      <c r="B231" s="269"/>
      <c r="C231" s="270"/>
      <c r="D231" s="270"/>
      <c r="E231" s="270"/>
      <c r="F231" s="270"/>
      <c r="G231" s="270"/>
      <c r="H231" s="274">
        <f>SUM(H232+H234)</f>
        <v>1200</v>
      </c>
      <c r="I231" s="269"/>
      <c r="J231" s="270"/>
      <c r="K231" s="270"/>
      <c r="L231" s="270"/>
      <c r="M231" s="270"/>
      <c r="N231" s="270"/>
      <c r="O231" s="270"/>
      <c r="P231" s="270"/>
      <c r="Q231" s="270"/>
      <c r="R231" s="270"/>
      <c r="S231" s="270"/>
      <c r="T231" s="270"/>
      <c r="U231" s="270"/>
      <c r="V231" s="274">
        <f>SUM(V232)</f>
        <v>8800</v>
      </c>
    </row>
    <row r="232" spans="1:22" s="168" customFormat="1" ht="12.75" customHeight="1">
      <c r="A232" s="485" t="s">
        <v>119</v>
      </c>
      <c r="B232" s="498" t="s">
        <v>222</v>
      </c>
      <c r="C232" s="499"/>
      <c r="D232" s="499"/>
      <c r="E232" s="499"/>
      <c r="F232" s="499"/>
      <c r="G232" s="500"/>
      <c r="H232" s="507">
        <v>1200</v>
      </c>
      <c r="I232" s="488" t="s">
        <v>120</v>
      </c>
      <c r="J232" s="489"/>
      <c r="K232" s="489"/>
      <c r="L232" s="489"/>
      <c r="M232" s="489"/>
      <c r="N232" s="489"/>
      <c r="O232" s="489"/>
      <c r="P232" s="489"/>
      <c r="Q232" s="489"/>
      <c r="R232" s="489"/>
      <c r="S232" s="489"/>
      <c r="T232" s="489"/>
      <c r="U232" s="490"/>
      <c r="V232" s="483">
        <v>8800</v>
      </c>
    </row>
    <row r="233" spans="1:22" s="168" customFormat="1" ht="12.75" customHeight="1" hidden="1">
      <c r="A233" s="486"/>
      <c r="B233" s="501"/>
      <c r="C233" s="502"/>
      <c r="D233" s="502"/>
      <c r="E233" s="502"/>
      <c r="F233" s="502"/>
      <c r="G233" s="503"/>
      <c r="H233" s="508"/>
      <c r="I233" s="491"/>
      <c r="J233" s="492"/>
      <c r="K233" s="492"/>
      <c r="L233" s="492"/>
      <c r="M233" s="492"/>
      <c r="N233" s="492"/>
      <c r="O233" s="492"/>
      <c r="P233" s="492"/>
      <c r="Q233" s="492"/>
      <c r="R233" s="492"/>
      <c r="S233" s="492"/>
      <c r="T233" s="492"/>
      <c r="U233" s="493"/>
      <c r="V233" s="497"/>
    </row>
    <row r="234" spans="1:22" s="168" customFormat="1" ht="57" customHeight="1" thickBot="1">
      <c r="A234" s="487"/>
      <c r="B234" s="504"/>
      <c r="C234" s="505"/>
      <c r="D234" s="505"/>
      <c r="E234" s="505"/>
      <c r="F234" s="505"/>
      <c r="G234" s="506"/>
      <c r="H234" s="509"/>
      <c r="I234" s="494"/>
      <c r="J234" s="495"/>
      <c r="K234" s="495"/>
      <c r="L234" s="495"/>
      <c r="M234" s="495"/>
      <c r="N234" s="495"/>
      <c r="O234" s="495"/>
      <c r="P234" s="495"/>
      <c r="Q234" s="495"/>
      <c r="R234" s="495"/>
      <c r="S234" s="495"/>
      <c r="T234" s="495"/>
      <c r="U234" s="496"/>
      <c r="V234" s="370"/>
    </row>
    <row r="235" spans="1:22" s="168" customFormat="1" ht="12.75" customHeight="1" thickBot="1">
      <c r="A235" s="193" t="s">
        <v>121</v>
      </c>
      <c r="B235" s="194"/>
      <c r="C235" s="195"/>
      <c r="D235" s="195"/>
      <c r="E235" s="195"/>
      <c r="F235" s="195"/>
      <c r="G235" s="195"/>
      <c r="H235" s="196">
        <f>SUM(H236+H237+H238+H239+H240)</f>
        <v>0</v>
      </c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195"/>
      <c r="T235" s="195"/>
      <c r="U235" s="195"/>
      <c r="V235" s="196">
        <f>SUM(V236+V237+V238+V239+V240)</f>
        <v>0</v>
      </c>
    </row>
    <row r="236" spans="1:22" s="168" customFormat="1" ht="12.75" customHeight="1">
      <c r="A236" s="278" t="s">
        <v>225</v>
      </c>
      <c r="B236" s="279"/>
      <c r="C236" s="279"/>
      <c r="D236" s="279"/>
      <c r="E236" s="279"/>
      <c r="F236" s="279"/>
      <c r="G236" s="279"/>
      <c r="H236" s="280">
        <v>0</v>
      </c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60">
        <v>0</v>
      </c>
    </row>
    <row r="237" spans="1:22" s="168" customFormat="1" ht="12.75">
      <c r="A237" s="281" t="s">
        <v>21</v>
      </c>
      <c r="B237" s="282"/>
      <c r="C237" s="283"/>
      <c r="D237" s="283"/>
      <c r="E237" s="283"/>
      <c r="F237" s="283"/>
      <c r="G237" s="283"/>
      <c r="H237" s="202">
        <v>0</v>
      </c>
      <c r="I237" s="284"/>
      <c r="J237" s="285"/>
      <c r="K237" s="285"/>
      <c r="L237" s="285"/>
      <c r="M237" s="285"/>
      <c r="N237" s="285"/>
      <c r="O237" s="285"/>
      <c r="P237" s="285"/>
      <c r="Q237" s="285"/>
      <c r="R237" s="285"/>
      <c r="S237" s="285"/>
      <c r="T237" s="285"/>
      <c r="U237" s="285"/>
      <c r="V237" s="286">
        <v>0</v>
      </c>
    </row>
    <row r="238" spans="1:22" s="258" customFormat="1" ht="12.75" customHeight="1">
      <c r="A238" s="287" t="s">
        <v>22</v>
      </c>
      <c r="B238" s="288"/>
      <c r="C238" s="289"/>
      <c r="D238" s="289"/>
      <c r="E238" s="289"/>
      <c r="F238" s="289"/>
      <c r="G238" s="289"/>
      <c r="H238" s="240">
        <v>0</v>
      </c>
      <c r="I238" s="290"/>
      <c r="J238" s="291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29">
        <v>0</v>
      </c>
    </row>
    <row r="239" spans="1:22" s="168" customFormat="1" ht="12.75">
      <c r="A239" s="292" t="s">
        <v>23</v>
      </c>
      <c r="B239" s="293"/>
      <c r="C239" s="249"/>
      <c r="D239" s="249"/>
      <c r="E239" s="249"/>
      <c r="F239" s="249"/>
      <c r="G239" s="249"/>
      <c r="H239" s="250">
        <v>0</v>
      </c>
      <c r="I239" s="238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49"/>
      <c r="V239" s="244">
        <v>0</v>
      </c>
    </row>
    <row r="240" spans="1:22" s="168" customFormat="1" ht="13.5" thickBot="1">
      <c r="A240" s="294" t="s">
        <v>33</v>
      </c>
      <c r="B240" s="275"/>
      <c r="C240" s="276"/>
      <c r="D240" s="276"/>
      <c r="E240" s="276"/>
      <c r="F240" s="276"/>
      <c r="G240" s="276"/>
      <c r="H240" s="295">
        <v>0</v>
      </c>
      <c r="I240" s="29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52">
        <v>0</v>
      </c>
    </row>
    <row r="241" spans="1:22" s="168" customFormat="1" ht="13.5" thickBot="1">
      <c r="A241" s="193" t="s">
        <v>24</v>
      </c>
      <c r="B241" s="194"/>
      <c r="C241" s="195"/>
      <c r="D241" s="195"/>
      <c r="E241" s="195"/>
      <c r="F241" s="195"/>
      <c r="G241" s="195"/>
      <c r="H241" s="196">
        <f>SUM(H242:H242)</f>
        <v>666</v>
      </c>
      <c r="I241" s="194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6">
        <f>SUM(V242:V242)</f>
        <v>0</v>
      </c>
    </row>
    <row r="242" spans="1:22" s="168" customFormat="1" ht="12.75">
      <c r="A242" s="485" t="s">
        <v>211</v>
      </c>
      <c r="B242" s="377" t="s">
        <v>122</v>
      </c>
      <c r="C242" s="522"/>
      <c r="D242" s="522"/>
      <c r="E242" s="522"/>
      <c r="F242" s="522"/>
      <c r="G242" s="523"/>
      <c r="H242" s="483">
        <v>666</v>
      </c>
      <c r="I242" s="377"/>
      <c r="J242" s="378"/>
      <c r="K242" s="378"/>
      <c r="L242" s="378"/>
      <c r="M242" s="378"/>
      <c r="N242" s="378"/>
      <c r="O242" s="378"/>
      <c r="P242" s="378"/>
      <c r="Q242" s="378"/>
      <c r="R242" s="378"/>
      <c r="S242" s="378"/>
      <c r="T242" s="378"/>
      <c r="U242" s="379"/>
      <c r="V242" s="363">
        <v>0</v>
      </c>
    </row>
    <row r="243" spans="1:22" s="168" customFormat="1" ht="34.5" customHeight="1" thickBot="1">
      <c r="A243" s="487"/>
      <c r="B243" s="524"/>
      <c r="C243" s="525"/>
      <c r="D243" s="525"/>
      <c r="E243" s="525"/>
      <c r="F243" s="525"/>
      <c r="G243" s="526"/>
      <c r="H243" s="484"/>
      <c r="I243" s="380"/>
      <c r="J243" s="381"/>
      <c r="K243" s="381"/>
      <c r="L243" s="381"/>
      <c r="M243" s="381"/>
      <c r="N243" s="381"/>
      <c r="O243" s="381"/>
      <c r="P243" s="381"/>
      <c r="Q243" s="381"/>
      <c r="R243" s="381"/>
      <c r="S243" s="381"/>
      <c r="T243" s="381"/>
      <c r="U243" s="365"/>
      <c r="V243" s="364"/>
    </row>
    <row r="244" spans="1:22" s="168" customFormat="1" ht="13.5" thickBot="1">
      <c r="A244" s="193" t="s">
        <v>123</v>
      </c>
      <c r="B244" s="194"/>
      <c r="C244" s="195"/>
      <c r="D244" s="195"/>
      <c r="E244" s="195"/>
      <c r="F244" s="195"/>
      <c r="G244" s="195"/>
      <c r="H244" s="196">
        <f>SUM(H245:H247)</f>
        <v>0</v>
      </c>
      <c r="I244" s="194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/>
      <c r="T244" s="195"/>
      <c r="U244" s="195"/>
      <c r="V244" s="196">
        <f>SUM(V245:V247)</f>
        <v>0</v>
      </c>
    </row>
    <row r="245" spans="1:22" s="168" customFormat="1" ht="12.75">
      <c r="A245" s="299" t="s">
        <v>7</v>
      </c>
      <c r="B245" s="293"/>
      <c r="C245" s="249"/>
      <c r="D245" s="249"/>
      <c r="E245" s="249"/>
      <c r="F245" s="249"/>
      <c r="G245" s="249"/>
      <c r="H245" s="250">
        <v>0</v>
      </c>
      <c r="I245" s="293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49"/>
      <c r="V245" s="244">
        <v>0</v>
      </c>
    </row>
    <row r="246" spans="1:22" s="207" customFormat="1" ht="12.75" customHeight="1">
      <c r="A246" s="512" t="s">
        <v>59</v>
      </c>
      <c r="B246" s="360"/>
      <c r="C246" s="372"/>
      <c r="D246" s="372"/>
      <c r="E246" s="372"/>
      <c r="F246" s="372"/>
      <c r="G246" s="373"/>
      <c r="H246" s="510">
        <v>0</v>
      </c>
      <c r="I246" s="360"/>
      <c r="J246" s="372"/>
      <c r="K246" s="372"/>
      <c r="L246" s="372"/>
      <c r="M246" s="372"/>
      <c r="N246" s="372"/>
      <c r="O246" s="372"/>
      <c r="P246" s="372"/>
      <c r="Q246" s="372"/>
      <c r="R246" s="372"/>
      <c r="S246" s="372"/>
      <c r="T246" s="372"/>
      <c r="U246" s="373"/>
      <c r="V246" s="362">
        <v>0</v>
      </c>
    </row>
    <row r="247" spans="1:22" s="207" customFormat="1" ht="13.5" thickBot="1">
      <c r="A247" s="513"/>
      <c r="B247" s="380"/>
      <c r="C247" s="381"/>
      <c r="D247" s="381"/>
      <c r="E247" s="381"/>
      <c r="F247" s="381"/>
      <c r="G247" s="365"/>
      <c r="H247" s="511"/>
      <c r="I247" s="380"/>
      <c r="J247" s="381"/>
      <c r="K247" s="381"/>
      <c r="L247" s="381"/>
      <c r="M247" s="381"/>
      <c r="N247" s="381"/>
      <c r="O247" s="381"/>
      <c r="P247" s="381"/>
      <c r="Q247" s="381"/>
      <c r="R247" s="381"/>
      <c r="S247" s="381"/>
      <c r="T247" s="381"/>
      <c r="U247" s="365"/>
      <c r="V247" s="364"/>
    </row>
    <row r="248" spans="1:22" s="207" customFormat="1" ht="12.75">
      <c r="A248" s="300"/>
      <c r="B248" s="276"/>
      <c r="C248" s="276"/>
      <c r="D248" s="276"/>
      <c r="E248" s="276"/>
      <c r="F248" s="276"/>
      <c r="G248" s="276"/>
      <c r="H248" s="301"/>
      <c r="I248" s="276"/>
      <c r="J248" s="276"/>
      <c r="K248" s="276"/>
      <c r="L248" s="276"/>
      <c r="M248" s="276"/>
      <c r="N248" s="276"/>
      <c r="O248" s="276"/>
      <c r="P248" s="276"/>
      <c r="Q248" s="276"/>
      <c r="R248" s="276"/>
      <c r="S248" s="276"/>
      <c r="T248" s="276"/>
      <c r="U248" s="276"/>
      <c r="V248" s="257"/>
    </row>
    <row r="249" spans="1:34" s="168" customFormat="1" ht="18.75" thickBot="1">
      <c r="A249" s="351" t="s">
        <v>75</v>
      </c>
      <c r="B249" s="351"/>
      <c r="C249" s="351"/>
      <c r="D249" s="351"/>
      <c r="E249" s="351"/>
      <c r="F249" s="351"/>
      <c r="G249" s="351"/>
      <c r="H249" s="351"/>
      <c r="I249" s="351"/>
      <c r="J249" s="351"/>
      <c r="K249" s="351"/>
      <c r="L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183"/>
      <c r="X249" s="184"/>
      <c r="Y249" s="412"/>
      <c r="Z249" s="413"/>
      <c r="AC249" s="184"/>
      <c r="AH249" s="184"/>
    </row>
    <row r="250" spans="1:34" s="168" customFormat="1" ht="22.5">
      <c r="A250" s="185" t="s">
        <v>0</v>
      </c>
      <c r="B250" s="318" t="s">
        <v>152</v>
      </c>
      <c r="C250" s="318"/>
      <c r="D250" s="318"/>
      <c r="E250" s="318"/>
      <c r="F250" s="318"/>
      <c r="G250" s="319"/>
      <c r="H250" s="186" t="s">
        <v>29</v>
      </c>
      <c r="I250" s="414" t="s">
        <v>151</v>
      </c>
      <c r="J250" s="415"/>
      <c r="K250" s="415"/>
      <c r="L250" s="415"/>
      <c r="M250" s="415"/>
      <c r="N250" s="415"/>
      <c r="O250" s="415"/>
      <c r="P250" s="415"/>
      <c r="Q250" s="415"/>
      <c r="R250" s="415"/>
      <c r="S250" s="415"/>
      <c r="T250" s="415"/>
      <c r="U250" s="416"/>
      <c r="V250" s="187" t="s">
        <v>29</v>
      </c>
      <c r="W250" s="183"/>
      <c r="X250" s="184"/>
      <c r="Y250" s="412"/>
      <c r="Z250" s="413"/>
      <c r="AC250" s="184"/>
      <c r="AH250" s="184"/>
    </row>
    <row r="251" spans="1:34" s="168" customFormat="1" ht="13.5" thickBot="1">
      <c r="A251" s="188"/>
      <c r="B251" s="189" t="s">
        <v>76</v>
      </c>
      <c r="C251" s="189"/>
      <c r="D251" s="189"/>
      <c r="E251" s="189"/>
      <c r="F251" s="189"/>
      <c r="G251" s="190"/>
      <c r="H251" s="191" t="s">
        <v>77</v>
      </c>
      <c r="I251" s="417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  <c r="T251" s="418"/>
      <c r="U251" s="419"/>
      <c r="V251" s="192" t="s">
        <v>78</v>
      </c>
      <c r="W251" s="183"/>
      <c r="X251" s="184"/>
      <c r="Y251" s="412"/>
      <c r="Z251" s="413"/>
      <c r="AC251" s="184"/>
      <c r="AH251" s="184"/>
    </row>
    <row r="252" spans="1:22" s="168" customFormat="1" ht="13.5" thickBot="1">
      <c r="A252" s="193" t="s">
        <v>124</v>
      </c>
      <c r="B252" s="194"/>
      <c r="C252" s="195"/>
      <c r="D252" s="195"/>
      <c r="E252" s="195"/>
      <c r="F252" s="195"/>
      <c r="G252" s="195"/>
      <c r="H252" s="196">
        <f>SUM(H253:H255)</f>
        <v>240</v>
      </c>
      <c r="I252" s="194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/>
      <c r="T252" s="195"/>
      <c r="U252" s="195"/>
      <c r="V252" s="196">
        <f>SUM(V253:V255)</f>
        <v>0</v>
      </c>
    </row>
    <row r="253" spans="1:22" s="207" customFormat="1" ht="12.75">
      <c r="A253" s="51" t="s">
        <v>188</v>
      </c>
      <c r="B253" s="238" t="s">
        <v>125</v>
      </c>
      <c r="C253" s="239"/>
      <c r="D253" s="239"/>
      <c r="E253" s="239"/>
      <c r="F253" s="239"/>
      <c r="G253" s="239"/>
      <c r="H253" s="240">
        <v>200</v>
      </c>
      <c r="I253" s="238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29">
        <v>0</v>
      </c>
    </row>
    <row r="254" spans="1:22" s="168" customFormat="1" ht="12.75">
      <c r="A254" s="66" t="s">
        <v>44</v>
      </c>
      <c r="B254" s="199"/>
      <c r="C254" s="303"/>
      <c r="D254" s="200"/>
      <c r="E254" s="200"/>
      <c r="F254" s="200"/>
      <c r="G254" s="200"/>
      <c r="H254" s="201">
        <v>0</v>
      </c>
      <c r="I254" s="199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2">
        <v>0</v>
      </c>
    </row>
    <row r="255" spans="1:22" s="168" customFormat="1" ht="13.5" thickBot="1">
      <c r="A255" s="60" t="s">
        <v>189</v>
      </c>
      <c r="B255" s="305" t="s">
        <v>126</v>
      </c>
      <c r="C255" s="213"/>
      <c r="D255" s="213"/>
      <c r="E255" s="213"/>
      <c r="F255" s="213"/>
      <c r="G255" s="213"/>
      <c r="H255" s="214">
        <v>40</v>
      </c>
      <c r="I255" s="306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213"/>
      <c r="V255" s="216">
        <v>0</v>
      </c>
    </row>
    <row r="256" spans="1:22" s="207" customFormat="1" ht="13.5" thickBot="1">
      <c r="A256" s="307" t="s">
        <v>127</v>
      </c>
      <c r="B256" s="308"/>
      <c r="C256" s="309"/>
      <c r="D256" s="309"/>
      <c r="E256" s="309"/>
      <c r="F256" s="309"/>
      <c r="G256" s="309"/>
      <c r="H256" s="274">
        <f>SUM(H257)</f>
        <v>0</v>
      </c>
      <c r="I256" s="308"/>
      <c r="J256" s="309"/>
      <c r="K256" s="309"/>
      <c r="L256" s="309"/>
      <c r="M256" s="309"/>
      <c r="N256" s="309"/>
      <c r="O256" s="309"/>
      <c r="P256" s="309"/>
      <c r="Q256" s="309"/>
      <c r="R256" s="309"/>
      <c r="S256" s="309"/>
      <c r="T256" s="309"/>
      <c r="U256" s="309"/>
      <c r="V256" s="274">
        <f>SUM(V257)</f>
        <v>0</v>
      </c>
    </row>
    <row r="257" spans="1:22" s="207" customFormat="1" ht="13.5" thickBot="1">
      <c r="A257" s="294" t="s">
        <v>221</v>
      </c>
      <c r="B257" s="247"/>
      <c r="C257" s="248"/>
      <c r="D257" s="248"/>
      <c r="E257" s="248"/>
      <c r="F257" s="248"/>
      <c r="G257" s="248"/>
      <c r="H257" s="297">
        <v>0</v>
      </c>
      <c r="I257" s="247"/>
      <c r="J257" s="248"/>
      <c r="K257" s="248"/>
      <c r="L257" s="248"/>
      <c r="M257" s="248"/>
      <c r="N257" s="248"/>
      <c r="O257" s="248"/>
      <c r="P257" s="248"/>
      <c r="Q257" s="248"/>
      <c r="R257" s="248"/>
      <c r="S257" s="248"/>
      <c r="T257" s="248"/>
      <c r="U257" s="248"/>
      <c r="V257" s="298">
        <v>0</v>
      </c>
    </row>
    <row r="258" spans="1:22" s="168" customFormat="1" ht="13.5" thickBot="1">
      <c r="A258" s="307" t="s">
        <v>128</v>
      </c>
      <c r="B258" s="194"/>
      <c r="C258" s="195"/>
      <c r="D258" s="195"/>
      <c r="E258" s="195"/>
      <c r="F258" s="195"/>
      <c r="G258" s="195"/>
      <c r="H258" s="196">
        <f>SUM(H259:H263)</f>
        <v>317</v>
      </c>
      <c r="I258" s="194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6">
        <f>SUM(V259:V263)</f>
        <v>0</v>
      </c>
    </row>
    <row r="259" spans="1:22" s="207" customFormat="1" ht="12.75">
      <c r="A259" s="86" t="s">
        <v>190</v>
      </c>
      <c r="B259" s="310"/>
      <c r="C259" s="296"/>
      <c r="D259" s="296"/>
      <c r="E259" s="296"/>
      <c r="F259" s="296"/>
      <c r="G259" s="296"/>
      <c r="H259" s="311">
        <v>0</v>
      </c>
      <c r="I259" s="310"/>
      <c r="J259" s="296"/>
      <c r="K259" s="296"/>
      <c r="L259" s="296"/>
      <c r="M259" s="296"/>
      <c r="N259" s="296"/>
      <c r="O259" s="296"/>
      <c r="P259" s="296"/>
      <c r="Q259" s="296"/>
      <c r="R259" s="296"/>
      <c r="S259" s="296"/>
      <c r="T259" s="296"/>
      <c r="U259" s="296"/>
      <c r="V259" s="277">
        <v>0</v>
      </c>
    </row>
    <row r="260" spans="1:23" s="258" customFormat="1" ht="24.75" customHeight="1">
      <c r="A260" s="109" t="s">
        <v>45</v>
      </c>
      <c r="B260" s="199"/>
      <c r="C260" s="200"/>
      <c r="D260" s="200"/>
      <c r="E260" s="200"/>
      <c r="F260" s="200"/>
      <c r="G260" s="200"/>
      <c r="H260" s="201">
        <v>0</v>
      </c>
      <c r="I260" s="199"/>
      <c r="J260" s="200"/>
      <c r="K260" s="200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202">
        <v>0</v>
      </c>
      <c r="W260" s="312"/>
    </row>
    <row r="261" spans="1:22" s="207" customFormat="1" ht="24.75" customHeight="1">
      <c r="A261" s="60" t="s">
        <v>6</v>
      </c>
      <c r="B261" s="366" t="s">
        <v>129</v>
      </c>
      <c r="C261" s="421"/>
      <c r="D261" s="421"/>
      <c r="E261" s="421"/>
      <c r="F261" s="421"/>
      <c r="G261" s="422"/>
      <c r="H261" s="205">
        <v>280</v>
      </c>
      <c r="I261" s="203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  <c r="V261" s="206">
        <v>0</v>
      </c>
    </row>
    <row r="262" spans="1:22" s="207" customFormat="1" ht="12.75">
      <c r="A262" s="44" t="s">
        <v>42</v>
      </c>
      <c r="B262" s="203" t="s">
        <v>130</v>
      </c>
      <c r="C262" s="204"/>
      <c r="D262" s="204"/>
      <c r="E262" s="204"/>
      <c r="F262" s="204"/>
      <c r="G262" s="204"/>
      <c r="H262" s="205">
        <v>37</v>
      </c>
      <c r="I262" s="203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  <c r="V262" s="206">
        <v>0</v>
      </c>
    </row>
    <row r="263" spans="1:22" s="207" customFormat="1" ht="13.5" thickBot="1">
      <c r="A263" s="304" t="s">
        <v>70</v>
      </c>
      <c r="B263" s="313"/>
      <c r="C263" s="204"/>
      <c r="D263" s="204"/>
      <c r="E263" s="204"/>
      <c r="F263" s="204"/>
      <c r="G263" s="204"/>
      <c r="H263" s="205">
        <v>0</v>
      </c>
      <c r="I263" s="31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  <c r="V263" s="206">
        <v>0</v>
      </c>
    </row>
    <row r="264" spans="1:22" s="168" customFormat="1" ht="13.5" thickBot="1">
      <c r="A264" s="307" t="s">
        <v>131</v>
      </c>
      <c r="B264" s="194"/>
      <c r="C264" s="195"/>
      <c r="D264" s="195"/>
      <c r="E264" s="195"/>
      <c r="F264" s="195"/>
      <c r="G264" s="195"/>
      <c r="H264" s="196">
        <f>SUM(H265:H273)</f>
        <v>1320</v>
      </c>
      <c r="I264" s="31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6">
        <f>SUM(V265:V273)</f>
        <v>945</v>
      </c>
    </row>
    <row r="265" spans="1:22" s="207" customFormat="1" ht="24.75" customHeight="1">
      <c r="A265" s="302" t="s">
        <v>231</v>
      </c>
      <c r="B265" s="472" t="s">
        <v>191</v>
      </c>
      <c r="C265" s="473"/>
      <c r="D265" s="473"/>
      <c r="E265" s="473"/>
      <c r="F265" s="473"/>
      <c r="G265" s="474"/>
      <c r="H265" s="240">
        <v>250</v>
      </c>
      <c r="I265" s="238" t="s">
        <v>132</v>
      </c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29">
        <v>42</v>
      </c>
    </row>
    <row r="266" spans="1:22" s="207" customFormat="1" ht="12.75">
      <c r="A266" s="304" t="s">
        <v>232</v>
      </c>
      <c r="B266" s="203"/>
      <c r="C266" s="204"/>
      <c r="D266" s="204"/>
      <c r="E266" s="204"/>
      <c r="F266" s="204"/>
      <c r="G266" s="204"/>
      <c r="H266" s="205">
        <v>0</v>
      </c>
      <c r="I266" s="203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  <c r="V266" s="206">
        <v>0</v>
      </c>
    </row>
    <row r="267" spans="1:22" s="207" customFormat="1" ht="12.75">
      <c r="A267" s="198" t="s">
        <v>233</v>
      </c>
      <c r="B267" s="238"/>
      <c r="C267" s="239"/>
      <c r="D267" s="239"/>
      <c r="E267" s="239"/>
      <c r="F267" s="239"/>
      <c r="G267" s="239"/>
      <c r="H267" s="240">
        <v>0</v>
      </c>
      <c r="I267" s="238"/>
      <c r="J267" s="239"/>
      <c r="K267" s="239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29">
        <v>0</v>
      </c>
    </row>
    <row r="268" spans="1:22" s="207" customFormat="1" ht="12.75">
      <c r="A268" s="302" t="s">
        <v>234</v>
      </c>
      <c r="B268" s="203"/>
      <c r="C268" s="204"/>
      <c r="D268" s="204"/>
      <c r="E268" s="204"/>
      <c r="F268" s="204"/>
      <c r="G268" s="204"/>
      <c r="H268" s="205">
        <v>0</v>
      </c>
      <c r="I268" s="203" t="s">
        <v>133</v>
      </c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  <c r="V268" s="206">
        <v>200</v>
      </c>
    </row>
    <row r="269" spans="1:22" s="207" customFormat="1" ht="25.5" customHeight="1">
      <c r="A269" s="225" t="s">
        <v>235</v>
      </c>
      <c r="B269" s="467" t="s">
        <v>134</v>
      </c>
      <c r="C269" s="470"/>
      <c r="D269" s="470"/>
      <c r="E269" s="470"/>
      <c r="F269" s="470"/>
      <c r="G269" s="471"/>
      <c r="H269" s="241">
        <v>240</v>
      </c>
      <c r="I269" s="215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228">
        <v>0</v>
      </c>
    </row>
    <row r="270" spans="1:22" s="168" customFormat="1" ht="23.25" customHeight="1">
      <c r="A270" s="304" t="s">
        <v>236</v>
      </c>
      <c r="B270" s="366" t="s">
        <v>135</v>
      </c>
      <c r="C270" s="367"/>
      <c r="D270" s="367"/>
      <c r="E270" s="367"/>
      <c r="F270" s="367"/>
      <c r="G270" s="368"/>
      <c r="H270" s="201">
        <v>30</v>
      </c>
      <c r="I270" s="218" t="s">
        <v>171</v>
      </c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2">
        <v>600</v>
      </c>
    </row>
    <row r="271" spans="1:22" s="207" customFormat="1" ht="22.5" customHeight="1">
      <c r="A271" s="327" t="s">
        <v>237</v>
      </c>
      <c r="B271" s="366" t="s">
        <v>192</v>
      </c>
      <c r="C271" s="367"/>
      <c r="D271" s="367"/>
      <c r="E271" s="367"/>
      <c r="F271" s="367"/>
      <c r="G271" s="368"/>
      <c r="H271" s="205">
        <v>550</v>
      </c>
      <c r="I271" s="203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  <c r="V271" s="206">
        <v>0</v>
      </c>
    </row>
    <row r="272" spans="1:22" s="168" customFormat="1" ht="14.25" customHeight="1">
      <c r="A272" s="328" t="s">
        <v>238</v>
      </c>
      <c r="B272" s="306" t="s">
        <v>136</v>
      </c>
      <c r="C272" s="213"/>
      <c r="D272" s="213"/>
      <c r="E272" s="213"/>
      <c r="F272" s="213"/>
      <c r="G272" s="213"/>
      <c r="H272" s="214">
        <v>30</v>
      </c>
      <c r="I272" s="215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  <c r="T272" s="213"/>
      <c r="U272" s="213"/>
      <c r="V272" s="216">
        <v>0</v>
      </c>
    </row>
    <row r="273" spans="1:22" s="207" customFormat="1" ht="16.5" customHeight="1" thickBot="1">
      <c r="A273" s="316" t="s">
        <v>239</v>
      </c>
      <c r="B273" s="231" t="s">
        <v>137</v>
      </c>
      <c r="C273" s="232"/>
      <c r="D273" s="232"/>
      <c r="E273" s="232"/>
      <c r="F273" s="232"/>
      <c r="G273" s="232"/>
      <c r="H273" s="233">
        <v>220</v>
      </c>
      <c r="I273" s="232" t="s">
        <v>138</v>
      </c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4">
        <v>103</v>
      </c>
    </row>
    <row r="274" spans="1:22" s="168" customFormat="1" ht="12" customHeight="1">
      <c r="A274" s="317"/>
      <c r="B274" s="276"/>
      <c r="C274" s="276"/>
      <c r="E274" s="276"/>
      <c r="F274" s="276"/>
      <c r="G274" s="257"/>
      <c r="H274" s="301"/>
      <c r="I274" s="276"/>
      <c r="J274" s="276"/>
      <c r="K274" s="276"/>
      <c r="L274" s="276"/>
      <c r="M274" s="276"/>
      <c r="N274" s="276"/>
      <c r="O274" s="276"/>
      <c r="P274" s="276"/>
      <c r="Q274" s="276"/>
      <c r="R274" s="276"/>
      <c r="S274" s="276"/>
      <c r="T274" s="276"/>
      <c r="U274" s="276"/>
      <c r="V274" s="301"/>
    </row>
  </sheetData>
  <mergeCells count="217">
    <mergeCell ref="H196:H197"/>
    <mergeCell ref="H164:H165"/>
    <mergeCell ref="A196:A197"/>
    <mergeCell ref="H178:H179"/>
    <mergeCell ref="A185:A186"/>
    <mergeCell ref="B191:G192"/>
    <mergeCell ref="H191:H192"/>
    <mergeCell ref="A169:A170"/>
    <mergeCell ref="A167:A168"/>
    <mergeCell ref="B178:G179"/>
    <mergeCell ref="I164:U165"/>
    <mergeCell ref="A160:A161"/>
    <mergeCell ref="B167:G168"/>
    <mergeCell ref="H167:H168"/>
    <mergeCell ref="A164:A165"/>
    <mergeCell ref="V160:V161"/>
    <mergeCell ref="B160:G161"/>
    <mergeCell ref="H160:H161"/>
    <mergeCell ref="Y175:Z175"/>
    <mergeCell ref="B169:G170"/>
    <mergeCell ref="H169:H170"/>
    <mergeCell ref="I169:U170"/>
    <mergeCell ref="V169:V170"/>
    <mergeCell ref="B164:G165"/>
    <mergeCell ref="I160:U161"/>
    <mergeCell ref="Y214:Z214"/>
    <mergeCell ref="B207:G209"/>
    <mergeCell ref="H207:H209"/>
    <mergeCell ref="Y213:Z213"/>
    <mergeCell ref="A212:V212"/>
    <mergeCell ref="I213:U214"/>
    <mergeCell ref="A207:A209"/>
    <mergeCell ref="V207:V209"/>
    <mergeCell ref="H183:H184"/>
    <mergeCell ref="V178:V179"/>
    <mergeCell ref="A189:A190"/>
    <mergeCell ref="Y176:Z176"/>
    <mergeCell ref="A178:A179"/>
    <mergeCell ref="I178:U179"/>
    <mergeCell ref="B189:G190"/>
    <mergeCell ref="V183:V184"/>
    <mergeCell ref="I185:U186"/>
    <mergeCell ref="V185:V186"/>
    <mergeCell ref="L98:L100"/>
    <mergeCell ref="S98:S100"/>
    <mergeCell ref="B98:B100"/>
    <mergeCell ref="H189:H190"/>
    <mergeCell ref="B185:G186"/>
    <mergeCell ref="H185:H186"/>
    <mergeCell ref="A174:V174"/>
    <mergeCell ref="I175:U176"/>
    <mergeCell ref="A183:A184"/>
    <mergeCell ref="B183:G184"/>
    <mergeCell ref="D53:D55"/>
    <mergeCell ref="H99:H100"/>
    <mergeCell ref="J98:J100"/>
    <mergeCell ref="K98:K100"/>
    <mergeCell ref="E99:E100"/>
    <mergeCell ref="F99:F100"/>
    <mergeCell ref="G99:G100"/>
    <mergeCell ref="I53:I55"/>
    <mergeCell ref="E54:E55"/>
    <mergeCell ref="F54:F55"/>
    <mergeCell ref="V98:V100"/>
    <mergeCell ref="S53:S55"/>
    <mergeCell ref="T53:T55"/>
    <mergeCell ref="A95:V95"/>
    <mergeCell ref="Q53:Q55"/>
    <mergeCell ref="U53:U55"/>
    <mergeCell ref="V53:V55"/>
    <mergeCell ref="P53:P55"/>
    <mergeCell ref="B53:B55"/>
    <mergeCell ref="C53:C55"/>
    <mergeCell ref="R98:R100"/>
    <mergeCell ref="P98:P100"/>
    <mergeCell ref="T98:T100"/>
    <mergeCell ref="U98:U100"/>
    <mergeCell ref="Q98:Q100"/>
    <mergeCell ref="T6:T8"/>
    <mergeCell ref="U6:U8"/>
    <mergeCell ref="V6:V8"/>
    <mergeCell ref="S52:V52"/>
    <mergeCell ref="A50:V50"/>
    <mergeCell ref="O52:R52"/>
    <mergeCell ref="C6:C8"/>
    <mergeCell ref="D6:D8"/>
    <mergeCell ref="G7:G8"/>
    <mergeCell ref="I6:I8"/>
    <mergeCell ref="S6:S8"/>
    <mergeCell ref="L6:L8"/>
    <mergeCell ref="M6:M8"/>
    <mergeCell ref="N6:N8"/>
    <mergeCell ref="O6:O8"/>
    <mergeCell ref="P6:P8"/>
    <mergeCell ref="S97:V97"/>
    <mergeCell ref="R6:R8"/>
    <mergeCell ref="R53:R55"/>
    <mergeCell ref="C98:C100"/>
    <mergeCell ref="D98:D100"/>
    <mergeCell ref="I98:I100"/>
    <mergeCell ref="M98:M100"/>
    <mergeCell ref="O97:R97"/>
    <mergeCell ref="N98:N100"/>
    <mergeCell ref="O98:O100"/>
    <mergeCell ref="A191:A192"/>
    <mergeCell ref="B261:G261"/>
    <mergeCell ref="A242:A243"/>
    <mergeCell ref="B242:G243"/>
    <mergeCell ref="A225:A226"/>
    <mergeCell ref="A204:A205"/>
    <mergeCell ref="B204:G205"/>
    <mergeCell ref="A200:A201"/>
    <mergeCell ref="A194:A195"/>
    <mergeCell ref="B196:G197"/>
    <mergeCell ref="B198:G198"/>
    <mergeCell ref="B269:G269"/>
    <mergeCell ref="B270:G270"/>
    <mergeCell ref="B265:G265"/>
    <mergeCell ref="B200:G201"/>
    <mergeCell ref="V246:V247"/>
    <mergeCell ref="A249:V249"/>
    <mergeCell ref="B246:G247"/>
    <mergeCell ref="H246:H247"/>
    <mergeCell ref="I246:U247"/>
    <mergeCell ref="A246:A247"/>
    <mergeCell ref="Y249:Z249"/>
    <mergeCell ref="I250:U251"/>
    <mergeCell ref="Y250:Z250"/>
    <mergeCell ref="Y251:Z251"/>
    <mergeCell ref="H242:H243"/>
    <mergeCell ref="A232:A234"/>
    <mergeCell ref="I232:U234"/>
    <mergeCell ref="V232:V234"/>
    <mergeCell ref="B232:G234"/>
    <mergeCell ref="H232:H234"/>
    <mergeCell ref="I225:U226"/>
    <mergeCell ref="V225:V226"/>
    <mergeCell ref="B227:G227"/>
    <mergeCell ref="I220:U220"/>
    <mergeCell ref="B221:G221"/>
    <mergeCell ref="B222:G222"/>
    <mergeCell ref="I223:U223"/>
    <mergeCell ref="B225:G226"/>
    <mergeCell ref="H225:H226"/>
    <mergeCell ref="I215:U215"/>
    <mergeCell ref="B216:G216"/>
    <mergeCell ref="B217:G217"/>
    <mergeCell ref="B218:G218"/>
    <mergeCell ref="I218:U218"/>
    <mergeCell ref="B215:G215"/>
    <mergeCell ref="I199:U199"/>
    <mergeCell ref="V204:V205"/>
    <mergeCell ref="I196:U197"/>
    <mergeCell ref="I206:U206"/>
    <mergeCell ref="V196:V197"/>
    <mergeCell ref="H200:H201"/>
    <mergeCell ref="H204:H205"/>
    <mergeCell ref="I204:U205"/>
    <mergeCell ref="I207:U209"/>
    <mergeCell ref="I193:U193"/>
    <mergeCell ref="I194:U195"/>
    <mergeCell ref="B194:G195"/>
    <mergeCell ref="H194:H195"/>
    <mergeCell ref="B193:G193"/>
    <mergeCell ref="V191:V192"/>
    <mergeCell ref="I191:U192"/>
    <mergeCell ref="I183:U184"/>
    <mergeCell ref="V189:V190"/>
    <mergeCell ref="Y143:Z143"/>
    <mergeCell ref="Y144:Z144"/>
    <mergeCell ref="I157:U157"/>
    <mergeCell ref="I158:M158"/>
    <mergeCell ref="Y139:Z139"/>
    <mergeCell ref="Y140:Z140"/>
    <mergeCell ref="Y141:Z141"/>
    <mergeCell ref="Y142:Z142"/>
    <mergeCell ref="Y136:Z136"/>
    <mergeCell ref="I137:U138"/>
    <mergeCell ref="Y137:Z137"/>
    <mergeCell ref="Y138:Z138"/>
    <mergeCell ref="R1:V1"/>
    <mergeCell ref="R2:V2"/>
    <mergeCell ref="A3:V3"/>
    <mergeCell ref="E7:E8"/>
    <mergeCell ref="O5:R5"/>
    <mergeCell ref="S5:V5"/>
    <mergeCell ref="B6:B8"/>
    <mergeCell ref="Q6:Q8"/>
    <mergeCell ref="H7:H8"/>
    <mergeCell ref="F7:F8"/>
    <mergeCell ref="G54:G55"/>
    <mergeCell ref="H54:H55"/>
    <mergeCell ref="J6:J8"/>
    <mergeCell ref="M53:M55"/>
    <mergeCell ref="K6:K8"/>
    <mergeCell ref="N53:N55"/>
    <mergeCell ref="O53:O55"/>
    <mergeCell ref="J53:J55"/>
    <mergeCell ref="K53:K55"/>
    <mergeCell ref="L53:L55"/>
    <mergeCell ref="O130:P130"/>
    <mergeCell ref="A136:V136"/>
    <mergeCell ref="O134:P134"/>
    <mergeCell ref="I134:J134"/>
    <mergeCell ref="I131:J131"/>
    <mergeCell ref="O131:P131"/>
    <mergeCell ref="C130:D130"/>
    <mergeCell ref="B271:G271"/>
    <mergeCell ref="V164:V165"/>
    <mergeCell ref="I167:U168"/>
    <mergeCell ref="V167:V168"/>
    <mergeCell ref="I242:U243"/>
    <mergeCell ref="V242:V243"/>
    <mergeCell ref="I200:U201"/>
    <mergeCell ref="V200:V201"/>
    <mergeCell ref="I189:U190"/>
    <mergeCell ref="V194:V195"/>
  </mergeCells>
  <printOptions horizontalCentered="1" verticalCentered="1"/>
  <pageMargins left="0.2755905511811024" right="0.2755905511811024" top="0.3937007874015748" bottom="0.35433070866141736" header="0.11811023622047245" footer="0.11811023622047245"/>
  <pageSetup firstPageNumber="1" useFirstPageNumber="1" horizontalDpi="600" verticalDpi="600" orientation="landscape" paperSize="9" scale="66" r:id="rId1"/>
  <headerFooter alignWithMargins="0">
    <oddFooter>&amp;C&amp;P</oddFooter>
  </headerFooter>
  <rowBreaks count="6" manualBreakCount="6">
    <brk id="47" max="21" man="1"/>
    <brk id="94" max="255" man="1"/>
    <brk id="135" max="21" man="1"/>
    <brk id="173" max="21" man="1"/>
    <brk id="211" max="21" man="1"/>
    <brk id="2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2010-03-24T12:43:56Z</cp:lastPrinted>
  <dcterms:created xsi:type="dcterms:W3CDTF">2002-01-30T15:48:46Z</dcterms:created>
  <dcterms:modified xsi:type="dcterms:W3CDTF">2010-03-26T07:17:16Z</dcterms:modified>
  <cp:category/>
  <cp:version/>
  <cp:contentType/>
  <cp:contentStatus/>
</cp:coreProperties>
</file>