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RK-02-2009-57, př. 1" sheetId="1" r:id="rId1"/>
  </sheets>
  <definedNames>
    <definedName name="_xlnm.Print_Area" localSheetId="0">'RK-02-2009-57, př. 1'!$A$1:$DD$18</definedName>
  </definedNames>
  <calcPr fullCalcOnLoad="1"/>
</workbook>
</file>

<file path=xl/comments1.xml><?xml version="1.0" encoding="utf-8"?>
<comments xmlns="http://schemas.openxmlformats.org/spreadsheetml/2006/main">
  <authors>
    <author>sykora</author>
  </authors>
  <commentList>
    <comment ref="BX3" authorId="0">
      <text>
        <r>
          <rPr>
            <b/>
            <sz val="8"/>
            <rFont val="Tahoma"/>
            <family val="0"/>
          </rPr>
          <t>sykora:</t>
        </r>
        <r>
          <rPr>
            <sz val="8"/>
            <rFont val="Tahoma"/>
            <family val="0"/>
          </rPr>
          <t xml:space="preserve">
Záloha navržená ve výši 40% z podílu připadajícího na financování jednotlivých služeb krajem Vysočina - počítáno z nižších celkových nákladů 2008 a 2009</t>
        </r>
      </text>
    </comment>
    <comment ref="BY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MPSV+kraj v roce 2007 s nárůstem 10% - MPSV a záloha Kraj 2008</t>
        </r>
      </text>
    </comment>
    <comment ref="BZ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Předchozí částka upravená s ohledem na požadavek od kraje pro rok 2008</t>
        </r>
      </text>
    </comment>
    <comment ref="CA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Procento získaných prostředků na rok 200á oproti roku 2007 (MPSV,Kraj)</t>
        </r>
      </text>
    </comment>
    <comment ref="CC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Výhodnější z variant BD nebo BF
</t>
        </r>
      </text>
    </comment>
    <comment ref="CD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Výhodnější z variant BD nebo BF
+ dofinancování u NNO do výše 90% loňských příjmů od MPSV a kraje
</t>
        </r>
      </text>
    </comment>
  </commentList>
</comments>
</file>

<file path=xl/sharedStrings.xml><?xml version="1.0" encoding="utf-8"?>
<sst xmlns="http://schemas.openxmlformats.org/spreadsheetml/2006/main" count="135" uniqueCount="117">
  <si>
    <t>IČ</t>
  </si>
  <si>
    <t>Název poskytovatele</t>
  </si>
  <si>
    <t>Druh služby</t>
  </si>
  <si>
    <t>Název služby</t>
  </si>
  <si>
    <t>Číslo registrace služby</t>
  </si>
  <si>
    <t>Počet lůžek</t>
  </si>
  <si>
    <t>Klienti I stupeň</t>
  </si>
  <si>
    <t>Klienti II stupeň</t>
  </si>
  <si>
    <t>Klienti III  stupeň</t>
  </si>
  <si>
    <t>Klienti IV stupeň</t>
  </si>
  <si>
    <t>klienti ostatní</t>
  </si>
  <si>
    <t>Počet přepočtených úvazků - celkem 2009</t>
  </si>
  <si>
    <t>Počet přepočtených pracovníků-přímá péče 2008</t>
  </si>
  <si>
    <t>Počet přepočtených pracovníků-přímá péče 2009</t>
  </si>
  <si>
    <t>MPSV 2007</t>
  </si>
  <si>
    <t xml:space="preserve">MPSV 2008 </t>
  </si>
  <si>
    <t>MPSV 2009 požadavek</t>
  </si>
  <si>
    <t>Jiná státní správa 2007</t>
  </si>
  <si>
    <t>Jiná státní správa 2008</t>
  </si>
  <si>
    <t>Jiná státní správa 2009</t>
  </si>
  <si>
    <t>Úřad práce 2007</t>
  </si>
  <si>
    <t>Úřad práce 2008</t>
  </si>
  <si>
    <t>Úřad práce 2009</t>
  </si>
  <si>
    <t>Kraj 2007</t>
  </si>
  <si>
    <t>Kraj 2008</t>
  </si>
  <si>
    <t>Kraj 2009</t>
  </si>
  <si>
    <t>Obec 2007</t>
  </si>
  <si>
    <t>Obec 2008</t>
  </si>
  <si>
    <t>Obec 2009</t>
  </si>
  <si>
    <t>Zřizovatel 2007</t>
  </si>
  <si>
    <t>Zřizovatel 2008</t>
  </si>
  <si>
    <t>Zřizovatel 2009</t>
  </si>
  <si>
    <t>Uživatel 2007</t>
  </si>
  <si>
    <t>Uživatel 2008</t>
  </si>
  <si>
    <t>Uživatel 2009</t>
  </si>
  <si>
    <t>Zdravotní pojišťovny 2007</t>
  </si>
  <si>
    <t>Zdravotní pojišťovny 2008</t>
  </si>
  <si>
    <t>Zdravotní pojišťovny 2009</t>
  </si>
  <si>
    <t>EU fondy 2007</t>
  </si>
  <si>
    <t>EU fondy 2008</t>
  </si>
  <si>
    <t>EU fondy 2009</t>
  </si>
  <si>
    <t>Ostatní 2007</t>
  </si>
  <si>
    <t>Ostatní 2008</t>
  </si>
  <si>
    <t>Ostatní 2009</t>
  </si>
  <si>
    <t>Celkem 2007</t>
  </si>
  <si>
    <t>Celkem 2008</t>
  </si>
  <si>
    <t>Celkem 2009</t>
  </si>
  <si>
    <t>MPSV-přiznaná dotace pro rok 2008</t>
  </si>
  <si>
    <t>MPSV-přiznaná dotace pro rok 2009</t>
  </si>
  <si>
    <t>% z požadavku dotace od MPSV na rok 2008</t>
  </si>
  <si>
    <t>% z požadavku dotace od MPSV na rok 2009</t>
  </si>
  <si>
    <t>Změna výše dotace oproti roku 2007 v %</t>
  </si>
  <si>
    <t>Změna výše dotace oproti roku 2008 v %</t>
  </si>
  <si>
    <t>Předpoklad získaných prostředků na rok 2008 (bez dotace kraje)</t>
  </si>
  <si>
    <t>Předpoklad získaných prostředků na rok 2009 (bez dotace kraje)</t>
  </si>
  <si>
    <t>Porovnání se získanými prostředky roku 2007 v %</t>
  </si>
  <si>
    <t>Porovnání se získanými prostředky roku 2008 v %</t>
  </si>
  <si>
    <t>Chybějící částka do výše získanýcch příjmů roku  2007 (bez dotace kraje)</t>
  </si>
  <si>
    <t>Chybějící částka do výše získanýcch příjmů roku  2008 (bez dotace kraje)</t>
  </si>
  <si>
    <t>Porovnání s celkovými náklady roku 2008 v %</t>
  </si>
  <si>
    <t>Porovnání s celkovými náklady roku 2009 v %</t>
  </si>
  <si>
    <t>Chybějící částka do výše nákladů roku 2008</t>
  </si>
  <si>
    <t>Chybějící částka do výše nákladů roku 2009</t>
  </si>
  <si>
    <t>Chybějící částka do výše získanýcch příjmů roku  2007 při zachování dotace kraje ve výši roku 2007</t>
  </si>
  <si>
    <t>Chybějící částka do výše získanýcch příjmů roku  2007 při zachování dotace kraje ve výši roku 2008</t>
  </si>
  <si>
    <t>Výše dotace MPSV v roce 2008 na 1 přepočtený úvazek</t>
  </si>
  <si>
    <t>Výše dotace MPSV v roce 2009 na 1 přepočtený úvazek</t>
  </si>
  <si>
    <t>Výše dotace MPSV v roce 2008 na 1 přepočtený úvazek u  pracovníků v přímé péči</t>
  </si>
  <si>
    <t>Výše dotace MPSV v roce 2009 na 1 přepočtený úvazek u  pracovníků v přímé péči</t>
  </si>
  <si>
    <t>Podíl financování kraje na službě</t>
  </si>
  <si>
    <t>Kapitola Sociální věci: § a položka</t>
  </si>
  <si>
    <t xml:space="preserve">Procento příjmů na rok 2008/náklady 2007 </t>
  </si>
  <si>
    <t>Procento příjmů na rok 2008/náklady 2009</t>
  </si>
  <si>
    <t>Celková dotace od kraje Vysočina na rok 2008</t>
  </si>
  <si>
    <t>Celková dotace MPSV + kraj v roce 2007</t>
  </si>
  <si>
    <t>Celková dotace MPSV + kraj v roce 2008</t>
  </si>
  <si>
    <t>Změna v %</t>
  </si>
  <si>
    <t>Uživatel dle MPSV za rok</t>
  </si>
  <si>
    <t>náklad 2008 snížený o 25% nebo nižší náklad na rok 2009</t>
  </si>
  <si>
    <t>podíl MPSV</t>
  </si>
  <si>
    <t>Částka připadající na podíl dle sloupce CT</t>
  </si>
  <si>
    <t>75% dotace MPSV na rok 2008</t>
  </si>
  <si>
    <t>Nárůst nákladů 2008 proti 2007 v %</t>
  </si>
  <si>
    <t>Akceptování nárůstu nákladu 2007 o 50% a z toho výpočet</t>
  </si>
  <si>
    <t>průmě mezi CY a CV</t>
  </si>
  <si>
    <t>Diecézní charita Brno</t>
  </si>
  <si>
    <t>odlehčovací služby</t>
  </si>
  <si>
    <t>Charitní domácí hospicová péče Třebíč</t>
  </si>
  <si>
    <t>Charitní domácí hospicová péče Jihlava</t>
  </si>
  <si>
    <t>Charitní domácí hospicová péče Žďár nad Sázavou</t>
  </si>
  <si>
    <t>Oblastní charita Havlíčkův Brod</t>
  </si>
  <si>
    <t>Domácí hospicová péče</t>
  </si>
  <si>
    <t>Oblastní charita Pelhřimov</t>
  </si>
  <si>
    <t>odlehčovací služby v domácí hospicové péči</t>
  </si>
  <si>
    <t>Hospicové hnutí - Vysočina, o.s.</t>
  </si>
  <si>
    <t>sociální poradenství</t>
  </si>
  <si>
    <t>ooborné sociální poradenství - hospicová péče</t>
  </si>
  <si>
    <t>§4311</t>
  </si>
  <si>
    <t>pol.5222</t>
  </si>
  <si>
    <t>hospicová péče</t>
  </si>
  <si>
    <t>Návrh podpory MPSV 2009 č.1</t>
  </si>
  <si>
    <t>soc. aktivizační služby pro seniory a osoby se ZP</t>
  </si>
  <si>
    <t>Centrum sociálně aktivizačních činností pro převážně onkologické pacienty</t>
  </si>
  <si>
    <t>Hospicová péče celkem</t>
  </si>
  <si>
    <t>Dotace schválená na jednání zastupitelstva kraje č. 07/2008</t>
  </si>
  <si>
    <t>Návrh dotace pro jednání zastupitelstva kraje č. 1/2009</t>
  </si>
  <si>
    <t>Dotace kraje celkem</t>
  </si>
  <si>
    <t>Procento pokrytí předpokládaných nákladů roku 2009</t>
  </si>
  <si>
    <t>Komentář:</t>
  </si>
  <si>
    <t>1. Finanční zdroje vycházejí z odhadu poskytovatelů při zpracování žádosti o dotaci MPSV na podzim 2008 a jejich vývoj může být odlišný.</t>
  </si>
  <si>
    <t>2. Návrh podpory MPSV 2009 č.1 je návrh, o kterém OSVZ vyjednával na MPSV v rámci současných rozpočtových možností. Není potvrzen a v případě změn ve státním rozpočtu může dojít i ke schválení dodatečných dotací.</t>
  </si>
  <si>
    <t>3. U hospicového hnutí Vysočina, Oblastní charity Havlíčkův Brod a Oblastní charity Pelhřimov navrhujeme plně uspokojit jejich požadavek, který nepřesahuje dotace kraje poskytnuté v roce 2008. Pokud MPSV neuspokojí jejich požadavky na státní dotaci, bude nutné jejich finanční situaci znovu vyhodnotit v pololetí roku 2008.</t>
  </si>
  <si>
    <t>4. U Diecézní charity Brno navrhujeme uspokojení požadavku na dotaci z kraje prozatím pouze z části. Protože předpokládáme, že na finacování hospicové péče by se měli alespoň z 20 % podílet jiné zdroje než rozpočet kraje a MPSV a že navrženou dotací má být zajištěn provoz na první pololetí, stanovili jsme dotaci z částky odpovídající 40 % celkových nákladů, od které jsme odečetli dosavadní dotaci kraje a částku projednávanou jako možnou dotaci na MPSV. Je tak pokryto téměř 50 % předpokládaných nákladů roku 2009 a v pololetí bude nutné vývoj nákladů a zdrojů znovu vyhodnotit.</t>
  </si>
  <si>
    <t>Počet stran: 1</t>
  </si>
  <si>
    <t>§ 4359 pol. 5223</t>
  </si>
  <si>
    <t>§ 4359 pol. 5222</t>
  </si>
  <si>
    <t>RK-02-2009-57,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</si>
</sst>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  <numFmt numFmtId="166" formatCode="#,##0.0"/>
  </numFmts>
  <fonts count="9">
    <font>
      <sz val="10"/>
      <name val="Arial CE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2" xfId="0" applyNumberFormat="1" applyFont="1" applyFill="1" applyBorder="1" applyAlignment="1" quotePrefix="1">
      <alignment vertical="center" wrapText="1"/>
    </xf>
    <xf numFmtId="3" fontId="6" fillId="0" borderId="2" xfId="0" applyNumberFormat="1" applyFont="1" applyFill="1" applyBorder="1" applyAlignment="1" quotePrefix="1">
      <alignment horizontal="center" vertical="center" wrapText="1"/>
    </xf>
    <xf numFmtId="3" fontId="6" fillId="2" borderId="2" xfId="0" applyNumberFormat="1" applyFont="1" applyFill="1" applyBorder="1" applyAlignment="1" quotePrefix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 quotePrefix="1">
      <alignment horizontal="center" vertical="center" wrapText="1"/>
    </xf>
    <xf numFmtId="3" fontId="6" fillId="0" borderId="1" xfId="0" applyNumberFormat="1" applyFont="1" applyFill="1" applyBorder="1" applyAlignment="1" quotePrefix="1">
      <alignment horizontal="center" vertical="center" wrapText="1"/>
    </xf>
    <xf numFmtId="3" fontId="6" fillId="2" borderId="1" xfId="0" applyNumberFormat="1" applyFont="1" applyFill="1" applyBorder="1" applyAlignment="1" quotePrefix="1">
      <alignment horizontal="center" vertical="center" wrapText="1"/>
    </xf>
    <xf numFmtId="3" fontId="6" fillId="0" borderId="3" xfId="0" applyNumberFormat="1" applyFont="1" applyFill="1" applyBorder="1" applyAlignment="1" quotePrefix="1">
      <alignment horizontal="center" vertical="center" wrapText="1"/>
    </xf>
    <xf numFmtId="3" fontId="6" fillId="2" borderId="3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vertical="center" wrapText="1"/>
    </xf>
    <xf numFmtId="0" fontId="6" fillId="3" borderId="9" xfId="0" applyNumberFormat="1" applyFont="1" applyFill="1" applyBorder="1" applyAlignment="1" quotePrefix="1">
      <alignment vertical="center" wrapText="1"/>
    </xf>
    <xf numFmtId="0" fontId="6" fillId="3" borderId="10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 quotePrefix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 quotePrefix="1">
      <alignment vertical="center"/>
    </xf>
    <xf numFmtId="3" fontId="6" fillId="2" borderId="11" xfId="0" applyNumberFormat="1" applyFont="1" applyFill="1" applyBorder="1" applyAlignment="1" quotePrefix="1">
      <alignment vertical="center"/>
    </xf>
    <xf numFmtId="3" fontId="6" fillId="2" borderId="12" xfId="0" applyNumberFormat="1" applyFont="1" applyFill="1" applyBorder="1" applyAlignment="1" quotePrefix="1">
      <alignment vertical="center"/>
    </xf>
    <xf numFmtId="3" fontId="6" fillId="0" borderId="0" xfId="0" applyNumberFormat="1" applyFont="1" applyFill="1" applyAlignment="1" quotePrefix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2" borderId="11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vertical="center"/>
    </xf>
    <xf numFmtId="165" fontId="6" fillId="2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2" borderId="16" xfId="0" applyNumberFormat="1" applyFont="1" applyFill="1" applyBorder="1" applyAlignment="1">
      <alignment vertical="center"/>
    </xf>
    <xf numFmtId="165" fontId="6" fillId="0" borderId="17" xfId="0" applyNumberFormat="1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6" fontId="6" fillId="0" borderId="13" xfId="0" applyNumberFormat="1" applyFont="1" applyFill="1" applyBorder="1" applyAlignment="1">
      <alignment vertical="center"/>
    </xf>
    <xf numFmtId="166" fontId="6" fillId="2" borderId="13" xfId="0" applyNumberFormat="1" applyFont="1" applyFill="1" applyBorder="1" applyAlignment="1">
      <alignment vertical="center"/>
    </xf>
    <xf numFmtId="166" fontId="6" fillId="0" borderId="12" xfId="0" applyNumberFormat="1" applyFont="1" applyFill="1" applyBorder="1" applyAlignment="1">
      <alignment vertical="center"/>
    </xf>
    <xf numFmtId="166" fontId="6" fillId="2" borderId="18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64" fontId="6" fillId="4" borderId="1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vertical="center"/>
    </xf>
    <xf numFmtId="0" fontId="6" fillId="3" borderId="13" xfId="0" applyNumberFormat="1" applyFont="1" applyFill="1" applyBorder="1" applyAlignment="1" quotePrefix="1">
      <alignment vertical="center" wrapText="1"/>
    </xf>
    <xf numFmtId="0" fontId="6" fillId="3" borderId="11" xfId="0" applyNumberFormat="1" applyFont="1" applyFill="1" applyBorder="1" applyAlignment="1" quotePrefix="1">
      <alignment vertical="center" wrapText="1"/>
    </xf>
    <xf numFmtId="0" fontId="6" fillId="3" borderId="11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 quotePrefix="1">
      <alignment vertical="center"/>
    </xf>
    <xf numFmtId="3" fontId="6" fillId="2" borderId="13" xfId="0" applyNumberFormat="1" applyFont="1" applyFill="1" applyBorder="1" applyAlignment="1" quotePrefix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 quotePrefix="1">
      <alignment horizontal="center" vertical="center" wrapText="1"/>
    </xf>
    <xf numFmtId="3" fontId="6" fillId="0" borderId="18" xfId="0" applyNumberFormat="1" applyFont="1" applyFill="1" applyBorder="1" applyAlignment="1" quotePrefix="1">
      <alignment vertical="center"/>
    </xf>
    <xf numFmtId="3" fontId="6" fillId="2" borderId="21" xfId="0" applyNumberFormat="1" applyFont="1" applyFill="1" applyBorder="1" applyAlignment="1" quotePrefix="1">
      <alignment vertical="center"/>
    </xf>
    <xf numFmtId="3" fontId="6" fillId="0" borderId="21" xfId="0" applyNumberFormat="1" applyFont="1" applyFill="1" applyBorder="1" applyAlignment="1" quotePrefix="1">
      <alignment vertical="center"/>
    </xf>
    <xf numFmtId="3" fontId="6" fillId="2" borderId="22" xfId="0" applyNumberFormat="1" applyFont="1" applyFill="1" applyBorder="1" applyAlignment="1" quotePrefix="1">
      <alignment vertical="center"/>
    </xf>
    <xf numFmtId="3" fontId="6" fillId="0" borderId="23" xfId="0" applyNumberFormat="1" applyFont="1" applyFill="1" applyBorder="1" applyAlignment="1" quotePrefix="1">
      <alignment vertical="center"/>
    </xf>
    <xf numFmtId="3" fontId="6" fillId="0" borderId="24" xfId="0" applyNumberFormat="1" applyFont="1" applyFill="1" applyBorder="1" applyAlignment="1" quotePrefix="1">
      <alignment vertical="center"/>
    </xf>
    <xf numFmtId="3" fontId="6" fillId="2" borderId="24" xfId="0" applyNumberFormat="1" applyFont="1" applyFill="1" applyBorder="1" applyAlignment="1" quotePrefix="1">
      <alignment vertical="center"/>
    </xf>
    <xf numFmtId="3" fontId="6" fillId="2" borderId="25" xfId="0" applyNumberFormat="1" applyFont="1" applyFill="1" applyBorder="1" applyAlignment="1" quotePrefix="1">
      <alignment vertical="center"/>
    </xf>
    <xf numFmtId="0" fontId="6" fillId="3" borderId="26" xfId="0" applyNumberFormat="1" applyFont="1" applyFill="1" applyBorder="1" applyAlignment="1" quotePrefix="1">
      <alignment vertical="center" wrapText="1"/>
    </xf>
    <xf numFmtId="0" fontId="6" fillId="3" borderId="21" xfId="0" applyNumberFormat="1" applyFont="1" applyFill="1" applyBorder="1" applyAlignment="1" quotePrefix="1">
      <alignment vertical="center" wrapText="1"/>
    </xf>
    <xf numFmtId="0" fontId="6" fillId="3" borderId="21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 quotePrefix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4" borderId="27" xfId="0" applyNumberFormat="1" applyFont="1" applyFill="1" applyBorder="1" applyAlignment="1">
      <alignment horizontal="right" vertical="center"/>
    </xf>
    <xf numFmtId="164" fontId="6" fillId="4" borderId="16" xfId="0" applyNumberFormat="1" applyFont="1" applyFill="1" applyBorder="1" applyAlignment="1">
      <alignment horizontal="right" vertical="center"/>
    </xf>
    <xf numFmtId="164" fontId="6" fillId="4" borderId="4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6" fillId="5" borderId="25" xfId="0" applyNumberFormat="1" applyFont="1" applyFill="1" applyBorder="1" applyAlignment="1">
      <alignment horizontal="right" vertical="center"/>
    </xf>
    <xf numFmtId="164" fontId="6" fillId="5" borderId="12" xfId="0" applyNumberFormat="1" applyFont="1" applyFill="1" applyBorder="1" applyAlignment="1">
      <alignment horizontal="right" vertical="center"/>
    </xf>
    <xf numFmtId="164" fontId="6" fillId="5" borderId="28" xfId="0" applyNumberFormat="1" applyFont="1" applyFill="1" applyBorder="1" applyAlignment="1">
      <alignment horizontal="right" vertical="center"/>
    </xf>
    <xf numFmtId="3" fontId="6" fillId="5" borderId="29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 wrapText="1"/>
    </xf>
    <xf numFmtId="3" fontId="7" fillId="5" borderId="30" xfId="0" applyNumberFormat="1" applyFont="1" applyFill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3" fontId="7" fillId="5" borderId="9" xfId="0" applyNumberFormat="1" applyFont="1" applyFill="1" applyBorder="1" applyAlignment="1">
      <alignment horizontal="right" vertical="center"/>
    </xf>
    <xf numFmtId="3" fontId="7" fillId="5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3" fontId="0" fillId="2" borderId="32" xfId="0" applyNumberFormat="1" applyFill="1" applyBorder="1" applyAlignment="1">
      <alignment/>
    </xf>
    <xf numFmtId="3" fontId="0" fillId="2" borderId="29" xfId="0" applyNumberFormat="1" applyFill="1" applyBorder="1" applyAlignment="1">
      <alignment/>
    </xf>
    <xf numFmtId="9" fontId="1" fillId="0" borderId="33" xfId="0" applyNumberFormat="1" applyFont="1" applyFill="1" applyBorder="1" applyAlignment="1">
      <alignment vertical="center"/>
    </xf>
    <xf numFmtId="3" fontId="0" fillId="4" borderId="33" xfId="0" applyNumberFormat="1" applyFill="1" applyBorder="1" applyAlignment="1">
      <alignment/>
    </xf>
    <xf numFmtId="3" fontId="0" fillId="3" borderId="33" xfId="0" applyNumberFormat="1" applyFill="1" applyBorder="1" applyAlignment="1">
      <alignment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3" borderId="3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3" fontId="0" fillId="6" borderId="0" xfId="0" applyNumberFormat="1" applyFill="1" applyBorder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Border="1" applyAlignment="1">
      <alignment vertical="center"/>
    </xf>
    <xf numFmtId="3" fontId="7" fillId="6" borderId="0" xfId="0" applyNumberFormat="1" applyFont="1" applyFill="1" applyBorder="1" applyAlignment="1">
      <alignment horizontal="right" vertical="center"/>
    </xf>
    <xf numFmtId="3" fontId="6" fillId="6" borderId="0" xfId="0" applyNumberFormat="1" applyFont="1" applyFill="1" applyBorder="1" applyAlignment="1">
      <alignment horizontal="right" vertical="center"/>
    </xf>
    <xf numFmtId="9" fontId="1" fillId="6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9" fontId="1" fillId="0" borderId="36" xfId="0" applyNumberFormat="1" applyFont="1" applyFill="1" applyBorder="1" applyAlignment="1">
      <alignment vertical="center"/>
    </xf>
    <xf numFmtId="9" fontId="1" fillId="0" borderId="14" xfId="0" applyNumberFormat="1" applyFont="1" applyFill="1" applyBorder="1" applyAlignment="1">
      <alignment vertical="center"/>
    </xf>
    <xf numFmtId="9" fontId="1" fillId="0" borderId="37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8"/>
  <sheetViews>
    <sheetView tabSelected="1" zoomScale="75" zoomScaleNormal="75" zoomScaleSheetLayoutView="100" workbookViewId="0" topLeftCell="Y1">
      <selection activeCell="Z34" sqref="Z34"/>
    </sheetView>
  </sheetViews>
  <sheetFormatPr defaultColWidth="9.00390625" defaultRowHeight="12.75"/>
  <cols>
    <col min="1" max="1" width="10.375" style="0" bestFit="1" customWidth="1"/>
    <col min="2" max="2" width="13.875" style="0" bestFit="1" customWidth="1"/>
    <col min="3" max="3" width="14.375" style="0" customWidth="1"/>
    <col min="4" max="4" width="21.75390625" style="0" customWidth="1"/>
    <col min="5" max="5" width="10.125" style="0" customWidth="1"/>
    <col min="6" max="11" width="9.125" style="0" hidden="1" customWidth="1"/>
    <col min="13" max="13" width="9.125" style="0" hidden="1" customWidth="1"/>
    <col min="14" max="14" width="9.875" style="0" hidden="1" customWidth="1"/>
    <col min="15" max="15" width="9.125" style="0" hidden="1" customWidth="1"/>
    <col min="16" max="16" width="9.25390625" style="0" bestFit="1" customWidth="1"/>
    <col min="17" max="17" width="12.125" style="0" customWidth="1"/>
    <col min="18" max="24" width="9.125" style="0" hidden="1" customWidth="1"/>
    <col min="25" max="26" width="10.375" style="0" bestFit="1" customWidth="1"/>
    <col min="27" max="27" width="9.125" style="0" hidden="1" customWidth="1"/>
    <col min="28" max="29" width="9.25390625" style="0" bestFit="1" customWidth="1"/>
    <col min="30" max="33" width="9.125" style="0" hidden="1" customWidth="1"/>
    <col min="34" max="35" width="9.25390625" style="0" bestFit="1" customWidth="1"/>
    <col min="36" max="41" width="9.125" style="0" hidden="1" customWidth="1"/>
    <col min="42" max="42" width="10.375" style="0" hidden="1" customWidth="1"/>
    <col min="43" max="43" width="10.375" style="0" bestFit="1" customWidth="1"/>
    <col min="44" max="44" width="9.25390625" style="0" bestFit="1" customWidth="1"/>
    <col min="45" max="45" width="10.375" style="0" hidden="1" customWidth="1"/>
    <col min="46" max="46" width="10.625" style="0" bestFit="1" customWidth="1"/>
    <col min="47" max="47" width="11.625" style="0" bestFit="1" customWidth="1"/>
    <col min="48" max="48" width="5.25390625" style="0" customWidth="1"/>
    <col min="49" max="75" width="9.125" style="0" hidden="1" customWidth="1"/>
    <col min="76" max="76" width="11.00390625" style="0" customWidth="1"/>
    <col min="77" max="101" width="9.125" style="0" hidden="1" customWidth="1"/>
    <col min="102" max="102" width="3.25390625" style="0" customWidth="1"/>
    <col min="103" max="103" width="11.375" style="0" customWidth="1"/>
    <col min="105" max="105" width="10.375" style="0" bestFit="1" customWidth="1"/>
    <col min="106" max="106" width="11.625" style="0" customWidth="1"/>
    <col min="107" max="107" width="10.75390625" style="0" customWidth="1"/>
    <col min="108" max="108" width="16.00390625" style="0" customWidth="1"/>
  </cols>
  <sheetData>
    <row r="1" ht="12.75">
      <c r="DD1" s="135" t="s">
        <v>116</v>
      </c>
    </row>
    <row r="2" ht="13.5" thickBot="1">
      <c r="DD2" s="135" t="s">
        <v>113</v>
      </c>
    </row>
    <row r="3" spans="1:109" s="1" customFormat="1" ht="153.75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87" t="s">
        <v>14</v>
      </c>
      <c r="P3" s="5" t="s">
        <v>15</v>
      </c>
      <c r="Q3" s="6" t="s">
        <v>16</v>
      </c>
      <c r="R3" s="5" t="s">
        <v>17</v>
      </c>
      <c r="S3" s="5" t="s">
        <v>18</v>
      </c>
      <c r="T3" s="6" t="s">
        <v>19</v>
      </c>
      <c r="U3" s="5" t="s">
        <v>20</v>
      </c>
      <c r="V3" s="5" t="s">
        <v>21</v>
      </c>
      <c r="W3" s="6" t="s">
        <v>22</v>
      </c>
      <c r="X3" s="5" t="s">
        <v>23</v>
      </c>
      <c r="Y3" s="5" t="s">
        <v>24</v>
      </c>
      <c r="Z3" s="6" t="s">
        <v>25</v>
      </c>
      <c r="AA3" s="5" t="s">
        <v>26</v>
      </c>
      <c r="AB3" s="5" t="s">
        <v>27</v>
      </c>
      <c r="AC3" s="6" t="s">
        <v>28</v>
      </c>
      <c r="AD3" s="5" t="s">
        <v>29</v>
      </c>
      <c r="AE3" s="5" t="s">
        <v>30</v>
      </c>
      <c r="AF3" s="6" t="s">
        <v>31</v>
      </c>
      <c r="AG3" s="5" t="s">
        <v>32</v>
      </c>
      <c r="AH3" s="5" t="s">
        <v>33</v>
      </c>
      <c r="AI3" s="6" t="s">
        <v>34</v>
      </c>
      <c r="AJ3" s="5" t="s">
        <v>35</v>
      </c>
      <c r="AK3" s="5" t="s">
        <v>36</v>
      </c>
      <c r="AL3" s="5" t="s">
        <v>37</v>
      </c>
      <c r="AM3" s="5" t="s">
        <v>38</v>
      </c>
      <c r="AN3" s="5" t="s">
        <v>39</v>
      </c>
      <c r="AO3" s="5" t="s">
        <v>40</v>
      </c>
      <c r="AP3" s="5" t="s">
        <v>41</v>
      </c>
      <c r="AQ3" s="5" t="s">
        <v>42</v>
      </c>
      <c r="AR3" s="6" t="s">
        <v>43</v>
      </c>
      <c r="AS3" s="7" t="s">
        <v>44</v>
      </c>
      <c r="AT3" s="7" t="s">
        <v>45</v>
      </c>
      <c r="AU3" s="23" t="s">
        <v>46</v>
      </c>
      <c r="AV3" s="8"/>
      <c r="AW3" s="9" t="s">
        <v>47</v>
      </c>
      <c r="AX3" s="10" t="s">
        <v>48</v>
      </c>
      <c r="AY3" s="5" t="s">
        <v>49</v>
      </c>
      <c r="AZ3" s="6" t="s">
        <v>50</v>
      </c>
      <c r="BA3" s="11" t="s">
        <v>51</v>
      </c>
      <c r="BB3" s="12" t="s">
        <v>52</v>
      </c>
      <c r="BC3" s="13"/>
      <c r="BD3" s="14" t="s">
        <v>53</v>
      </c>
      <c r="BE3" s="15" t="s">
        <v>54</v>
      </c>
      <c r="BF3" s="16" t="s">
        <v>55</v>
      </c>
      <c r="BG3" s="17" t="s">
        <v>56</v>
      </c>
      <c r="BH3" s="18" t="s">
        <v>57</v>
      </c>
      <c r="BI3" s="19" t="s">
        <v>58</v>
      </c>
      <c r="BJ3" s="20" t="s">
        <v>59</v>
      </c>
      <c r="BK3" s="21" t="s">
        <v>60</v>
      </c>
      <c r="BL3" s="22" t="s">
        <v>61</v>
      </c>
      <c r="BM3" s="23" t="s">
        <v>62</v>
      </c>
      <c r="BN3" s="18" t="s">
        <v>63</v>
      </c>
      <c r="BO3" s="19" t="s">
        <v>64</v>
      </c>
      <c r="BP3" s="24"/>
      <c r="BQ3" s="25" t="s">
        <v>65</v>
      </c>
      <c r="BR3" s="26" t="s">
        <v>66</v>
      </c>
      <c r="BS3" s="27" t="s">
        <v>67</v>
      </c>
      <c r="BT3" s="28" t="s">
        <v>68</v>
      </c>
      <c r="BU3" s="29" t="s">
        <v>69</v>
      </c>
      <c r="BV3" s="30"/>
      <c r="BW3" s="30"/>
      <c r="BX3" s="103" t="s">
        <v>104</v>
      </c>
      <c r="BY3" s="29"/>
      <c r="BZ3" s="31"/>
      <c r="CA3" s="32"/>
      <c r="CB3" s="31"/>
      <c r="CC3" s="31"/>
      <c r="CD3" s="31"/>
      <c r="CE3" s="146" t="s">
        <v>70</v>
      </c>
      <c r="CF3" s="147"/>
      <c r="CG3" s="33" t="s">
        <v>71</v>
      </c>
      <c r="CH3" s="33" t="s">
        <v>72</v>
      </c>
      <c r="CI3" s="34"/>
      <c r="CJ3" s="35" t="s">
        <v>73</v>
      </c>
      <c r="CK3" s="36"/>
      <c r="CL3" s="31" t="s">
        <v>74</v>
      </c>
      <c r="CM3" s="31" t="s">
        <v>75</v>
      </c>
      <c r="CN3" s="37" t="s">
        <v>76</v>
      </c>
      <c r="CO3" s="24"/>
      <c r="CP3" s="24" t="s">
        <v>77</v>
      </c>
      <c r="CQ3" s="24" t="s">
        <v>78</v>
      </c>
      <c r="CR3" s="38" t="s">
        <v>79</v>
      </c>
      <c r="CS3" s="24" t="s">
        <v>80</v>
      </c>
      <c r="CT3" s="24" t="s">
        <v>81</v>
      </c>
      <c r="CU3" s="24" t="s">
        <v>82</v>
      </c>
      <c r="CV3" s="24" t="s">
        <v>83</v>
      </c>
      <c r="CW3" s="24" t="s">
        <v>84</v>
      </c>
      <c r="CX3" s="24"/>
      <c r="CY3" s="121" t="s">
        <v>100</v>
      </c>
      <c r="DA3" s="109" t="s">
        <v>105</v>
      </c>
      <c r="DB3" s="104" t="s">
        <v>106</v>
      </c>
      <c r="DC3" s="137" t="s">
        <v>107</v>
      </c>
      <c r="DD3" s="144" t="s">
        <v>70</v>
      </c>
      <c r="DE3" s="136"/>
    </row>
    <row r="4" spans="1:108" s="2" customFormat="1" ht="30.75" customHeight="1" thickTop="1">
      <c r="A4" s="39">
        <v>44990260</v>
      </c>
      <c r="B4" s="40" t="s">
        <v>85</v>
      </c>
      <c r="C4" s="40" t="s">
        <v>86</v>
      </c>
      <c r="D4" s="40" t="s">
        <v>87</v>
      </c>
      <c r="E4" s="41">
        <v>8756952</v>
      </c>
      <c r="F4" s="42"/>
      <c r="G4" s="41">
        <v>0</v>
      </c>
      <c r="H4" s="41">
        <v>0</v>
      </c>
      <c r="I4" s="41">
        <v>2</v>
      </c>
      <c r="J4" s="41">
        <v>2</v>
      </c>
      <c r="K4" s="41">
        <v>0</v>
      </c>
      <c r="L4" s="41">
        <v>5</v>
      </c>
      <c r="M4" s="41"/>
      <c r="N4" s="41">
        <v>4</v>
      </c>
      <c r="O4" s="88">
        <v>0</v>
      </c>
      <c r="P4" s="93">
        <v>0</v>
      </c>
      <c r="Q4" s="94">
        <v>1400000</v>
      </c>
      <c r="R4" s="93">
        <v>0</v>
      </c>
      <c r="S4" s="93">
        <v>0</v>
      </c>
      <c r="T4" s="94">
        <v>0</v>
      </c>
      <c r="U4" s="93">
        <v>0</v>
      </c>
      <c r="V4" s="93">
        <v>0</v>
      </c>
      <c r="W4" s="94">
        <v>0</v>
      </c>
      <c r="X4" s="93">
        <v>0</v>
      </c>
      <c r="Y4" s="43">
        <v>510000</v>
      </c>
      <c r="Z4" s="94">
        <v>900000</v>
      </c>
      <c r="AA4" s="93">
        <v>0</v>
      </c>
      <c r="AB4" s="93">
        <v>0</v>
      </c>
      <c r="AC4" s="94">
        <v>60000</v>
      </c>
      <c r="AD4" s="93">
        <v>0</v>
      </c>
      <c r="AE4" s="93">
        <v>0</v>
      </c>
      <c r="AF4" s="94">
        <v>0</v>
      </c>
      <c r="AG4" s="93">
        <v>0</v>
      </c>
      <c r="AH4" s="93">
        <v>0</v>
      </c>
      <c r="AI4" s="94">
        <v>144000</v>
      </c>
      <c r="AJ4" s="93">
        <v>0</v>
      </c>
      <c r="AK4" s="93">
        <v>0</v>
      </c>
      <c r="AL4" s="94">
        <v>0</v>
      </c>
      <c r="AM4" s="93">
        <v>0</v>
      </c>
      <c r="AN4" s="93">
        <v>0</v>
      </c>
      <c r="AO4" s="94">
        <v>0</v>
      </c>
      <c r="AP4" s="93">
        <v>0</v>
      </c>
      <c r="AQ4" s="93">
        <v>0</v>
      </c>
      <c r="AR4" s="94">
        <v>3000</v>
      </c>
      <c r="AS4" s="93">
        <v>0</v>
      </c>
      <c r="AT4" s="93">
        <v>513000</v>
      </c>
      <c r="AU4" s="95">
        <v>2507000</v>
      </c>
      <c r="AV4" s="46"/>
      <c r="AW4" s="47"/>
      <c r="AX4" s="48"/>
      <c r="AY4" s="49"/>
      <c r="AZ4" s="50"/>
      <c r="BA4" s="51"/>
      <c r="BB4" s="52"/>
      <c r="BC4" s="53"/>
      <c r="BD4" s="54"/>
      <c r="BE4" s="55"/>
      <c r="BF4" s="56"/>
      <c r="BG4" s="57"/>
      <c r="BH4" s="58"/>
      <c r="BI4" s="59"/>
      <c r="BJ4" s="60"/>
      <c r="BK4" s="61"/>
      <c r="BL4" s="62"/>
      <c r="BM4" s="63"/>
      <c r="BN4" s="64"/>
      <c r="BO4" s="65"/>
      <c r="BP4" s="66"/>
      <c r="BQ4" s="67"/>
      <c r="BR4" s="68"/>
      <c r="BS4" s="69"/>
      <c r="BT4" s="70"/>
      <c r="BU4" s="71">
        <v>0.029</v>
      </c>
      <c r="BV4" s="42">
        <f>AU4*BU4*0.4</f>
        <v>29081.2</v>
      </c>
      <c r="BW4" s="72"/>
      <c r="BX4" s="102">
        <v>72700</v>
      </c>
      <c r="BY4" s="74"/>
      <c r="BZ4" s="75"/>
      <c r="CA4" s="76"/>
      <c r="CB4" s="75"/>
      <c r="CC4" s="75"/>
      <c r="CD4" s="75"/>
      <c r="CE4" s="77"/>
      <c r="CF4" s="77"/>
      <c r="CG4" s="49"/>
      <c r="CH4" s="49"/>
      <c r="CI4" s="49"/>
      <c r="CJ4" s="75"/>
      <c r="CK4" s="75"/>
      <c r="CL4" s="75"/>
      <c r="CM4" s="75"/>
      <c r="CN4" s="78"/>
      <c r="CO4" s="42"/>
      <c r="CP4" s="42"/>
      <c r="CQ4" s="42">
        <f aca="true" t="shared" si="0" ref="CQ4:CQ10">IF(AT4*1&gt;AU4,AU4,AT4*1*0.75)</f>
        <v>384750</v>
      </c>
      <c r="CR4" s="79">
        <v>0.27</v>
      </c>
      <c r="CS4" s="42">
        <f aca="true" t="shared" si="1" ref="CS4:CS10">IF(CQ4*CR4&lt;Q4,CQ4*CR4,Q4)</f>
        <v>103882.5</v>
      </c>
      <c r="CT4" s="42">
        <f aca="true" t="shared" si="2" ref="CT4:CT10">P4*0.75</f>
        <v>0</v>
      </c>
      <c r="CU4" s="42" t="e">
        <f aca="true" t="shared" si="3" ref="CU4:CU10">AT4/AS4</f>
        <v>#DIV/0!</v>
      </c>
      <c r="CV4" s="42"/>
      <c r="CW4" s="42"/>
      <c r="CX4" s="66"/>
      <c r="CY4" s="122">
        <v>400000</v>
      </c>
      <c r="DA4" s="110">
        <f>+AU4/2*0.8-CY4-BX4</f>
        <v>530100</v>
      </c>
      <c r="DB4" s="105">
        <f>+DA4+BX4</f>
        <v>602800</v>
      </c>
      <c r="DC4" s="138">
        <f aca="true" t="shared" si="4" ref="DC4:DC12">+(+DB4+CY4+AR4+AI4)/AU4</f>
        <v>0.4586358197048265</v>
      </c>
      <c r="DD4" s="143" t="s">
        <v>114</v>
      </c>
    </row>
    <row r="5" spans="1:108" s="2" customFormat="1" ht="41.25" customHeight="1">
      <c r="A5" s="39">
        <v>44990260</v>
      </c>
      <c r="B5" s="40" t="s">
        <v>85</v>
      </c>
      <c r="C5" s="40" t="s">
        <v>86</v>
      </c>
      <c r="D5" s="40" t="s">
        <v>88</v>
      </c>
      <c r="E5" s="41">
        <v>4578503</v>
      </c>
      <c r="F5" s="42"/>
      <c r="G5" s="41">
        <v>0</v>
      </c>
      <c r="H5" s="41">
        <v>0</v>
      </c>
      <c r="I5" s="41">
        <v>2</v>
      </c>
      <c r="J5" s="41">
        <v>2</v>
      </c>
      <c r="K5" s="41">
        <v>0</v>
      </c>
      <c r="L5" s="41">
        <v>6.2</v>
      </c>
      <c r="M5" s="41"/>
      <c r="N5" s="41">
        <v>4.8</v>
      </c>
      <c r="O5" s="88">
        <v>0</v>
      </c>
      <c r="P5" s="43">
        <v>0</v>
      </c>
      <c r="Q5" s="44">
        <v>1428000</v>
      </c>
      <c r="R5" s="43">
        <v>0</v>
      </c>
      <c r="S5" s="43">
        <v>0</v>
      </c>
      <c r="T5" s="44">
        <v>0</v>
      </c>
      <c r="U5" s="43">
        <v>0</v>
      </c>
      <c r="V5" s="43">
        <v>0</v>
      </c>
      <c r="W5" s="44">
        <v>0</v>
      </c>
      <c r="X5" s="43">
        <v>0</v>
      </c>
      <c r="Y5" s="43">
        <v>510000</v>
      </c>
      <c r="Z5" s="44">
        <v>821200</v>
      </c>
      <c r="AA5" s="43">
        <v>0</v>
      </c>
      <c r="AB5" s="43">
        <v>0</v>
      </c>
      <c r="AC5" s="44">
        <v>68000</v>
      </c>
      <c r="AD5" s="43">
        <v>0</v>
      </c>
      <c r="AE5" s="43">
        <v>0</v>
      </c>
      <c r="AF5" s="44">
        <v>0</v>
      </c>
      <c r="AG5" s="43">
        <v>0</v>
      </c>
      <c r="AH5" s="43">
        <v>0</v>
      </c>
      <c r="AI5" s="44">
        <v>144000</v>
      </c>
      <c r="AJ5" s="43">
        <v>0</v>
      </c>
      <c r="AK5" s="43">
        <v>0</v>
      </c>
      <c r="AL5" s="44">
        <v>0</v>
      </c>
      <c r="AM5" s="43">
        <v>0</v>
      </c>
      <c r="AN5" s="43">
        <v>0</v>
      </c>
      <c r="AO5" s="44">
        <v>0</v>
      </c>
      <c r="AP5" s="43">
        <v>0</v>
      </c>
      <c r="AQ5" s="43">
        <v>0</v>
      </c>
      <c r="AR5" s="44">
        <v>0</v>
      </c>
      <c r="AS5" s="43">
        <v>0</v>
      </c>
      <c r="AT5" s="43">
        <v>510000</v>
      </c>
      <c r="AU5" s="45">
        <v>2461200</v>
      </c>
      <c r="AV5" s="46"/>
      <c r="AW5" s="47"/>
      <c r="AX5" s="48"/>
      <c r="AY5" s="49"/>
      <c r="AZ5" s="50"/>
      <c r="BA5" s="51"/>
      <c r="BB5" s="52"/>
      <c r="BC5" s="53"/>
      <c r="BD5" s="54"/>
      <c r="BE5" s="55"/>
      <c r="BF5" s="56"/>
      <c r="BG5" s="57"/>
      <c r="BH5" s="58"/>
      <c r="BI5" s="59"/>
      <c r="BJ5" s="60"/>
      <c r="BK5" s="61"/>
      <c r="BL5" s="62"/>
      <c r="BM5" s="63"/>
      <c r="BN5" s="64"/>
      <c r="BO5" s="65"/>
      <c r="BP5" s="66"/>
      <c r="BQ5" s="67"/>
      <c r="BR5" s="68"/>
      <c r="BS5" s="69"/>
      <c r="BT5" s="70"/>
      <c r="BU5" s="71">
        <v>0.029</v>
      </c>
      <c r="BV5" s="42">
        <f>AU5*BU5*0.4</f>
        <v>28549.920000000002</v>
      </c>
      <c r="BW5" s="72"/>
      <c r="BX5" s="73">
        <v>71400</v>
      </c>
      <c r="BY5" s="74"/>
      <c r="BZ5" s="75"/>
      <c r="CA5" s="76"/>
      <c r="CB5" s="75"/>
      <c r="CC5" s="75"/>
      <c r="CD5" s="75"/>
      <c r="CE5" s="77"/>
      <c r="CF5" s="77"/>
      <c r="CG5" s="49"/>
      <c r="CH5" s="49"/>
      <c r="CI5" s="49"/>
      <c r="CJ5" s="75"/>
      <c r="CK5" s="75"/>
      <c r="CL5" s="75"/>
      <c r="CM5" s="75"/>
      <c r="CN5" s="78"/>
      <c r="CO5" s="42"/>
      <c r="CP5" s="42"/>
      <c r="CQ5" s="42">
        <f t="shared" si="0"/>
        <v>382500</v>
      </c>
      <c r="CR5" s="79">
        <v>0.27</v>
      </c>
      <c r="CS5" s="42">
        <f t="shared" si="1"/>
        <v>103275</v>
      </c>
      <c r="CT5" s="42">
        <f t="shared" si="2"/>
        <v>0</v>
      </c>
      <c r="CU5" s="42" t="e">
        <f t="shared" si="3"/>
        <v>#DIV/0!</v>
      </c>
      <c r="CV5" s="42"/>
      <c r="CW5" s="42"/>
      <c r="CX5" s="66"/>
      <c r="CY5" s="123">
        <v>400000</v>
      </c>
      <c r="DA5" s="111">
        <f>+AU5/2*0.8-CY5-BX5</f>
        <v>513080</v>
      </c>
      <c r="DB5" s="106">
        <f aca="true" t="shared" si="5" ref="DB5:DB11">+DA5+BX5</f>
        <v>584480</v>
      </c>
      <c r="DC5" s="139">
        <f t="shared" si="4"/>
        <v>0.4585080448561677</v>
      </c>
      <c r="DD5" s="141" t="s">
        <v>114</v>
      </c>
    </row>
    <row r="6" spans="1:108" s="2" customFormat="1" ht="38.25">
      <c r="A6" s="39">
        <v>44990260</v>
      </c>
      <c r="B6" s="40" t="s">
        <v>85</v>
      </c>
      <c r="C6" s="40" t="s">
        <v>86</v>
      </c>
      <c r="D6" s="40" t="s">
        <v>89</v>
      </c>
      <c r="E6" s="41">
        <v>7981302</v>
      </c>
      <c r="F6" s="42"/>
      <c r="G6" s="41">
        <v>0</v>
      </c>
      <c r="H6" s="41">
        <v>0</v>
      </c>
      <c r="I6" s="41">
        <v>2</v>
      </c>
      <c r="J6" s="41">
        <v>2</v>
      </c>
      <c r="K6" s="41">
        <v>0</v>
      </c>
      <c r="L6" s="41">
        <v>5.8</v>
      </c>
      <c r="M6" s="41"/>
      <c r="N6" s="41">
        <v>4.7</v>
      </c>
      <c r="O6" s="88">
        <v>0</v>
      </c>
      <c r="P6" s="43">
        <v>0</v>
      </c>
      <c r="Q6" s="44">
        <v>1375000</v>
      </c>
      <c r="R6" s="43">
        <v>0</v>
      </c>
      <c r="S6" s="43">
        <v>0</v>
      </c>
      <c r="T6" s="44">
        <v>0</v>
      </c>
      <c r="U6" s="43">
        <v>0</v>
      </c>
      <c r="V6" s="43">
        <v>0</v>
      </c>
      <c r="W6" s="44">
        <v>0</v>
      </c>
      <c r="X6" s="43">
        <v>0</v>
      </c>
      <c r="Y6" s="43">
        <v>510000</v>
      </c>
      <c r="Z6" s="44">
        <v>921500</v>
      </c>
      <c r="AA6" s="43">
        <v>0</v>
      </c>
      <c r="AB6" s="43">
        <v>0</v>
      </c>
      <c r="AC6" s="44">
        <v>0</v>
      </c>
      <c r="AD6" s="43">
        <v>0</v>
      </c>
      <c r="AE6" s="43">
        <v>0</v>
      </c>
      <c r="AF6" s="44">
        <v>0</v>
      </c>
      <c r="AG6" s="43">
        <v>0</v>
      </c>
      <c r="AH6" s="43">
        <v>12000</v>
      </c>
      <c r="AI6" s="44">
        <v>145000</v>
      </c>
      <c r="AJ6" s="43">
        <v>0</v>
      </c>
      <c r="AK6" s="43">
        <v>0</v>
      </c>
      <c r="AL6" s="44">
        <v>0</v>
      </c>
      <c r="AM6" s="43">
        <v>0</v>
      </c>
      <c r="AN6" s="43">
        <v>0</v>
      </c>
      <c r="AO6" s="44">
        <v>0</v>
      </c>
      <c r="AP6" s="43">
        <v>0</v>
      </c>
      <c r="AQ6" s="43">
        <v>0</v>
      </c>
      <c r="AR6" s="44">
        <v>2000</v>
      </c>
      <c r="AS6" s="43">
        <v>0</v>
      </c>
      <c r="AT6" s="43">
        <v>512000</v>
      </c>
      <c r="AU6" s="45">
        <v>2443500</v>
      </c>
      <c r="AV6" s="46"/>
      <c r="AW6" s="47"/>
      <c r="AX6" s="48"/>
      <c r="AY6" s="49"/>
      <c r="AZ6" s="50"/>
      <c r="BA6" s="51"/>
      <c r="BB6" s="52"/>
      <c r="BC6" s="53"/>
      <c r="BD6" s="54"/>
      <c r="BE6" s="55"/>
      <c r="BF6" s="56"/>
      <c r="BG6" s="57"/>
      <c r="BH6" s="58"/>
      <c r="BI6" s="59"/>
      <c r="BJ6" s="60"/>
      <c r="BK6" s="61"/>
      <c r="BL6" s="62"/>
      <c r="BM6" s="63"/>
      <c r="BN6" s="64"/>
      <c r="BO6" s="65"/>
      <c r="BP6" s="66"/>
      <c r="BQ6" s="67"/>
      <c r="BR6" s="68"/>
      <c r="BS6" s="69"/>
      <c r="BT6" s="70"/>
      <c r="BU6" s="71">
        <v>0.029</v>
      </c>
      <c r="BV6" s="42">
        <f aca="true" t="shared" si="6" ref="BV6:BV11">IF(AT6&lt;AU6,AT6*BU6*0.4,AU6*BU6*0.4)</f>
        <v>5939.200000000001</v>
      </c>
      <c r="BW6" s="72"/>
      <c r="BX6" s="73">
        <v>14800</v>
      </c>
      <c r="BY6" s="74"/>
      <c r="BZ6" s="75"/>
      <c r="CA6" s="76"/>
      <c r="CB6" s="75"/>
      <c r="CC6" s="75"/>
      <c r="CD6" s="75"/>
      <c r="CE6" s="77"/>
      <c r="CF6" s="77"/>
      <c r="CG6" s="49"/>
      <c r="CH6" s="49"/>
      <c r="CI6" s="49"/>
      <c r="CJ6" s="75"/>
      <c r="CK6" s="75"/>
      <c r="CL6" s="75"/>
      <c r="CM6" s="75"/>
      <c r="CN6" s="78"/>
      <c r="CO6" s="42"/>
      <c r="CP6" s="42"/>
      <c r="CQ6" s="42">
        <f t="shared" si="0"/>
        <v>384000</v>
      </c>
      <c r="CR6" s="79">
        <v>0.27</v>
      </c>
      <c r="CS6" s="42">
        <f t="shared" si="1"/>
        <v>103680</v>
      </c>
      <c r="CT6" s="42">
        <f t="shared" si="2"/>
        <v>0</v>
      </c>
      <c r="CU6" s="42" t="e">
        <f t="shared" si="3"/>
        <v>#DIV/0!</v>
      </c>
      <c r="CV6" s="42"/>
      <c r="CW6" s="42"/>
      <c r="CX6" s="66"/>
      <c r="CY6" s="123">
        <v>400000</v>
      </c>
      <c r="DA6" s="111">
        <f>+AU6/2*0.8-CY6-BX6</f>
        <v>562600</v>
      </c>
      <c r="DB6" s="106">
        <f t="shared" si="5"/>
        <v>577400</v>
      </c>
      <c r="DC6" s="139">
        <f t="shared" si="4"/>
        <v>0.46015960712093307</v>
      </c>
      <c r="DD6" s="141" t="s">
        <v>114</v>
      </c>
    </row>
    <row r="7" spans="1:108" s="2" customFormat="1" ht="25.5">
      <c r="A7" s="80">
        <v>15060233</v>
      </c>
      <c r="B7" s="81" t="s">
        <v>90</v>
      </c>
      <c r="C7" s="81" t="s">
        <v>86</v>
      </c>
      <c r="D7" s="82" t="s">
        <v>91</v>
      </c>
      <c r="E7" s="41">
        <v>6314482</v>
      </c>
      <c r="F7" s="42"/>
      <c r="G7" s="41">
        <v>1</v>
      </c>
      <c r="H7" s="41">
        <v>2</v>
      </c>
      <c r="I7" s="41">
        <v>2</v>
      </c>
      <c r="J7" s="41">
        <v>3</v>
      </c>
      <c r="K7" s="41">
        <v>2</v>
      </c>
      <c r="L7" s="41">
        <v>6.9</v>
      </c>
      <c r="M7" s="41"/>
      <c r="N7" s="41">
        <v>6.3</v>
      </c>
      <c r="O7" s="88">
        <v>0</v>
      </c>
      <c r="P7" s="43">
        <v>0</v>
      </c>
      <c r="Q7" s="44">
        <v>1537750</v>
      </c>
      <c r="R7" s="43">
        <v>0</v>
      </c>
      <c r="S7" s="43">
        <v>0</v>
      </c>
      <c r="T7" s="44">
        <v>0</v>
      </c>
      <c r="U7" s="43">
        <v>0</v>
      </c>
      <c r="V7" s="43">
        <v>0</v>
      </c>
      <c r="W7" s="44">
        <v>0</v>
      </c>
      <c r="X7" s="43">
        <v>0</v>
      </c>
      <c r="Y7" s="43">
        <v>510000</v>
      </c>
      <c r="Z7" s="44">
        <v>510000</v>
      </c>
      <c r="AA7" s="43">
        <v>0</v>
      </c>
      <c r="AB7" s="43">
        <v>0</v>
      </c>
      <c r="AC7" s="44">
        <v>100000</v>
      </c>
      <c r="AD7" s="43">
        <v>0</v>
      </c>
      <c r="AE7" s="43">
        <v>0</v>
      </c>
      <c r="AF7" s="44">
        <v>0</v>
      </c>
      <c r="AG7" s="43">
        <v>0</v>
      </c>
      <c r="AH7" s="43">
        <v>15000</v>
      </c>
      <c r="AI7" s="44">
        <v>392250</v>
      </c>
      <c r="AJ7" s="43">
        <v>0</v>
      </c>
      <c r="AK7" s="43">
        <v>0</v>
      </c>
      <c r="AL7" s="44">
        <v>0</v>
      </c>
      <c r="AM7" s="43">
        <v>0</v>
      </c>
      <c r="AN7" s="43">
        <v>0</v>
      </c>
      <c r="AO7" s="44">
        <v>0</v>
      </c>
      <c r="AP7" s="43">
        <v>0</v>
      </c>
      <c r="AQ7" s="43">
        <v>300000</v>
      </c>
      <c r="AR7" s="44">
        <v>126575</v>
      </c>
      <c r="AS7" s="43">
        <v>0</v>
      </c>
      <c r="AT7" s="43">
        <v>825000</v>
      </c>
      <c r="AU7" s="45">
        <v>2666575</v>
      </c>
      <c r="AV7" s="46"/>
      <c r="AW7" s="47"/>
      <c r="AX7" s="48"/>
      <c r="AY7" s="49"/>
      <c r="AZ7" s="50"/>
      <c r="BA7" s="51"/>
      <c r="BB7" s="52"/>
      <c r="BC7" s="53"/>
      <c r="BD7" s="54"/>
      <c r="BE7" s="55"/>
      <c r="BF7" s="56"/>
      <c r="BG7" s="57"/>
      <c r="BH7" s="58"/>
      <c r="BI7" s="59"/>
      <c r="BJ7" s="60"/>
      <c r="BK7" s="61"/>
      <c r="BL7" s="62"/>
      <c r="BM7" s="63"/>
      <c r="BN7" s="64"/>
      <c r="BO7" s="65"/>
      <c r="BP7" s="66"/>
      <c r="BQ7" s="67"/>
      <c r="BR7" s="68"/>
      <c r="BS7" s="69" t="e">
        <f>$AW7/M7</f>
        <v>#DIV/0!</v>
      </c>
      <c r="BT7" s="70"/>
      <c r="BU7" s="71">
        <v>0.029</v>
      </c>
      <c r="BV7" s="42">
        <f t="shared" si="6"/>
        <v>9570</v>
      </c>
      <c r="BW7" s="72"/>
      <c r="BX7" s="73">
        <v>24000</v>
      </c>
      <c r="BY7" s="74"/>
      <c r="BZ7" s="75"/>
      <c r="CA7" s="76"/>
      <c r="CB7" s="75"/>
      <c r="CC7" s="75"/>
      <c r="CD7" s="75"/>
      <c r="CE7" s="77"/>
      <c r="CF7" s="77"/>
      <c r="CG7" s="49"/>
      <c r="CH7" s="49"/>
      <c r="CI7" s="49"/>
      <c r="CJ7" s="75"/>
      <c r="CK7" s="75"/>
      <c r="CL7" s="75"/>
      <c r="CM7" s="75"/>
      <c r="CN7" s="78"/>
      <c r="CO7" s="42"/>
      <c r="CP7" s="42"/>
      <c r="CQ7" s="42">
        <f t="shared" si="0"/>
        <v>618750</v>
      </c>
      <c r="CR7" s="79">
        <v>0.27</v>
      </c>
      <c r="CS7" s="42">
        <f t="shared" si="1"/>
        <v>167062.5</v>
      </c>
      <c r="CT7" s="42">
        <f t="shared" si="2"/>
        <v>0</v>
      </c>
      <c r="CU7" s="42" t="e">
        <f t="shared" si="3"/>
        <v>#DIV/0!</v>
      </c>
      <c r="CV7" s="42"/>
      <c r="CW7" s="42"/>
      <c r="CX7" s="66"/>
      <c r="CY7" s="124">
        <v>400000</v>
      </c>
      <c r="DA7" s="111">
        <v>510000</v>
      </c>
      <c r="DB7" s="106">
        <f t="shared" si="5"/>
        <v>534000</v>
      </c>
      <c r="DC7" s="139">
        <f t="shared" si="4"/>
        <v>0.5448281034660566</v>
      </c>
      <c r="DD7" s="141" t="s">
        <v>114</v>
      </c>
    </row>
    <row r="8" spans="1:108" s="2" customFormat="1" ht="25.5">
      <c r="A8" s="80">
        <v>47224541</v>
      </c>
      <c r="B8" s="81" t="s">
        <v>92</v>
      </c>
      <c r="C8" s="81" t="s">
        <v>86</v>
      </c>
      <c r="D8" s="82" t="s">
        <v>93</v>
      </c>
      <c r="E8" s="41">
        <v>6500338</v>
      </c>
      <c r="F8" s="42">
        <v>0</v>
      </c>
      <c r="G8" s="41">
        <v>2</v>
      </c>
      <c r="H8" s="41">
        <v>2</v>
      </c>
      <c r="I8" s="41">
        <v>2</v>
      </c>
      <c r="J8" s="41">
        <v>2</v>
      </c>
      <c r="K8" s="41">
        <v>2</v>
      </c>
      <c r="L8" s="41">
        <v>1.6</v>
      </c>
      <c r="M8" s="41"/>
      <c r="N8" s="41">
        <v>1.5</v>
      </c>
      <c r="O8" s="88">
        <v>0</v>
      </c>
      <c r="P8" s="43">
        <v>0</v>
      </c>
      <c r="Q8" s="44">
        <v>279775</v>
      </c>
      <c r="R8" s="43">
        <v>0</v>
      </c>
      <c r="S8" s="43">
        <v>0</v>
      </c>
      <c r="T8" s="44">
        <v>0</v>
      </c>
      <c r="U8" s="43">
        <v>0</v>
      </c>
      <c r="V8" s="43">
        <v>0</v>
      </c>
      <c r="W8" s="44">
        <v>0</v>
      </c>
      <c r="X8" s="43">
        <v>0</v>
      </c>
      <c r="Y8" s="43">
        <v>510000</v>
      </c>
      <c r="Z8" s="44">
        <v>300000</v>
      </c>
      <c r="AA8" s="43">
        <v>0</v>
      </c>
      <c r="AB8" s="43">
        <v>0</v>
      </c>
      <c r="AC8" s="44">
        <v>50000</v>
      </c>
      <c r="AD8" s="43">
        <v>0</v>
      </c>
      <c r="AE8" s="43">
        <v>0</v>
      </c>
      <c r="AF8" s="44">
        <v>0</v>
      </c>
      <c r="AG8" s="43">
        <v>0</v>
      </c>
      <c r="AH8" s="43">
        <v>0</v>
      </c>
      <c r="AI8" s="44">
        <v>40000</v>
      </c>
      <c r="AJ8" s="43">
        <v>0</v>
      </c>
      <c r="AK8" s="43">
        <v>0</v>
      </c>
      <c r="AL8" s="44">
        <v>0</v>
      </c>
      <c r="AM8" s="43">
        <v>0</v>
      </c>
      <c r="AN8" s="43">
        <v>0</v>
      </c>
      <c r="AO8" s="44">
        <v>0</v>
      </c>
      <c r="AP8" s="43">
        <v>0</v>
      </c>
      <c r="AQ8" s="43">
        <v>0</v>
      </c>
      <c r="AR8" s="44">
        <v>4255</v>
      </c>
      <c r="AS8" s="43">
        <v>0</v>
      </c>
      <c r="AT8" s="43">
        <v>510000</v>
      </c>
      <c r="AU8" s="45">
        <v>674030</v>
      </c>
      <c r="AV8" s="46"/>
      <c r="AW8" s="47"/>
      <c r="AX8" s="48"/>
      <c r="AY8" s="49"/>
      <c r="AZ8" s="50"/>
      <c r="BA8" s="51"/>
      <c r="BB8" s="52"/>
      <c r="BC8" s="53"/>
      <c r="BD8" s="54"/>
      <c r="BE8" s="55"/>
      <c r="BF8" s="56"/>
      <c r="BG8" s="57"/>
      <c r="BH8" s="58"/>
      <c r="BI8" s="59"/>
      <c r="BJ8" s="60"/>
      <c r="BK8" s="61"/>
      <c r="BL8" s="62"/>
      <c r="BM8" s="63"/>
      <c r="BN8" s="64"/>
      <c r="BO8" s="65"/>
      <c r="BP8" s="66"/>
      <c r="BQ8" s="67"/>
      <c r="BR8" s="68"/>
      <c r="BS8" s="69"/>
      <c r="BT8" s="70"/>
      <c r="BU8" s="71">
        <v>0.029</v>
      </c>
      <c r="BV8" s="42">
        <f t="shared" si="6"/>
        <v>5916</v>
      </c>
      <c r="BW8" s="72"/>
      <c r="BX8" s="73">
        <v>14800</v>
      </c>
      <c r="BY8" s="74"/>
      <c r="BZ8" s="75"/>
      <c r="CA8" s="76"/>
      <c r="CB8" s="75"/>
      <c r="CC8" s="75"/>
      <c r="CD8" s="75"/>
      <c r="CE8" s="77"/>
      <c r="CF8" s="77"/>
      <c r="CG8" s="49"/>
      <c r="CH8" s="49"/>
      <c r="CI8" s="49"/>
      <c r="CJ8" s="75"/>
      <c r="CK8" s="75"/>
      <c r="CL8" s="75"/>
      <c r="CM8" s="75"/>
      <c r="CN8" s="78"/>
      <c r="CO8" s="42"/>
      <c r="CP8" s="42"/>
      <c r="CQ8" s="42">
        <f t="shared" si="0"/>
        <v>382500</v>
      </c>
      <c r="CR8" s="79">
        <v>0.27</v>
      </c>
      <c r="CS8" s="42">
        <f t="shared" si="1"/>
        <v>103275</v>
      </c>
      <c r="CT8" s="42">
        <f t="shared" si="2"/>
        <v>0</v>
      </c>
      <c r="CU8" s="42" t="e">
        <f t="shared" si="3"/>
        <v>#DIV/0!</v>
      </c>
      <c r="CV8" s="42"/>
      <c r="CW8" s="42"/>
      <c r="CX8" s="66"/>
      <c r="CY8" s="124">
        <v>103000</v>
      </c>
      <c r="DA8" s="111">
        <f>+Z8-BX8</f>
        <v>285200</v>
      </c>
      <c r="DB8" s="106">
        <f t="shared" si="5"/>
        <v>300000</v>
      </c>
      <c r="DC8" s="139">
        <f t="shared" si="4"/>
        <v>0.6635535510288859</v>
      </c>
      <c r="DD8" s="141" t="s">
        <v>114</v>
      </c>
    </row>
    <row r="9" spans="1:108" s="2" customFormat="1" ht="51.75" customHeight="1">
      <c r="A9" s="80">
        <v>70803978</v>
      </c>
      <c r="B9" s="81" t="s">
        <v>94</v>
      </c>
      <c r="C9" s="81" t="s">
        <v>95</v>
      </c>
      <c r="D9" s="82" t="s">
        <v>96</v>
      </c>
      <c r="E9" s="41">
        <v>7780361</v>
      </c>
      <c r="F9" s="42"/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7.2</v>
      </c>
      <c r="M9" s="41">
        <v>0.5</v>
      </c>
      <c r="N9" s="41">
        <v>5.3</v>
      </c>
      <c r="O9" s="88">
        <v>301000</v>
      </c>
      <c r="P9" s="43">
        <v>800000</v>
      </c>
      <c r="Q9" s="44">
        <v>1750000</v>
      </c>
      <c r="R9" s="43">
        <v>0</v>
      </c>
      <c r="S9" s="43">
        <v>0</v>
      </c>
      <c r="T9" s="44">
        <v>0</v>
      </c>
      <c r="U9" s="43">
        <v>734000</v>
      </c>
      <c r="V9" s="43">
        <v>760000</v>
      </c>
      <c r="W9" s="44">
        <v>700000</v>
      </c>
      <c r="X9" s="43">
        <v>245000</v>
      </c>
      <c r="Y9" s="43">
        <v>222000</v>
      </c>
      <c r="Z9" s="44">
        <v>200000</v>
      </c>
      <c r="AA9" s="43">
        <v>355000</v>
      </c>
      <c r="AB9" s="43">
        <v>350000</v>
      </c>
      <c r="AC9" s="44">
        <v>230000</v>
      </c>
      <c r="AD9" s="43">
        <v>0</v>
      </c>
      <c r="AE9" s="43">
        <v>0</v>
      </c>
      <c r="AF9" s="44">
        <v>0</v>
      </c>
      <c r="AG9" s="43">
        <v>0</v>
      </c>
      <c r="AH9" s="43">
        <v>0</v>
      </c>
      <c r="AI9" s="44">
        <v>0</v>
      </c>
      <c r="AJ9" s="43">
        <v>0</v>
      </c>
      <c r="AK9" s="43">
        <v>0</v>
      </c>
      <c r="AL9" s="44">
        <v>0</v>
      </c>
      <c r="AM9" s="43">
        <v>0</v>
      </c>
      <c r="AN9" s="43">
        <v>0</v>
      </c>
      <c r="AO9" s="44">
        <v>0</v>
      </c>
      <c r="AP9" s="43">
        <v>1020000</v>
      </c>
      <c r="AQ9" s="43">
        <v>478000</v>
      </c>
      <c r="AR9" s="44">
        <v>320000</v>
      </c>
      <c r="AS9" s="43">
        <v>2655000</v>
      </c>
      <c r="AT9" s="43">
        <v>2610000</v>
      </c>
      <c r="AU9" s="45">
        <v>3200000</v>
      </c>
      <c r="AV9" s="46"/>
      <c r="AW9" s="83">
        <v>800000</v>
      </c>
      <c r="AX9" s="84"/>
      <c r="AY9" s="49">
        <f>AW9/P9</f>
        <v>1</v>
      </c>
      <c r="AZ9" s="50">
        <f>AX9/Q9</f>
        <v>0</v>
      </c>
      <c r="BA9" s="51">
        <f>-1+AW9/O9</f>
        <v>1.6578073089700998</v>
      </c>
      <c r="BB9" s="52">
        <f>-1+AX9/P9</f>
        <v>-1</v>
      </c>
      <c r="BC9" s="53"/>
      <c r="BD9" s="54">
        <f>S9+V9+AB9+AE9+AH9+AK9+AN9+AQ9+AW9</f>
        <v>2388000</v>
      </c>
      <c r="BE9" s="55">
        <f>T9+W9+AC9+AF9+AI9+AL9+AO9+AR9+AX9</f>
        <v>1250000</v>
      </c>
      <c r="BF9" s="56">
        <f>BD9/(O9+R9+U9+X9+AA9+AD9+AG9+AJ9+AM9+AP9)</f>
        <v>0.8994350282485876</v>
      </c>
      <c r="BG9" s="57">
        <f>BE9/(P9+S9+V9+Y9+AB9+AE9+AH9+AK9+AN9+AQ9)</f>
        <v>0.4789272030651341</v>
      </c>
      <c r="BH9" s="58">
        <f>IF(BF9&gt;=100%,0,(O9+R9+U9+X9+AA9+AD9+AG9+AJ9+AM9+AP9)-(S9+V9+AB9+AE9+AH9+AK9+AN9+AQ9+AW9))</f>
        <v>267000</v>
      </c>
      <c r="BI9" s="59">
        <f>IF(BG9&gt;=100%,0,(P9+S9+V9+Y9+AB9+AE9+AH9+AK9+AN9+AQ9)-(T9+W9+AC9+AF9+AI9+AL9+AO9+AR9+AX9))</f>
        <v>1360000</v>
      </c>
      <c r="BJ9" s="60">
        <f>BD9/AT9</f>
        <v>0.9149425287356322</v>
      </c>
      <c r="BK9" s="61">
        <f>BE9/AU9</f>
        <v>0.390625</v>
      </c>
      <c r="BL9" s="62">
        <f>IF(BD9&lt;AT9,AT9-BD9,0)</f>
        <v>222000</v>
      </c>
      <c r="BM9" s="63">
        <f>IF(BE9&lt;AU9,AU9-BE9,0)</f>
        <v>1950000</v>
      </c>
      <c r="BN9" s="64">
        <f>IF(X9&gt;BH9,0,BH9-X9)</f>
        <v>22000</v>
      </c>
      <c r="BO9" s="65">
        <f>IF(Y9&gt;BI9,0,BI9-Y9)</f>
        <v>1138000</v>
      </c>
      <c r="BP9" s="66"/>
      <c r="BQ9" s="67" t="e">
        <f>$AW9/#REF!</f>
        <v>#REF!</v>
      </c>
      <c r="BR9" s="68">
        <f aca="true" t="shared" si="7" ref="BR9:BT10">$AW9/L9</f>
        <v>111111.11111111111</v>
      </c>
      <c r="BS9" s="69">
        <f t="shared" si="7"/>
        <v>1600000</v>
      </c>
      <c r="BT9" s="70">
        <f t="shared" si="7"/>
        <v>150943.3962264151</v>
      </c>
      <c r="BU9" s="85">
        <v>0.09</v>
      </c>
      <c r="BV9" s="42">
        <f t="shared" si="6"/>
        <v>93960</v>
      </c>
      <c r="BW9" s="86"/>
      <c r="BX9" s="73">
        <v>93000</v>
      </c>
      <c r="BY9" s="74"/>
      <c r="BZ9" s="75"/>
      <c r="CA9" s="76"/>
      <c r="CB9" s="75"/>
      <c r="CC9" s="75"/>
      <c r="CD9" s="75"/>
      <c r="CE9" s="77" t="s">
        <v>97</v>
      </c>
      <c r="CF9" s="77" t="s">
        <v>98</v>
      </c>
      <c r="CG9" s="49">
        <f>($CD9+$BX9+$AW9+$AQ9+$AN9+$AK9+$AH9+$AE9+$AB9+$V9+$S9)/$AS9</f>
        <v>0.9344632768361582</v>
      </c>
      <c r="CH9" s="49">
        <f>($CD9+$BX9+$AW9+$AQ9+$AN9+$AK9+$AH9+$AE9+$AB9+$V9+$S9)/$AT9</f>
        <v>0.9505747126436782</v>
      </c>
      <c r="CI9" s="49"/>
      <c r="CJ9" s="75">
        <f>BX9+CD9</f>
        <v>93000</v>
      </c>
      <c r="CK9" s="75"/>
      <c r="CL9" s="75">
        <f>O9+X9</f>
        <v>546000</v>
      </c>
      <c r="CM9" s="75">
        <f>AW9+CJ9</f>
        <v>893000</v>
      </c>
      <c r="CN9" s="78">
        <f>-1+CM9/CL9</f>
        <v>0.6355311355311355</v>
      </c>
      <c r="CO9" s="42"/>
      <c r="CP9" s="42"/>
      <c r="CQ9" s="42">
        <f t="shared" si="0"/>
        <v>1957500</v>
      </c>
      <c r="CR9" s="79">
        <v>0.71</v>
      </c>
      <c r="CS9" s="42">
        <f t="shared" si="1"/>
        <v>1389825</v>
      </c>
      <c r="CT9" s="42">
        <f t="shared" si="2"/>
        <v>600000</v>
      </c>
      <c r="CU9" s="42">
        <f t="shared" si="3"/>
        <v>0.9830508474576272</v>
      </c>
      <c r="CV9" s="42"/>
      <c r="CW9" s="42"/>
      <c r="CX9" s="66"/>
      <c r="CY9" s="124">
        <v>1300000</v>
      </c>
      <c r="DA9" s="111">
        <f>+Z9-BX9</f>
        <v>107000</v>
      </c>
      <c r="DB9" s="106">
        <f t="shared" si="5"/>
        <v>200000</v>
      </c>
      <c r="DC9" s="139">
        <f t="shared" si="4"/>
        <v>0.56875</v>
      </c>
      <c r="DD9" s="141" t="s">
        <v>115</v>
      </c>
    </row>
    <row r="10" spans="1:108" s="2" customFormat="1" ht="38.25">
      <c r="A10" s="80">
        <v>70803978</v>
      </c>
      <c r="B10" s="81" t="s">
        <v>94</v>
      </c>
      <c r="C10" s="81" t="s">
        <v>95</v>
      </c>
      <c r="D10" s="82" t="s">
        <v>99</v>
      </c>
      <c r="E10" s="41">
        <v>3108321</v>
      </c>
      <c r="F10" s="42"/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5.1</v>
      </c>
      <c r="M10" s="41"/>
      <c r="N10" s="41">
        <v>2.5</v>
      </c>
      <c r="O10" s="88">
        <v>0</v>
      </c>
      <c r="P10" s="43">
        <v>150000</v>
      </c>
      <c r="Q10" s="44">
        <v>1800000</v>
      </c>
      <c r="R10" s="43">
        <v>0</v>
      </c>
      <c r="S10" s="43">
        <v>0</v>
      </c>
      <c r="T10" s="44">
        <v>0</v>
      </c>
      <c r="U10" s="43">
        <v>0</v>
      </c>
      <c r="V10" s="43">
        <v>0</v>
      </c>
      <c r="W10" s="44">
        <v>100000</v>
      </c>
      <c r="X10" s="43">
        <v>0</v>
      </c>
      <c r="Y10" s="43">
        <v>730000</v>
      </c>
      <c r="Z10" s="44">
        <v>250000</v>
      </c>
      <c r="AA10" s="43">
        <v>0</v>
      </c>
      <c r="AB10" s="43">
        <v>0</v>
      </c>
      <c r="AC10" s="44">
        <v>100000</v>
      </c>
      <c r="AD10" s="43">
        <v>0</v>
      </c>
      <c r="AE10" s="43">
        <v>0</v>
      </c>
      <c r="AF10" s="44">
        <v>0</v>
      </c>
      <c r="AG10" s="43">
        <v>0</v>
      </c>
      <c r="AH10" s="43">
        <v>0</v>
      </c>
      <c r="AI10" s="44">
        <v>0</v>
      </c>
      <c r="AJ10" s="43">
        <v>0</v>
      </c>
      <c r="AK10" s="43">
        <v>0</v>
      </c>
      <c r="AL10" s="44">
        <v>0</v>
      </c>
      <c r="AM10" s="43">
        <v>0</v>
      </c>
      <c r="AN10" s="43">
        <v>0</v>
      </c>
      <c r="AO10" s="44">
        <v>0</v>
      </c>
      <c r="AP10" s="43">
        <v>0</v>
      </c>
      <c r="AQ10" s="43">
        <v>220000</v>
      </c>
      <c r="AR10" s="44">
        <v>250000</v>
      </c>
      <c r="AS10" s="43">
        <v>0</v>
      </c>
      <c r="AT10" s="43">
        <v>1100000</v>
      </c>
      <c r="AU10" s="45">
        <v>2500000</v>
      </c>
      <c r="AV10" s="46"/>
      <c r="AW10" s="83">
        <v>150000</v>
      </c>
      <c r="AX10" s="84"/>
      <c r="AY10" s="49">
        <f>AW10/P10</f>
        <v>1</v>
      </c>
      <c r="AZ10" s="50">
        <f>AX10/Q10</f>
        <v>0</v>
      </c>
      <c r="BA10" s="51" t="e">
        <f>-1+AW10/O10</f>
        <v>#DIV/0!</v>
      </c>
      <c r="BB10" s="52">
        <f>-1+AX10/P10</f>
        <v>-1</v>
      </c>
      <c r="BC10" s="53"/>
      <c r="BD10" s="54">
        <f>S10+V10+AB10+AE10+AH10+AK10+AN10+AQ10+AW10</f>
        <v>370000</v>
      </c>
      <c r="BE10" s="55">
        <f>T10+W10+AC10+AF10+AI10+AL10+AO10+AR10+AX10</f>
        <v>450000</v>
      </c>
      <c r="BF10" s="56" t="e">
        <f>BD10/(O10+R10+U10+X10+AA10+AD10+AG10+AJ10+AM10+AP10)</f>
        <v>#DIV/0!</v>
      </c>
      <c r="BG10" s="57">
        <f>BE10/(P10+S10+V10+Y10+AB10+AE10+AH10+AK10+AN10+AQ10)</f>
        <v>0.4090909090909091</v>
      </c>
      <c r="BH10" s="58" t="e">
        <f>IF(BF10&gt;=100%,0,(O10+R10+U10+X10+AA10+AD10+AG10+AJ10+AM10+AP10)-(S10+V10+AB10+AE10+AH10+AK10+AN10+AQ10+AW10))</f>
        <v>#DIV/0!</v>
      </c>
      <c r="BI10" s="59">
        <f>IF(BG10&gt;=100%,0,(P10+S10+V10+Y10+AB10+AE10+AH10+AK10+AN10+AQ10)-(T10+W10+AC10+AF10+AI10+AL10+AO10+AR10+AX10))</f>
        <v>650000</v>
      </c>
      <c r="BJ10" s="60">
        <f>BD10/AT10</f>
        <v>0.33636363636363636</v>
      </c>
      <c r="BK10" s="61">
        <f>BE10/AU10</f>
        <v>0.18</v>
      </c>
      <c r="BL10" s="62">
        <f>IF(BD10&lt;AT10,AT10-BD10,0)</f>
        <v>730000</v>
      </c>
      <c r="BM10" s="63">
        <f>IF(BE10&lt;AU10,AU10-BE10,0)</f>
        <v>2050000</v>
      </c>
      <c r="BN10" s="64" t="e">
        <f>IF(X10&gt;BH10,0,BH10-X10)</f>
        <v>#DIV/0!</v>
      </c>
      <c r="BO10" s="65">
        <f>IF(Y10&gt;BI10,0,BI10-Y10)</f>
        <v>0</v>
      </c>
      <c r="BP10" s="66"/>
      <c r="BQ10" s="67" t="e">
        <f>$AW10/#REF!</f>
        <v>#REF!</v>
      </c>
      <c r="BR10" s="68">
        <f t="shared" si="7"/>
        <v>29411.764705882357</v>
      </c>
      <c r="BS10" s="69" t="e">
        <f t="shared" si="7"/>
        <v>#DIV/0!</v>
      </c>
      <c r="BT10" s="70">
        <f t="shared" si="7"/>
        <v>60000</v>
      </c>
      <c r="BU10" s="85">
        <v>0.09</v>
      </c>
      <c r="BV10" s="42">
        <f t="shared" si="6"/>
        <v>39600</v>
      </c>
      <c r="BW10" s="86"/>
      <c r="BX10" s="73">
        <v>39000</v>
      </c>
      <c r="BY10" s="74"/>
      <c r="BZ10" s="75"/>
      <c r="CA10" s="76"/>
      <c r="CB10" s="75"/>
      <c r="CC10" s="75"/>
      <c r="CD10" s="75"/>
      <c r="CE10" s="77" t="s">
        <v>97</v>
      </c>
      <c r="CF10" s="77" t="s">
        <v>98</v>
      </c>
      <c r="CG10" s="49" t="e">
        <f>($CD10+$BX10+$AW10+$AQ10+$AN10+$AK10+$AH10+$AE10+$AB10+$V10+$S10)/$AS10</f>
        <v>#DIV/0!</v>
      </c>
      <c r="CH10" s="49">
        <f>($CD10+$BX10+$AW10+$AQ10+$AN10+$AK10+$AH10+$AE10+$AB10+$V10+$S10)/$AT10</f>
        <v>0.3718181818181818</v>
      </c>
      <c r="CI10" s="49"/>
      <c r="CJ10" s="75">
        <f>BX10+CD10</f>
        <v>39000</v>
      </c>
      <c r="CK10" s="75"/>
      <c r="CL10" s="75">
        <f>O10+X10</f>
        <v>0</v>
      </c>
      <c r="CM10" s="75">
        <f>AW10+CJ10</f>
        <v>189000</v>
      </c>
      <c r="CN10" s="78" t="e">
        <f>-1+CM10/CL10</f>
        <v>#DIV/0!</v>
      </c>
      <c r="CO10" s="42"/>
      <c r="CP10" s="42"/>
      <c r="CQ10" s="42">
        <f t="shared" si="0"/>
        <v>825000</v>
      </c>
      <c r="CR10" s="79">
        <v>0.71</v>
      </c>
      <c r="CS10" s="42">
        <f t="shared" si="1"/>
        <v>585750</v>
      </c>
      <c r="CT10" s="42">
        <f t="shared" si="2"/>
        <v>112500</v>
      </c>
      <c r="CU10" s="42" t="e">
        <f t="shared" si="3"/>
        <v>#DIV/0!</v>
      </c>
      <c r="CV10" s="42"/>
      <c r="CW10" s="42"/>
      <c r="CX10" s="66"/>
      <c r="CY10" s="124">
        <v>550000</v>
      </c>
      <c r="DA10" s="111">
        <f>+Z10-BX10</f>
        <v>211000</v>
      </c>
      <c r="DB10" s="106">
        <f t="shared" si="5"/>
        <v>250000</v>
      </c>
      <c r="DC10" s="139">
        <f t="shared" si="4"/>
        <v>0.42</v>
      </c>
      <c r="DD10" s="141" t="s">
        <v>115</v>
      </c>
    </row>
    <row r="11" spans="1:108" s="66" customFormat="1" ht="51.75" thickBot="1">
      <c r="A11" s="96">
        <v>70803978</v>
      </c>
      <c r="B11" s="97" t="s">
        <v>94</v>
      </c>
      <c r="C11" s="97" t="s">
        <v>101</v>
      </c>
      <c r="D11" s="98" t="s">
        <v>102</v>
      </c>
      <c r="E11" s="99">
        <v>9642384</v>
      </c>
      <c r="F11" s="99"/>
      <c r="G11" s="99"/>
      <c r="H11" s="99"/>
      <c r="I11" s="99"/>
      <c r="J11" s="99"/>
      <c r="K11" s="99"/>
      <c r="L11" s="99">
        <v>3</v>
      </c>
      <c r="M11" s="99"/>
      <c r="N11" s="99">
        <v>3</v>
      </c>
      <c r="O11" s="92">
        <v>0</v>
      </c>
      <c r="P11" s="90">
        <v>0</v>
      </c>
      <c r="Q11" s="89">
        <v>700000</v>
      </c>
      <c r="R11" s="90">
        <v>0</v>
      </c>
      <c r="S11" s="90">
        <v>0</v>
      </c>
      <c r="T11" s="89">
        <v>0</v>
      </c>
      <c r="U11" s="100">
        <v>0</v>
      </c>
      <c r="V11" s="90">
        <v>0</v>
      </c>
      <c r="W11" s="89">
        <v>0</v>
      </c>
      <c r="X11" s="90">
        <v>0</v>
      </c>
      <c r="Y11" s="90">
        <v>700000</v>
      </c>
      <c r="Z11" s="89">
        <v>300000</v>
      </c>
      <c r="AA11" s="90">
        <v>0</v>
      </c>
      <c r="AB11" s="90">
        <v>0</v>
      </c>
      <c r="AC11" s="89">
        <v>70000</v>
      </c>
      <c r="AD11" s="90">
        <v>0</v>
      </c>
      <c r="AE11" s="90">
        <v>0</v>
      </c>
      <c r="AF11" s="89">
        <v>0</v>
      </c>
      <c r="AG11" s="90">
        <v>0</v>
      </c>
      <c r="AH11" s="90">
        <v>0</v>
      </c>
      <c r="AI11" s="89">
        <v>0</v>
      </c>
      <c r="AJ11" s="90">
        <v>0</v>
      </c>
      <c r="AK11" s="90">
        <v>0</v>
      </c>
      <c r="AL11" s="89">
        <v>0</v>
      </c>
      <c r="AM11" s="90">
        <v>0</v>
      </c>
      <c r="AN11" s="90">
        <v>0</v>
      </c>
      <c r="AO11" s="89">
        <v>0</v>
      </c>
      <c r="AP11" s="90">
        <v>0</v>
      </c>
      <c r="AQ11" s="90">
        <v>290000</v>
      </c>
      <c r="AR11" s="89">
        <v>230000</v>
      </c>
      <c r="AS11" s="90">
        <v>0</v>
      </c>
      <c r="AT11" s="90">
        <v>990000</v>
      </c>
      <c r="AU11" s="91">
        <v>1300000</v>
      </c>
      <c r="AV11" s="46"/>
      <c r="AW11" s="83"/>
      <c r="AX11" s="84"/>
      <c r="AY11" s="49"/>
      <c r="AZ11" s="50"/>
      <c r="BA11" s="51"/>
      <c r="BB11" s="52" t="e">
        <f>-1+AX11/P11</f>
        <v>#DIV/0!</v>
      </c>
      <c r="BC11" s="53"/>
      <c r="BD11" s="54"/>
      <c r="BE11" s="55"/>
      <c r="BF11" s="56"/>
      <c r="BG11" s="57"/>
      <c r="BH11" s="58"/>
      <c r="BI11" s="59"/>
      <c r="BJ11" s="60"/>
      <c r="BK11" s="61"/>
      <c r="BL11" s="62"/>
      <c r="BM11" s="63"/>
      <c r="BN11" s="64"/>
      <c r="BO11" s="65"/>
      <c r="BQ11" s="67"/>
      <c r="BR11" s="68"/>
      <c r="BS11" s="69"/>
      <c r="BT11" s="70"/>
      <c r="BU11" s="71">
        <v>0.13</v>
      </c>
      <c r="BV11" s="42">
        <f t="shared" si="6"/>
        <v>51480</v>
      </c>
      <c r="BW11" s="72"/>
      <c r="BX11" s="101">
        <v>51000</v>
      </c>
      <c r="BY11" s="74"/>
      <c r="BZ11" s="75"/>
      <c r="CA11" s="76"/>
      <c r="CB11" s="75"/>
      <c r="CC11" s="75"/>
      <c r="CD11" s="75"/>
      <c r="CE11" s="77"/>
      <c r="CF11" s="77"/>
      <c r="CG11" s="49"/>
      <c r="CH11" s="49"/>
      <c r="CI11" s="49"/>
      <c r="CJ11" s="75"/>
      <c r="CK11" s="75"/>
      <c r="CL11" s="75">
        <f>O11+X11</f>
        <v>0</v>
      </c>
      <c r="CM11" s="75"/>
      <c r="CN11" s="78"/>
      <c r="CO11" s="42"/>
      <c r="CP11" s="42"/>
      <c r="CQ11" s="42">
        <f>IF(AT11*1&gt;AU11,AU11,AT11*1*0.75)</f>
        <v>742500</v>
      </c>
      <c r="CR11" s="79">
        <v>0.63</v>
      </c>
      <c r="CS11" s="42">
        <f>IF(CQ11*CR11&lt;Q11,CQ11*CR11,Q11)</f>
        <v>467775</v>
      </c>
      <c r="CT11" s="42">
        <f>P11*0.75</f>
        <v>0</v>
      </c>
      <c r="CU11" s="42" t="e">
        <f>AT11/AS11</f>
        <v>#DIV/0!</v>
      </c>
      <c r="CV11" s="42"/>
      <c r="CW11" s="42"/>
      <c r="CY11" s="125">
        <v>460000</v>
      </c>
      <c r="DA11" s="112">
        <f>+Z11-BX11</f>
        <v>249000</v>
      </c>
      <c r="DB11" s="107">
        <f t="shared" si="5"/>
        <v>300000</v>
      </c>
      <c r="DC11" s="140">
        <f t="shared" si="4"/>
        <v>0.7615384615384615</v>
      </c>
      <c r="DD11" s="142" t="s">
        <v>115</v>
      </c>
    </row>
    <row r="12" spans="1:107" ht="13.5" thickBot="1">
      <c r="A12" s="148" t="s">
        <v>103</v>
      </c>
      <c r="B12" s="149"/>
      <c r="C12" s="149"/>
      <c r="D12" s="149"/>
      <c r="E12" s="114"/>
      <c r="F12" s="114"/>
      <c r="G12" s="114"/>
      <c r="H12" s="114"/>
      <c r="I12" s="114"/>
      <c r="J12" s="114"/>
      <c r="K12" s="114"/>
      <c r="L12" s="114">
        <f>SUM(L4:L11)</f>
        <v>40.800000000000004</v>
      </c>
      <c r="M12" s="114"/>
      <c r="N12" s="114"/>
      <c r="O12" s="114"/>
      <c r="P12" s="115">
        <f aca="true" t="shared" si="8" ref="P12:AU12">SUM(P4:P11)</f>
        <v>950000</v>
      </c>
      <c r="Q12" s="116">
        <f t="shared" si="8"/>
        <v>10270525</v>
      </c>
      <c r="R12" s="115">
        <f t="shared" si="8"/>
        <v>0</v>
      </c>
      <c r="S12" s="115">
        <f t="shared" si="8"/>
        <v>0</v>
      </c>
      <c r="T12" s="115">
        <f t="shared" si="8"/>
        <v>0</v>
      </c>
      <c r="U12" s="115">
        <f t="shared" si="8"/>
        <v>734000</v>
      </c>
      <c r="V12" s="115">
        <f t="shared" si="8"/>
        <v>760000</v>
      </c>
      <c r="W12" s="115">
        <f t="shared" si="8"/>
        <v>800000</v>
      </c>
      <c r="X12" s="115">
        <f t="shared" si="8"/>
        <v>245000</v>
      </c>
      <c r="Y12" s="115">
        <f t="shared" si="8"/>
        <v>4202000</v>
      </c>
      <c r="Z12" s="116">
        <f t="shared" si="8"/>
        <v>4202700</v>
      </c>
      <c r="AA12" s="115">
        <f t="shared" si="8"/>
        <v>355000</v>
      </c>
      <c r="AB12" s="115">
        <f t="shared" si="8"/>
        <v>350000</v>
      </c>
      <c r="AC12" s="116">
        <f t="shared" si="8"/>
        <v>678000</v>
      </c>
      <c r="AD12" s="115">
        <f t="shared" si="8"/>
        <v>0</v>
      </c>
      <c r="AE12" s="115">
        <f t="shared" si="8"/>
        <v>0</v>
      </c>
      <c r="AF12" s="115">
        <f t="shared" si="8"/>
        <v>0</v>
      </c>
      <c r="AG12" s="115">
        <f t="shared" si="8"/>
        <v>0</v>
      </c>
      <c r="AH12" s="115">
        <f t="shared" si="8"/>
        <v>27000</v>
      </c>
      <c r="AI12" s="116">
        <f t="shared" si="8"/>
        <v>865250</v>
      </c>
      <c r="AJ12" s="115">
        <f t="shared" si="8"/>
        <v>0</v>
      </c>
      <c r="AK12" s="115">
        <f t="shared" si="8"/>
        <v>0</v>
      </c>
      <c r="AL12" s="115">
        <f t="shared" si="8"/>
        <v>0</v>
      </c>
      <c r="AM12" s="115">
        <f t="shared" si="8"/>
        <v>0</v>
      </c>
      <c r="AN12" s="115">
        <f t="shared" si="8"/>
        <v>0</v>
      </c>
      <c r="AO12" s="115">
        <f t="shared" si="8"/>
        <v>0</v>
      </c>
      <c r="AP12" s="115">
        <f t="shared" si="8"/>
        <v>1020000</v>
      </c>
      <c r="AQ12" s="115">
        <f t="shared" si="8"/>
        <v>1288000</v>
      </c>
      <c r="AR12" s="116">
        <f t="shared" si="8"/>
        <v>935830</v>
      </c>
      <c r="AS12" s="115">
        <f t="shared" si="8"/>
        <v>2655000</v>
      </c>
      <c r="AT12" s="115">
        <f t="shared" si="8"/>
        <v>7570000</v>
      </c>
      <c r="AU12" s="117">
        <f t="shared" si="8"/>
        <v>17752305</v>
      </c>
      <c r="BX12" s="119">
        <f>SUM(BX4:BX11)</f>
        <v>380700</v>
      </c>
      <c r="CY12" s="120">
        <f>SUM(CY4:CY11)</f>
        <v>4013000</v>
      </c>
      <c r="DA12" s="113">
        <f>SUM(DA4:DA11)</f>
        <v>2967980</v>
      </c>
      <c r="DB12" s="108">
        <f>SUM(DB4:DB11)</f>
        <v>3348680</v>
      </c>
      <c r="DC12" s="118">
        <f t="shared" si="4"/>
        <v>0.5161448048577354</v>
      </c>
    </row>
    <row r="13" spans="1:110" ht="12.75">
      <c r="A13" s="126"/>
      <c r="B13" s="126"/>
      <c r="C13" s="126"/>
      <c r="D13" s="126"/>
      <c r="E13" s="127"/>
      <c r="F13" s="127"/>
      <c r="G13" s="127"/>
      <c r="H13" s="127"/>
      <c r="I13" s="127"/>
      <c r="J13" s="127"/>
      <c r="K13" s="127"/>
      <c r="L13" s="128"/>
      <c r="M13" s="128"/>
      <c r="N13" s="128"/>
      <c r="O13" s="128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29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1"/>
      <c r="CZ13" s="130"/>
      <c r="DA13" s="132"/>
      <c r="DB13" s="133"/>
      <c r="DC13" s="134"/>
      <c r="DD13" s="130"/>
      <c r="DE13" s="130"/>
      <c r="DF13" s="130"/>
    </row>
    <row r="14" spans="1:110" ht="12.75">
      <c r="A14" s="126" t="s">
        <v>108</v>
      </c>
      <c r="B14" s="126"/>
      <c r="C14" s="126"/>
      <c r="D14" s="126"/>
      <c r="E14" s="127"/>
      <c r="F14" s="127"/>
      <c r="G14" s="127"/>
      <c r="H14" s="127"/>
      <c r="I14" s="127"/>
      <c r="J14" s="127"/>
      <c r="K14" s="127"/>
      <c r="L14" s="128"/>
      <c r="M14" s="128"/>
      <c r="N14" s="128"/>
      <c r="O14" s="128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29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1"/>
      <c r="CZ14" s="130"/>
      <c r="DA14" s="132"/>
      <c r="DB14" s="133"/>
      <c r="DC14" s="134"/>
      <c r="DD14" s="130"/>
      <c r="DE14" s="130"/>
      <c r="DF14" s="130"/>
    </row>
    <row r="15" spans="1:107" ht="12.75">
      <c r="A15" s="145" t="s">
        <v>109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07" ht="12.75">
      <c r="A16" s="145" t="s">
        <v>110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</row>
    <row r="17" spans="1:107" ht="27" customHeight="1">
      <c r="A17" s="145" t="s">
        <v>111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</row>
    <row r="18" spans="1:107" ht="25.5" customHeight="1">
      <c r="A18" s="145" t="s">
        <v>112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</row>
  </sheetData>
  <mergeCells count="6">
    <mergeCell ref="A17:DC17"/>
    <mergeCell ref="A18:DC18"/>
    <mergeCell ref="CE3:CF3"/>
    <mergeCell ref="A12:D12"/>
    <mergeCell ref="A15:DC15"/>
    <mergeCell ref="A16:DC16"/>
  </mergeCells>
  <conditionalFormatting sqref="CA4:CA10">
    <cfRule type="cellIs" priority="1" dxfId="0" operator="lessThan" stopIfTrue="1">
      <formula>$CA$39</formula>
    </cfRule>
  </conditionalFormatting>
  <conditionalFormatting sqref="CA11">
    <cfRule type="cellIs" priority="2" dxfId="0" operator="lessThan" stopIfTrue="1">
      <formula>$CB$39</formula>
    </cfRule>
  </conditionalFormatting>
  <printOptions/>
  <pageMargins left="0.75" right="0.75" top="1" bottom="1" header="0.4921259845" footer="0.4921259845"/>
  <pageSetup horizontalDpi="600" verticalDpi="600" orientation="landscape" paperSize="8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pospichalova</cp:lastModifiedBy>
  <cp:lastPrinted>2009-01-08T21:33:16Z</cp:lastPrinted>
  <dcterms:created xsi:type="dcterms:W3CDTF">2009-01-05T13:00:38Z</dcterms:created>
  <dcterms:modified xsi:type="dcterms:W3CDTF">2009-01-12T15:33:00Z</dcterms:modified>
  <cp:category/>
  <cp:version/>
  <cp:contentType/>
  <cp:contentStatus/>
</cp:coreProperties>
</file>