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5060" windowHeight="8580" activeTab="0"/>
  </bookViews>
  <sheets>
    <sheet name="RK-36-2008-37, př. 4" sheetId="1" r:id="rId1"/>
  </sheets>
  <definedNames>
    <definedName name="_xlnm.Print_Titles" localSheetId="0">'RK-36-2008-37, př. 4'!$6:$6</definedName>
    <definedName name="_xlnm.Print_Area" localSheetId="0">'RK-36-2008-37, př. 4'!$A$1:$CZ$192</definedName>
  </definedNames>
  <calcPr fullCalcOnLoad="1"/>
</workbook>
</file>

<file path=xl/comments1.xml><?xml version="1.0" encoding="utf-8"?>
<comments xmlns="http://schemas.openxmlformats.org/spreadsheetml/2006/main">
  <authors>
    <author>sykora</author>
  </authors>
  <commentList>
    <comment ref="CB6" authorId="0">
      <text>
        <r>
          <rPr>
            <b/>
            <sz val="10"/>
            <rFont val="Tahoma"/>
            <family val="2"/>
          </rPr>
          <t>sykora:</t>
        </r>
        <r>
          <rPr>
            <sz val="10"/>
            <rFont val="Tahoma"/>
            <family val="2"/>
          </rPr>
          <t xml:space="preserve">
MPSV+kraj v roce 2007 s nárůstem 10% - MPSV a záloha Kraj 2008</t>
        </r>
      </text>
    </comment>
    <comment ref="CC6" authorId="0">
      <text>
        <r>
          <rPr>
            <b/>
            <sz val="10"/>
            <rFont val="Tahoma"/>
            <family val="2"/>
          </rPr>
          <t>sykora:</t>
        </r>
        <r>
          <rPr>
            <sz val="10"/>
            <rFont val="Tahoma"/>
            <family val="2"/>
          </rPr>
          <t xml:space="preserve">
Předchozí částka upravená s ohledem na požadavek od kraje pro rok 2008</t>
        </r>
      </text>
    </comment>
    <comment ref="CD6" authorId="0">
      <text>
        <r>
          <rPr>
            <b/>
            <sz val="10"/>
            <rFont val="Tahoma"/>
            <family val="2"/>
          </rPr>
          <t>sykora:</t>
        </r>
        <r>
          <rPr>
            <sz val="10"/>
            <rFont val="Tahoma"/>
            <family val="2"/>
          </rPr>
          <t xml:space="preserve">
Procento získaných prostředků na rok 200á oproti roku 2007 (MPSV,Kraj)</t>
        </r>
      </text>
    </comment>
    <comment ref="CG6" authorId="0">
      <text>
        <r>
          <rPr>
            <b/>
            <sz val="10"/>
            <rFont val="Tahoma"/>
            <family val="2"/>
          </rPr>
          <t>sykora:</t>
        </r>
        <r>
          <rPr>
            <sz val="10"/>
            <rFont val="Tahoma"/>
            <family val="2"/>
          </rPr>
          <t xml:space="preserve">
Výhodnější z variant BD nebo BF
+ dofinancování u NNO do výše 90% loňských příjmů od MPSV a kraje
</t>
        </r>
      </text>
    </comment>
    <comment ref="CF6" authorId="0">
      <text>
        <r>
          <rPr>
            <b/>
            <sz val="10"/>
            <rFont val="Tahoma"/>
            <family val="2"/>
          </rPr>
          <t>sykora:</t>
        </r>
        <r>
          <rPr>
            <sz val="10"/>
            <rFont val="Tahoma"/>
            <family val="2"/>
          </rPr>
          <t xml:space="preserve">
Výhodnější z variant BD nebo BF
</t>
        </r>
      </text>
    </comment>
  </commentList>
</comments>
</file>

<file path=xl/sharedStrings.xml><?xml version="1.0" encoding="utf-8"?>
<sst xmlns="http://schemas.openxmlformats.org/spreadsheetml/2006/main" count="807" uniqueCount="314">
  <si>
    <t>IČ</t>
  </si>
  <si>
    <t>Název poskytovatele</t>
  </si>
  <si>
    <t>právní forma</t>
  </si>
  <si>
    <t>Druh služby</t>
  </si>
  <si>
    <t>Název služby</t>
  </si>
  <si>
    <t>Číslo registrace služby</t>
  </si>
  <si>
    <t>Počet lůžek</t>
  </si>
  <si>
    <t>Počet klientů</t>
  </si>
  <si>
    <t>Klienti I stupeň</t>
  </si>
  <si>
    <t>Klienti II stupeň</t>
  </si>
  <si>
    <t>Klienti III  stupeň</t>
  </si>
  <si>
    <t>Klienti IV stupeň</t>
  </si>
  <si>
    <t>klienti ostatní</t>
  </si>
  <si>
    <t>MPSV 2007</t>
  </si>
  <si>
    <t>Jiná státní správa 2007</t>
  </si>
  <si>
    <t>Jiná státní správa 2008</t>
  </si>
  <si>
    <t>Úřad práce 2007</t>
  </si>
  <si>
    <t>Úřad práce 2008</t>
  </si>
  <si>
    <t>Kraj 2007</t>
  </si>
  <si>
    <t>Obec 2007</t>
  </si>
  <si>
    <t>Obec 2008</t>
  </si>
  <si>
    <t>Zřizovatel 2007</t>
  </si>
  <si>
    <t>Zřizovatel 2008</t>
  </si>
  <si>
    <t>Uživatel 2007</t>
  </si>
  <si>
    <t>Uživatel 2008</t>
  </si>
  <si>
    <t>Zdravotní pojišťovny 2007</t>
  </si>
  <si>
    <t>Zdravotní pojišťovny 2008</t>
  </si>
  <si>
    <t>EU fondy 2007</t>
  </si>
  <si>
    <t>EU fondy 2008</t>
  </si>
  <si>
    <t>Ostatní 2007</t>
  </si>
  <si>
    <t>Ostatní 2008</t>
  </si>
  <si>
    <t>MPSV-přiznaná dotace pro rok 2008</t>
  </si>
  <si>
    <t>% z požadavku dotace od MPSV na rok 2008</t>
  </si>
  <si>
    <t>Změna výše dotace oproti roku 2007 v %</t>
  </si>
  <si>
    <t>Předpoklad získaných prostředků na rok 2008 (bez dotace kraje)</t>
  </si>
  <si>
    <t>Porovnání se získanými prostředky roku 2007 v %</t>
  </si>
  <si>
    <t>Chybějící částka do výše získanýcch příjmů roku  2007 (bez dotace kraje)</t>
  </si>
  <si>
    <t>Porovnání s celkovými náklady roku 2008 v %</t>
  </si>
  <si>
    <t>Chybějící částka do výše nákladů roku 2008</t>
  </si>
  <si>
    <t>Chybějící částka do výše získanýcch příjmů roku  2007 při zachování dotace kraje ve výši roku 2007</t>
  </si>
  <si>
    <t>Výše dotace MPSV v roce 2008 na 1 přepočtený úvazek</t>
  </si>
  <si>
    <t>Výše dotace MPSV v roce 2008 na 1 přepočtený úvazek u  pracovníků v přímé péči</t>
  </si>
  <si>
    <t>Oblastní charita Havlíčkův Brod</t>
  </si>
  <si>
    <t>NNO</t>
  </si>
  <si>
    <t>centra denních služeb</t>
  </si>
  <si>
    <t>Astra - denní centrum pro seniory v Humpolci</t>
  </si>
  <si>
    <t>§4356</t>
  </si>
  <si>
    <t>pol.5223</t>
  </si>
  <si>
    <t>Tyflo Vysočina Jihlava, o.p.s.</t>
  </si>
  <si>
    <t>Centrum denních služeb</t>
  </si>
  <si>
    <t>pol.5221</t>
  </si>
  <si>
    <t>Centrum LADA - občanské sdružení pro pomoc lidem s mentálním a kombinovaným postižením</t>
  </si>
  <si>
    <t>pol.5222</t>
  </si>
  <si>
    <t>Občanské sdružení pro podporu a péči o duševně nemocné VOR</t>
  </si>
  <si>
    <t>Sociální služby města Havlíčkova Brodu</t>
  </si>
  <si>
    <t>obec</t>
  </si>
  <si>
    <t>pol.5321</t>
  </si>
  <si>
    <t>Celkem</t>
  </si>
  <si>
    <t>Dům sv. Antonína</t>
  </si>
  <si>
    <t>denní stacionáře</t>
  </si>
  <si>
    <t>Dům sv. Antonína - denní stacionář</t>
  </si>
  <si>
    <t>denní stacionář "Domovinka"</t>
  </si>
  <si>
    <t>Denní a týdenní stacionář Jihlava</t>
  </si>
  <si>
    <t>Petrklíč - denní stacionář pro děti a mládež s mentálním a kombinovaným postižením, Ledeč nad Sázavou</t>
  </si>
  <si>
    <t>FOKUS Vysočina</t>
  </si>
  <si>
    <t>Denní stacionář Chotěboř</t>
  </si>
  <si>
    <t>Asociace pomáhající lidem s autismem - APLA Vysočina</t>
  </si>
  <si>
    <t>Integrační centrum Sasov</t>
  </si>
  <si>
    <t>Centrum Zdislava</t>
  </si>
  <si>
    <t>Sociální služby města Žďár nad Sázavou</t>
  </si>
  <si>
    <t>Denní stacionář pro mentálně postižené osoby</t>
  </si>
  <si>
    <t>Diecézní charita Brno</t>
  </si>
  <si>
    <t>Nesa-denní stacionář Velké Meziříčí</t>
  </si>
  <si>
    <t>Domovinka Třebíč</t>
  </si>
  <si>
    <t>Stacionář Úsměv Třebíč</t>
  </si>
  <si>
    <t>ÚSVIT-zařízení SPMP Havlíčkův Brod</t>
  </si>
  <si>
    <t>Denní stacionář</t>
  </si>
  <si>
    <t>Denní centrum Barevný svět</t>
  </si>
  <si>
    <t>Centrum J.J. Pestalozziho, o.p.s.</t>
  </si>
  <si>
    <t>domy na pů cesty</t>
  </si>
  <si>
    <t>Dům na půli cesty Havlíčkův Brod</t>
  </si>
  <si>
    <t>chráněné bydlení</t>
  </si>
  <si>
    <t>Chráněné bydlení Pelhřimov</t>
  </si>
  <si>
    <t>§4354</t>
  </si>
  <si>
    <t>Chráněné bydlení Havlíčkův Brod</t>
  </si>
  <si>
    <t>Alkat o.s.</t>
  </si>
  <si>
    <t>Chráněné bydlení</t>
  </si>
  <si>
    <t>Kolpingovo dílo ČR, o.s.</t>
  </si>
  <si>
    <t>kontaktní centra</t>
  </si>
  <si>
    <t>Kontaktní nízkoprahové centrum Spektrum</t>
  </si>
  <si>
    <t>Centrum U Větrníku-kontaktní centrum Jihlava</t>
  </si>
  <si>
    <t>§4376</t>
  </si>
  <si>
    <t>K-centrum Noe Třebíč</t>
  </si>
  <si>
    <t>nízkoprahová zařízení pro děti a mládež</t>
  </si>
  <si>
    <t>eNCéčko - nízkoprahové centrum pro děti a mládež ve Světlé nad Sázavou</t>
  </si>
  <si>
    <t>Denní centrum pro děti ve Žďáře nad Sázavou</t>
  </si>
  <si>
    <t>Ponorka-centrum prevence</t>
  </si>
  <si>
    <t>§4375</t>
  </si>
  <si>
    <t>ERKO Jihlava-nízkoprahové zařízení pro děti a mládež</t>
  </si>
  <si>
    <t>Nadosah-centrum prevence Bystřice nad Pernštejnem</t>
  </si>
  <si>
    <t>Klub Zámek-centrum prevence Třebíč</t>
  </si>
  <si>
    <t>Ambrela-Komunitní centrum pro děti a mládež Třebíč</t>
  </si>
  <si>
    <t>Sdružení Nové Město na Moravě</t>
  </si>
  <si>
    <t>EZOP-Nízkoprahové zařízení pro děti a mládež</t>
  </si>
  <si>
    <t>Farní charita Pacov</t>
  </si>
  <si>
    <t>STŘED, Klub mládeže Hájek</t>
  </si>
  <si>
    <t>Program pro mládež</t>
  </si>
  <si>
    <t>odlehčovací služby</t>
  </si>
  <si>
    <t>Dům sv. Antonína - odlehčovací služby</t>
  </si>
  <si>
    <t>Diakonie ČCE - středisko v Myslibořicích</t>
  </si>
  <si>
    <t>Diakonie Myslibořice - Odlehčovací služby</t>
  </si>
  <si>
    <t>Odlehčovací služby</t>
  </si>
  <si>
    <t>Hospicové hnutí - Vysočina, o.s.</t>
  </si>
  <si>
    <t>Občanské sdružení Benediktus</t>
  </si>
  <si>
    <t>Odlehčovací služba</t>
  </si>
  <si>
    <t>osobní asistence</t>
  </si>
  <si>
    <t>Centrum osobní asistence Havlíčkův Brod</t>
  </si>
  <si>
    <t>Osobní asistence</t>
  </si>
  <si>
    <t>§4351</t>
  </si>
  <si>
    <t>Osobní asistence Třebíč</t>
  </si>
  <si>
    <t>Oblastní charita Pelhřimov</t>
  </si>
  <si>
    <t>Středisko osobní asistence</t>
  </si>
  <si>
    <t>Život 90-Jihlava</t>
  </si>
  <si>
    <t>Osobní asistence ve školách a v domácnostech</t>
  </si>
  <si>
    <t>průvodcovské a předčitatelské služby</t>
  </si>
  <si>
    <t>Průvodcovské a předčitatelské služby</t>
  </si>
  <si>
    <t>§4353</t>
  </si>
  <si>
    <t>TyfloCentrum Jihlava o.p.s.</t>
  </si>
  <si>
    <t>raná péče</t>
  </si>
  <si>
    <t>Středisko rané péče Havlíčkův Brod</t>
  </si>
  <si>
    <t>Středisko rané péče Třebíč</t>
  </si>
  <si>
    <t>Raná péče</t>
  </si>
  <si>
    <t>Středisko rané péče SPRP Brno</t>
  </si>
  <si>
    <t>Středisko rané péče SPRP Brno - raná péče v kraji Vysočina</t>
  </si>
  <si>
    <t>Středisko rané péče SPRP České Budějovice</t>
  </si>
  <si>
    <t>raná péče kraj Vysočina</t>
  </si>
  <si>
    <t>soc. aktivizační služby pro seniory a osoby se ZP</t>
  </si>
  <si>
    <t>§4379</t>
  </si>
  <si>
    <t>Sociálně aktivizační služby pro seniory a osoby se ZP</t>
  </si>
  <si>
    <t>Klub v 9-centrum služeb pro podporu duševního zdraví Žďár nad Sázavou</t>
  </si>
  <si>
    <t>Paprsek naděje-centrum služeb pro podporu duševního zdraví Třebíč</t>
  </si>
  <si>
    <t>sociálně aktivizační služby pro rodiny s dětmi</t>
  </si>
  <si>
    <t>Sociálně aktivizační služby pro rodiny s dětmi</t>
  </si>
  <si>
    <t>§4371</t>
  </si>
  <si>
    <t>Sociálně terapeutická dílna Pelhřimov</t>
  </si>
  <si>
    <t>sociální poradenství</t>
  </si>
  <si>
    <t>Občanská poradna Havlíčkův Brod</t>
  </si>
  <si>
    <t>§4311</t>
  </si>
  <si>
    <t>Odborné sociální poradenství</t>
  </si>
  <si>
    <t>Centrum pro zdravotně postižené kraje Vysočina</t>
  </si>
  <si>
    <t>Centra služeb pro zdravotně postižené v kraji Vysočina-PE</t>
  </si>
  <si>
    <t>Centra služeb pro zdravotně postižené v kraji Vysočina-TR</t>
  </si>
  <si>
    <t>Centra služeb pro zdravotně postižené v kraji Vysočina-ZR</t>
  </si>
  <si>
    <t>Centra služeb pro zdravotně postižené v kraji Vysočina-HB</t>
  </si>
  <si>
    <t>Centra služeb pro zdravotně postižené v kraji Vysočina-JI</t>
  </si>
  <si>
    <t>Občanská poradna Nové Město na Moravě</t>
  </si>
  <si>
    <t>Občanská poradna Pelhřimov</t>
  </si>
  <si>
    <t>Sociální poradenství</t>
  </si>
  <si>
    <t>Občanská poradna-Jihlava</t>
  </si>
  <si>
    <t>Občanská poradna-Jihlava (Telč)</t>
  </si>
  <si>
    <t>Občanská poradna Třebíč</t>
  </si>
  <si>
    <t>sociální rehabilitace</t>
  </si>
  <si>
    <t>Byty sociální rehabilitace Havlíčkův Brod</t>
  </si>
  <si>
    <t>§4344</t>
  </si>
  <si>
    <t>Tým podpory v zaměstnávání - sociální rehabilitace Havlíčkův Brod</t>
  </si>
  <si>
    <t>Sociální rehabilitace</t>
  </si>
  <si>
    <t>Malá řemesla Jihlava</t>
  </si>
  <si>
    <t>Denní rehabilitační stacionář pro tělesně a mentálně postižené děti a mládež</t>
  </si>
  <si>
    <t>Komplexní sociální a ošetřovatelská péče</t>
  </si>
  <si>
    <t>CIRCLE OF LIFE o.s.</t>
  </si>
  <si>
    <t>terapeutické komunity</t>
  </si>
  <si>
    <t>Doléčovací-následná péče, pracovní programy a rekvalifikace, chráněné bydlení</t>
  </si>
  <si>
    <t>Občanské sdružení Ječmínek</t>
  </si>
  <si>
    <t>terénní programy</t>
  </si>
  <si>
    <t>Terénní práce v ohrožených skupinách</t>
  </si>
  <si>
    <t>§4378</t>
  </si>
  <si>
    <t>tísňová péče</t>
  </si>
  <si>
    <t>AREÍON-tísňová péče pro seniory a zdravotně postižené občany</t>
  </si>
  <si>
    <t>§4352</t>
  </si>
  <si>
    <t>tlumočnické služby</t>
  </si>
  <si>
    <t>Jihlavská unie neslyšících</t>
  </si>
  <si>
    <t>Tlumočnické služby pro sluchově postižené občany</t>
  </si>
  <si>
    <t>týdenní stacionáře</t>
  </si>
  <si>
    <t>§4355</t>
  </si>
  <si>
    <t>Celkem za všechny poskytovatele</t>
  </si>
  <si>
    <t>§4359</t>
  </si>
  <si>
    <t>Kapitola Sociální věci: § a položka</t>
  </si>
  <si>
    <t>Rekapitulace</t>
  </si>
  <si>
    <t>§ 4311</t>
  </si>
  <si>
    <t>§ 4344</t>
  </si>
  <si>
    <t>§ 4351</t>
  </si>
  <si>
    <t>§ 4352</t>
  </si>
  <si>
    <t>§ 4353</t>
  </si>
  <si>
    <t>§ 4354</t>
  </si>
  <si>
    <t>§ 4355</t>
  </si>
  <si>
    <t>§ 4356</t>
  </si>
  <si>
    <t>§ 4359</t>
  </si>
  <si>
    <t>§ 4371</t>
  </si>
  <si>
    <t>§ 4375</t>
  </si>
  <si>
    <t>§ 4376</t>
  </si>
  <si>
    <t>§ 4378</t>
  </si>
  <si>
    <t>§ 4379</t>
  </si>
  <si>
    <t>§ 4311 pol.5221</t>
  </si>
  <si>
    <t>§ 4311 pol.5222</t>
  </si>
  <si>
    <t>§ 4311 pol.5223</t>
  </si>
  <si>
    <t>§ 4344 pol. 5222</t>
  </si>
  <si>
    <t>§ 4344 pol. 5221</t>
  </si>
  <si>
    <t>§ 4351 pol. 5221</t>
  </si>
  <si>
    <t>§ 4351 pol. 5222</t>
  </si>
  <si>
    <t>§ 4351 pol. 5223</t>
  </si>
  <si>
    <t>§ 4353 pol. 5221</t>
  </si>
  <si>
    <t>§ 4354 pol. 5222</t>
  </si>
  <si>
    <t>§ 4355 pol. 5321</t>
  </si>
  <si>
    <t>§ 4356 pol. 5221</t>
  </si>
  <si>
    <t>§ 4356 pol. 5222</t>
  </si>
  <si>
    <t>§ 4356 pol. 5223</t>
  </si>
  <si>
    <t>§ 4359 pol. 5223</t>
  </si>
  <si>
    <t>§ 4371 pol. 5222</t>
  </si>
  <si>
    <t>§ 4371 pol. 5223</t>
  </si>
  <si>
    <t>§ 4375 pol. 5222</t>
  </si>
  <si>
    <t>§ 4375 pol. 5223</t>
  </si>
  <si>
    <t>§ 4376 pol. 5222</t>
  </si>
  <si>
    <t>§ 4376 pol. 5223</t>
  </si>
  <si>
    <t>§ 4352 pol. 5222</t>
  </si>
  <si>
    <t>§ 4378 pol. 5222</t>
  </si>
  <si>
    <t>§ 4379 pol. 5221</t>
  </si>
  <si>
    <t>§ 4379 pol. 5222</t>
  </si>
  <si>
    <t>Na počátku, o.s.</t>
  </si>
  <si>
    <t>Terénní a ambulantní následná péče Domova pro dětský život-sociálně aktivizační služby</t>
  </si>
  <si>
    <t>Pobytová následná péče Domova pro dětský život-byty na půl cesty</t>
  </si>
  <si>
    <t>Terapeutická komunita Sejřek</t>
  </si>
  <si>
    <t>§4373</t>
  </si>
  <si>
    <t xml:space="preserve">Procento příjmů na rok 2008/náklady 2007 </t>
  </si>
  <si>
    <t>Integrované centrum sociálních služeb</t>
  </si>
  <si>
    <t>Celková dotace od kraje Vysočina na rok 2008</t>
  </si>
  <si>
    <t>Celková dotace MPSV + kraj v roce 2007</t>
  </si>
  <si>
    <t>Celková dotace MPSV + kraj v roce 2008</t>
  </si>
  <si>
    <t>Změna v %</t>
  </si>
  <si>
    <t>MPSV 2009 požadavek</t>
  </si>
  <si>
    <t xml:space="preserve">MPSV 2008 </t>
  </si>
  <si>
    <t>Jiná státní správa 2009</t>
  </si>
  <si>
    <t>Úřad práce 2009</t>
  </si>
  <si>
    <t>Kraj 2008</t>
  </si>
  <si>
    <t>Kraj 2009</t>
  </si>
  <si>
    <t>Obec 2009</t>
  </si>
  <si>
    <t>Zřizovatel 2009</t>
  </si>
  <si>
    <t>Uživatel 2009</t>
  </si>
  <si>
    <t>Zdravotní pojišťovny 2009</t>
  </si>
  <si>
    <t>EU fondy 2009</t>
  </si>
  <si>
    <t>Ostatní 2009</t>
  </si>
  <si>
    <t>Celkem 2007</t>
  </si>
  <si>
    <t>Celkem 2008</t>
  </si>
  <si>
    <t>Celkem 2009</t>
  </si>
  <si>
    <t>MPSV-přiznaná dotace pro rok 2009</t>
  </si>
  <si>
    <t>% z požadavku dotace od MPSV na rok 2009</t>
  </si>
  <si>
    <t>Změna výše dotace oproti roku 2008 v %</t>
  </si>
  <si>
    <t>Předpoklad získaných prostředků na rok 2009 (bez dotace kraje)</t>
  </si>
  <si>
    <t>Porovnání se získanými prostředky roku 2008 v %</t>
  </si>
  <si>
    <t>Chybějící částka do výše získanýcch příjmů roku  2008 (bez dotace kraje)</t>
  </si>
  <si>
    <t>Porovnání s celkovými náklady roku 2009 v %</t>
  </si>
  <si>
    <t>Chybějící částka do výše nákladů roku 2009</t>
  </si>
  <si>
    <t>Chybějící částka do výše získanýcch příjmů roku  2007 při zachování dotace kraje ve výši roku 2008</t>
  </si>
  <si>
    <t>Počet přepočtených úvazků - celkem 2008</t>
  </si>
  <si>
    <t>Počet přepočtených pracovníků-přímá péče 2008</t>
  </si>
  <si>
    <t>Počet přepočtených úvazků - celkem 2009</t>
  </si>
  <si>
    <t>Počet přepočtených pracovníků-přímá péče 2009</t>
  </si>
  <si>
    <t>Výše dotace MPSV v roce 2009 na 1 přepočtený úvazek</t>
  </si>
  <si>
    <t>Výše dotace MPSV v roce 2009 na 1 přepočtený úvazek u  pracovníků v přímé péči</t>
  </si>
  <si>
    <t>Spirála-nízkoprahové zařízení pro děti a mládež</t>
  </si>
  <si>
    <t>ooborné sociální poradenství - hospicová péče</t>
  </si>
  <si>
    <t>hospicová péče</t>
  </si>
  <si>
    <t>Centrum sociálně aktivizačních činností pro převážně onkologické pacienty</t>
  </si>
  <si>
    <t>odlehčovací služby v domácí hospicové péči</t>
  </si>
  <si>
    <t>Komunitní tým - sociální rehabilitace Pelhřimov</t>
  </si>
  <si>
    <t>Byty sociální rehabilitace Humpolec</t>
  </si>
  <si>
    <t>Domácí hospicová péče</t>
  </si>
  <si>
    <t>Nízkoprahový klub  Vrakbar Jihlava</t>
  </si>
  <si>
    <t>Charitní domácí hospicová péče Jihlava</t>
  </si>
  <si>
    <t>Charitní domácí hospicová péče Žďár nad Sázavou</t>
  </si>
  <si>
    <t>Charitní domácí hospicová péče Třebíč</t>
  </si>
  <si>
    <t>Komunitní centrum Klubíčko Třebíč</t>
  </si>
  <si>
    <t>Klub Zámek - centrum prevence Třebíč</t>
  </si>
  <si>
    <t>Psychosociální poradna LOGOS</t>
  </si>
  <si>
    <t>Osobní asistence Chotěboř</t>
  </si>
  <si>
    <t>Komunitní tým - sociální rehabilitace Havlíčkův Brod</t>
  </si>
  <si>
    <t>Tým podpory v zaměstnávání - sociální rehabilitace Pelhřimov</t>
  </si>
  <si>
    <t>Komunitní tým - sociální rehabilitace Chotěboř</t>
  </si>
  <si>
    <t>Uživatel dle MPSV za rok</t>
  </si>
  <si>
    <t>podíl MPSV</t>
  </si>
  <si>
    <t>Částka připadající na podíl dle sloupce CT</t>
  </si>
  <si>
    <t>75% dotace MPSV na rok 2008</t>
  </si>
  <si>
    <t>náklad 2008 snížený o 25% nebo nižší náklad na rok 2009</t>
  </si>
  <si>
    <t>Nárůst nákladů 2008 proti 2007 v %</t>
  </si>
  <si>
    <t>Akceptování nárůstu nákladu 2007 o 50% a z toho výpočet</t>
  </si>
  <si>
    <t>průmě mezi CY a CV</t>
  </si>
  <si>
    <t>Procento příjmů na rok 2008/náklady 2009</t>
  </si>
  <si>
    <t>Počet stran: 5</t>
  </si>
  <si>
    <t>h</t>
  </si>
  <si>
    <t>§ 4344 pol. 5223</t>
  </si>
  <si>
    <t>§ 4351 pol. 5321</t>
  </si>
  <si>
    <t>§ 4353 pol. 5321</t>
  </si>
  <si>
    <t>§ 4356 pol. 5321</t>
  </si>
  <si>
    <t>§ 4359 pol. 5222</t>
  </si>
  <si>
    <t>§ 4359 pol. 5321</t>
  </si>
  <si>
    <t>§ 4373</t>
  </si>
  <si>
    <t>§ 4373 pol. 5221</t>
  </si>
  <si>
    <t>§ 4375 pol. 5321</t>
  </si>
  <si>
    <t>§ 4378 pol. 5223</t>
  </si>
  <si>
    <t>Průměrný podíl financování služby  krajem Vysočina v roce 2008</t>
  </si>
  <si>
    <t>Stanovení výše částečné dotace kraje Vysočina na rok 2009 pro poskytovatele těchto sociálních služeb vychází z  násobku průměrného podílu financování kraje na jednotlivých službách v roce 2008 a celkových nákladů na jednotlivou službu v roce 2008, případně roku 2009 pokud se jedná o novou sociální službu nebo jsou celkové náklady nižší než v roce 2008. Z takto vypočtené částky je navržena dotace ve výši 40%, pouze v případě podílu kraje nižším než 0,05 je dotace v plné výši vypočtené částky.</t>
  </si>
  <si>
    <t>Návrh na vyplacení částečné dotace pro poskytovatele sociálních služeb na rok 2009 od kraje Vysočina</t>
  </si>
  <si>
    <t xml:space="preserve">Navržená částečná dotace od kraje Vysočina na rok 2009 </t>
  </si>
  <si>
    <t>RK-36-2008-37, př. 4</t>
  </si>
  <si>
    <t>§ 4373 pol. 5222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</si>
</sst>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#,##0.0"/>
    <numFmt numFmtId="166" formatCode="#,##0.00_ ;\-#,##0.00\ "/>
    <numFmt numFmtId="167" formatCode="#,##0_ ;\-#,##0\ "/>
    <numFmt numFmtId="168" formatCode="0.0"/>
    <numFmt numFmtId="169" formatCode="#,##0.0000_ ;\-#,##0.0000\ "/>
  </numFmts>
  <fonts count="10">
    <font>
      <sz val="10"/>
      <name val="Arial CE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11"/>
      <name val="Arial"/>
      <family val="2"/>
    </font>
    <font>
      <b/>
      <sz val="11"/>
      <name val="Arial CE"/>
      <family val="0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7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double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double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1">
    <xf numFmtId="0" fontId="0" fillId="0" borderId="0" xfId="0" applyAlignment="1">
      <alignment/>
    </xf>
    <xf numFmtId="164" fontId="3" fillId="0" borderId="0" xfId="0" applyNumberFormat="1" applyFont="1" applyFill="1" applyBorder="1" applyAlignment="1">
      <alignment vertical="center"/>
    </xf>
    <xf numFmtId="3" fontId="1" fillId="0" borderId="1" xfId="0" applyNumberFormat="1" applyFont="1" applyFill="1" applyBorder="1" applyAlignment="1" quotePrefix="1">
      <alignment vertical="center"/>
    </xf>
    <xf numFmtId="3" fontId="1" fillId="0" borderId="0" xfId="0" applyNumberFormat="1" applyFont="1" applyFill="1" applyAlignment="1" quotePrefix="1">
      <alignment vertical="center"/>
    </xf>
    <xf numFmtId="164" fontId="1" fillId="0" borderId="1" xfId="0" applyNumberFormat="1" applyFont="1" applyFill="1" applyBorder="1" applyAlignment="1">
      <alignment vertical="center"/>
    </xf>
    <xf numFmtId="164" fontId="1" fillId="0" borderId="2" xfId="0" applyNumberFormat="1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vertical="center"/>
    </xf>
    <xf numFmtId="3" fontId="1" fillId="0" borderId="3" xfId="0" applyNumberFormat="1" applyFont="1" applyFill="1" applyBorder="1" applyAlignment="1">
      <alignment vertical="center"/>
    </xf>
    <xf numFmtId="164" fontId="1" fillId="0" borderId="4" xfId="0" applyNumberFormat="1" applyFont="1" applyFill="1" applyBorder="1" applyAlignment="1">
      <alignment vertical="center"/>
    </xf>
    <xf numFmtId="3" fontId="1" fillId="0" borderId="5" xfId="0" applyNumberFormat="1" applyFont="1" applyFill="1" applyBorder="1" applyAlignment="1">
      <alignment vertical="center"/>
    </xf>
    <xf numFmtId="164" fontId="1" fillId="0" borderId="6" xfId="0" applyNumberFormat="1" applyFont="1" applyFill="1" applyBorder="1" applyAlignment="1">
      <alignment vertical="center"/>
    </xf>
    <xf numFmtId="3" fontId="1" fillId="0" borderId="7" xfId="0" applyNumberFormat="1" applyFont="1" applyFill="1" applyBorder="1" applyAlignment="1">
      <alignment vertical="center"/>
    </xf>
    <xf numFmtId="3" fontId="1" fillId="0" borderId="4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165" fontId="1" fillId="0" borderId="8" xfId="0" applyNumberFormat="1" applyFont="1" applyFill="1" applyBorder="1" applyAlignment="1">
      <alignment vertical="center"/>
    </xf>
    <xf numFmtId="165" fontId="1" fillId="0" borderId="2" xfId="0" applyNumberFormat="1" applyFont="1" applyFill="1" applyBorder="1" applyAlignment="1">
      <alignment vertical="center"/>
    </xf>
    <xf numFmtId="3" fontId="1" fillId="0" borderId="9" xfId="0" applyNumberFormat="1" applyFont="1" applyFill="1" applyBorder="1" applyAlignment="1" quotePrefix="1">
      <alignment horizontal="center" vertical="center" wrapText="1"/>
    </xf>
    <xf numFmtId="3" fontId="1" fillId="0" borderId="10" xfId="0" applyNumberFormat="1" applyFont="1" applyFill="1" applyBorder="1" applyAlignment="1" quotePrefix="1">
      <alignment vertical="center"/>
    </xf>
    <xf numFmtId="3" fontId="1" fillId="0" borderId="0" xfId="0" applyNumberFormat="1" applyFont="1" applyFill="1" applyAlignment="1">
      <alignment vertical="center"/>
    </xf>
    <xf numFmtId="3" fontId="1" fillId="0" borderId="11" xfId="0" applyNumberFormat="1" applyFont="1" applyFill="1" applyBorder="1" applyAlignment="1" quotePrefix="1">
      <alignment vertical="center"/>
    </xf>
    <xf numFmtId="3" fontId="2" fillId="0" borderId="0" xfId="0" applyNumberFormat="1" applyFont="1" applyFill="1" applyBorder="1" applyAlignment="1" quotePrefix="1">
      <alignment vertical="center"/>
    </xf>
    <xf numFmtId="3" fontId="1" fillId="0" borderId="12" xfId="0" applyNumberFormat="1" applyFont="1" applyFill="1" applyBorder="1" applyAlignment="1" quotePrefix="1">
      <alignment vertical="center"/>
    </xf>
    <xf numFmtId="3" fontId="1" fillId="0" borderId="0" xfId="0" applyNumberFormat="1" applyFont="1" applyFill="1" applyBorder="1" applyAlignment="1" quotePrefix="1">
      <alignment vertical="center"/>
    </xf>
    <xf numFmtId="3" fontId="3" fillId="0" borderId="13" xfId="0" applyNumberFormat="1" applyFont="1" applyFill="1" applyBorder="1" applyAlignment="1">
      <alignment vertical="center"/>
    </xf>
    <xf numFmtId="167" fontId="1" fillId="0" borderId="0" xfId="0" applyNumberFormat="1" applyFont="1" applyFill="1" applyBorder="1" applyAlignment="1">
      <alignment horizontal="right" vertical="center"/>
    </xf>
    <xf numFmtId="2" fontId="1" fillId="0" borderId="0" xfId="0" applyNumberFormat="1" applyFont="1" applyFill="1" applyBorder="1" applyAlignment="1">
      <alignment horizontal="right" vertical="center"/>
    </xf>
    <xf numFmtId="167" fontId="1" fillId="0" borderId="13" xfId="0" applyNumberFormat="1" applyFont="1" applyFill="1" applyBorder="1" applyAlignment="1">
      <alignment horizontal="right" vertical="center"/>
    </xf>
    <xf numFmtId="2" fontId="1" fillId="0" borderId="14" xfId="0" applyNumberFormat="1" applyFont="1" applyFill="1" applyBorder="1" applyAlignment="1">
      <alignment horizontal="right" vertical="center"/>
    </xf>
    <xf numFmtId="3" fontId="1" fillId="0" borderId="15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>
      <alignment horizontal="right" vertical="center"/>
    </xf>
    <xf numFmtId="3" fontId="1" fillId="0" borderId="14" xfId="0" applyNumberFormat="1" applyFont="1" applyFill="1" applyBorder="1" applyAlignment="1">
      <alignment horizontal="right" vertical="center"/>
    </xf>
    <xf numFmtId="3" fontId="1" fillId="0" borderId="13" xfId="0" applyNumberFormat="1" applyFont="1" applyFill="1" applyBorder="1" applyAlignment="1">
      <alignment horizontal="right" vertical="center"/>
    </xf>
    <xf numFmtId="3" fontId="1" fillId="0" borderId="16" xfId="0" applyNumberFormat="1" applyFont="1" applyFill="1" applyBorder="1" applyAlignment="1">
      <alignment horizontal="right" vertical="center"/>
    </xf>
    <xf numFmtId="3" fontId="1" fillId="0" borderId="17" xfId="0" applyNumberFormat="1" applyFont="1" applyFill="1" applyBorder="1" applyAlignment="1" quotePrefix="1">
      <alignment vertical="center"/>
    </xf>
    <xf numFmtId="164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164" fontId="1" fillId="0" borderId="18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4" fontId="1" fillId="0" borderId="15" xfId="0" applyNumberFormat="1" applyFont="1" applyFill="1" applyBorder="1" applyAlignment="1">
      <alignment vertical="center"/>
    </xf>
    <xf numFmtId="164" fontId="1" fillId="0" borderId="19" xfId="0" applyNumberFormat="1" applyFont="1" applyFill="1" applyBorder="1" applyAlignment="1">
      <alignment vertical="center"/>
    </xf>
    <xf numFmtId="0" fontId="1" fillId="0" borderId="20" xfId="0" applyNumberFormat="1" applyFont="1" applyFill="1" applyBorder="1" applyAlignment="1">
      <alignment vertical="center" wrapText="1"/>
    </xf>
    <xf numFmtId="165" fontId="1" fillId="0" borderId="18" xfId="0" applyNumberFormat="1" applyFont="1" applyFill="1" applyBorder="1" applyAlignment="1">
      <alignment vertical="center"/>
    </xf>
    <xf numFmtId="165" fontId="1" fillId="0" borderId="21" xfId="0" applyNumberFormat="1" applyFont="1" applyFill="1" applyBorder="1" applyAlignment="1">
      <alignment vertical="center"/>
    </xf>
    <xf numFmtId="165" fontId="1" fillId="0" borderId="0" xfId="0" applyNumberFormat="1" applyFont="1" applyFill="1" applyBorder="1" applyAlignment="1">
      <alignment vertical="center"/>
    </xf>
    <xf numFmtId="164" fontId="1" fillId="0" borderId="22" xfId="0" applyNumberFormat="1" applyFont="1" applyFill="1" applyBorder="1" applyAlignment="1">
      <alignment vertical="center"/>
    </xf>
    <xf numFmtId="164" fontId="1" fillId="0" borderId="23" xfId="0" applyNumberFormat="1" applyFont="1" applyFill="1" applyBorder="1" applyAlignment="1">
      <alignment vertical="center"/>
    </xf>
    <xf numFmtId="164" fontId="1" fillId="0" borderId="24" xfId="0" applyNumberFormat="1" applyFont="1" applyFill="1" applyBorder="1" applyAlignment="1">
      <alignment vertical="center"/>
    </xf>
    <xf numFmtId="164" fontId="1" fillId="0" borderId="25" xfId="0" applyNumberFormat="1" applyFont="1" applyFill="1" applyBorder="1" applyAlignment="1">
      <alignment vertical="center"/>
    </xf>
    <xf numFmtId="3" fontId="1" fillId="0" borderId="8" xfId="0" applyNumberFormat="1" applyFont="1" applyFill="1" applyBorder="1" applyAlignment="1" quotePrefix="1">
      <alignment vertical="center"/>
    </xf>
    <xf numFmtId="0" fontId="1" fillId="0" borderId="1" xfId="0" applyNumberFormat="1" applyFont="1" applyFill="1" applyBorder="1" applyAlignment="1" quotePrefix="1">
      <alignment vertical="center" wrapText="1"/>
    </xf>
    <xf numFmtId="3" fontId="1" fillId="0" borderId="2" xfId="0" applyNumberFormat="1" applyFont="1" applyFill="1" applyBorder="1" applyAlignment="1" quotePrefix="1">
      <alignment vertical="center"/>
    </xf>
    <xf numFmtId="3" fontId="1" fillId="0" borderId="24" xfId="0" applyNumberFormat="1" applyFont="1" applyFill="1" applyBorder="1" applyAlignment="1" quotePrefix="1">
      <alignment vertical="center"/>
    </xf>
    <xf numFmtId="3" fontId="1" fillId="0" borderId="18" xfId="0" applyNumberFormat="1" applyFont="1" applyFill="1" applyBorder="1" applyAlignment="1" quotePrefix="1">
      <alignment vertical="center"/>
    </xf>
    <xf numFmtId="164" fontId="1" fillId="0" borderId="11" xfId="0" applyNumberFormat="1" applyFont="1" applyFill="1" applyBorder="1" applyAlignment="1">
      <alignment vertical="center"/>
    </xf>
    <xf numFmtId="3" fontId="1" fillId="0" borderId="25" xfId="0" applyNumberFormat="1" applyFont="1" applyFill="1" applyBorder="1" applyAlignment="1" quotePrefix="1">
      <alignment vertical="center"/>
    </xf>
    <xf numFmtId="3" fontId="1" fillId="0" borderId="21" xfId="0" applyNumberFormat="1" applyFont="1" applyFill="1" applyBorder="1" applyAlignment="1" quotePrefix="1">
      <alignment vertical="center"/>
    </xf>
    <xf numFmtId="164" fontId="1" fillId="0" borderId="10" xfId="0" applyNumberFormat="1" applyFont="1" applyFill="1" applyBorder="1" applyAlignment="1">
      <alignment vertical="center"/>
    </xf>
    <xf numFmtId="3" fontId="1" fillId="0" borderId="26" xfId="0" applyNumberFormat="1" applyFont="1" applyFill="1" applyBorder="1" applyAlignment="1" quotePrefix="1">
      <alignment horizontal="center" vertical="center" wrapText="1"/>
    </xf>
    <xf numFmtId="3" fontId="1" fillId="0" borderId="0" xfId="0" applyNumberFormat="1" applyFont="1" applyFill="1" applyAlignment="1" quotePrefix="1">
      <alignment horizontal="center" vertical="center" wrapText="1"/>
    </xf>
    <xf numFmtId="3" fontId="1" fillId="0" borderId="20" xfId="0" applyNumberFormat="1" applyFont="1" applyFill="1" applyBorder="1" applyAlignment="1" quotePrefix="1">
      <alignment horizontal="center" vertical="center" wrapText="1"/>
    </xf>
    <xf numFmtId="3" fontId="1" fillId="0" borderId="0" xfId="0" applyNumberFormat="1" applyFont="1" applyFill="1" applyBorder="1" applyAlignment="1" quotePrefix="1">
      <alignment horizontal="center" vertical="center" wrapText="1"/>
    </xf>
    <xf numFmtId="3" fontId="1" fillId="0" borderId="20" xfId="0" applyNumberFormat="1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3" fontId="1" fillId="0" borderId="27" xfId="0" applyNumberFormat="1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3" fontId="1" fillId="0" borderId="26" xfId="0" applyNumberFormat="1" applyFont="1" applyFill="1" applyBorder="1" applyAlignment="1">
      <alignment horizontal="center" vertical="center" wrapText="1"/>
    </xf>
    <xf numFmtId="0" fontId="1" fillId="0" borderId="26" xfId="0" applyNumberFormat="1" applyFont="1" applyFill="1" applyBorder="1" applyAlignment="1">
      <alignment vertical="center" wrapText="1"/>
    </xf>
    <xf numFmtId="0" fontId="1" fillId="0" borderId="11" xfId="0" applyNumberFormat="1" applyFont="1" applyFill="1" applyBorder="1" applyAlignment="1" quotePrefix="1">
      <alignment vertical="center"/>
    </xf>
    <xf numFmtId="3" fontId="1" fillId="0" borderId="29" xfId="0" applyNumberFormat="1" applyFont="1" applyFill="1" applyBorder="1" applyAlignment="1">
      <alignment vertical="center"/>
    </xf>
    <xf numFmtId="164" fontId="1" fillId="0" borderId="5" xfId="0" applyNumberFormat="1" applyFont="1" applyFill="1" applyBorder="1" applyAlignment="1">
      <alignment vertical="center"/>
    </xf>
    <xf numFmtId="3" fontId="1" fillId="0" borderId="22" xfId="0" applyNumberFormat="1" applyFont="1" applyFill="1" applyBorder="1" applyAlignment="1">
      <alignment vertical="center"/>
    </xf>
    <xf numFmtId="3" fontId="1" fillId="0" borderId="24" xfId="0" applyNumberFormat="1" applyFont="1" applyFill="1" applyBorder="1" applyAlignment="1">
      <alignment vertical="center"/>
    </xf>
    <xf numFmtId="165" fontId="1" fillId="0" borderId="24" xfId="0" applyNumberFormat="1" applyFont="1" applyFill="1" applyBorder="1" applyAlignment="1">
      <alignment vertical="center"/>
    </xf>
    <xf numFmtId="0" fontId="1" fillId="0" borderId="1" xfId="0" applyNumberFormat="1" applyFont="1" applyFill="1" applyBorder="1" applyAlignment="1" quotePrefix="1">
      <alignment vertical="center"/>
    </xf>
    <xf numFmtId="0" fontId="1" fillId="0" borderId="1" xfId="0" applyFont="1" applyFill="1" applyBorder="1" applyAlignment="1">
      <alignment vertical="center"/>
    </xf>
    <xf numFmtId="3" fontId="1" fillId="0" borderId="2" xfId="0" applyNumberFormat="1" applyFont="1" applyFill="1" applyBorder="1" applyAlignment="1">
      <alignment vertical="center"/>
    </xf>
    <xf numFmtId="0" fontId="1" fillId="0" borderId="10" xfId="0" applyNumberFormat="1" applyFont="1" applyFill="1" applyBorder="1" applyAlignment="1" quotePrefix="1">
      <alignment vertical="center"/>
    </xf>
    <xf numFmtId="3" fontId="1" fillId="0" borderId="30" xfId="0" applyNumberFormat="1" applyFont="1" applyFill="1" applyBorder="1" applyAlignment="1">
      <alignment vertical="center"/>
    </xf>
    <xf numFmtId="3" fontId="1" fillId="0" borderId="31" xfId="0" applyNumberFormat="1" applyFont="1" applyFill="1" applyBorder="1" applyAlignment="1">
      <alignment vertical="center"/>
    </xf>
    <xf numFmtId="164" fontId="1" fillId="0" borderId="32" xfId="0" applyNumberFormat="1" applyFont="1" applyFill="1" applyBorder="1" applyAlignment="1">
      <alignment vertical="center"/>
    </xf>
    <xf numFmtId="165" fontId="1" fillId="0" borderId="25" xfId="0" applyNumberFormat="1" applyFont="1" applyFill="1" applyBorder="1" applyAlignment="1">
      <alignment vertical="center"/>
    </xf>
    <xf numFmtId="0" fontId="1" fillId="0" borderId="0" xfId="0" applyNumberFormat="1" applyFont="1" applyFill="1" applyAlignment="1" quotePrefix="1">
      <alignment vertical="center"/>
    </xf>
    <xf numFmtId="164" fontId="2" fillId="0" borderId="0" xfId="0" applyNumberFormat="1" applyFont="1" applyFill="1" applyBorder="1" applyAlignment="1">
      <alignment vertical="center"/>
    </xf>
    <xf numFmtId="164" fontId="1" fillId="0" borderId="13" xfId="0" applyNumberFormat="1" applyFont="1" applyFill="1" applyBorder="1" applyAlignment="1">
      <alignment vertical="center"/>
    </xf>
    <xf numFmtId="3" fontId="1" fillId="0" borderId="13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 quotePrefix="1">
      <alignment horizontal="right" vertical="center" wrapText="1"/>
    </xf>
    <xf numFmtId="3" fontId="1" fillId="0" borderId="33" xfId="0" applyNumberFormat="1" applyFont="1" applyFill="1" applyBorder="1" applyAlignment="1">
      <alignment vertical="center"/>
    </xf>
    <xf numFmtId="164" fontId="1" fillId="0" borderId="34" xfId="0" applyNumberFormat="1" applyFont="1" applyFill="1" applyBorder="1" applyAlignment="1">
      <alignment vertical="center"/>
    </xf>
    <xf numFmtId="3" fontId="1" fillId="0" borderId="35" xfId="0" applyNumberFormat="1" applyFont="1" applyFill="1" applyBorder="1" applyAlignment="1">
      <alignment vertical="center"/>
    </xf>
    <xf numFmtId="3" fontId="1" fillId="0" borderId="36" xfId="0" applyNumberFormat="1" applyFont="1" applyFill="1" applyBorder="1" applyAlignment="1">
      <alignment vertical="center"/>
    </xf>
    <xf numFmtId="3" fontId="1" fillId="0" borderId="1" xfId="0" applyNumberFormat="1" applyFont="1" applyFill="1" applyBorder="1" applyAlignment="1">
      <alignment vertical="center"/>
    </xf>
    <xf numFmtId="164" fontId="1" fillId="0" borderId="37" xfId="0" applyNumberFormat="1" applyFont="1" applyFill="1" applyBorder="1" applyAlignment="1">
      <alignment vertical="center"/>
    </xf>
    <xf numFmtId="0" fontId="1" fillId="0" borderId="17" xfId="0" applyNumberFormat="1" applyFont="1" applyFill="1" applyBorder="1" applyAlignment="1" quotePrefix="1">
      <alignment vertical="center" wrapText="1"/>
    </xf>
    <xf numFmtId="0" fontId="1" fillId="0" borderId="17" xfId="0" applyNumberFormat="1" applyFont="1" applyFill="1" applyBorder="1" applyAlignment="1" quotePrefix="1">
      <alignment vertical="center"/>
    </xf>
    <xf numFmtId="0" fontId="1" fillId="0" borderId="17" xfId="0" applyFont="1" applyFill="1" applyBorder="1" applyAlignment="1">
      <alignment vertical="center"/>
    </xf>
    <xf numFmtId="3" fontId="1" fillId="0" borderId="38" xfId="0" applyNumberFormat="1" applyFont="1" applyFill="1" applyBorder="1" applyAlignment="1" quotePrefix="1">
      <alignment vertical="center"/>
    </xf>
    <xf numFmtId="3" fontId="1" fillId="0" borderId="39" xfId="0" applyNumberFormat="1" applyFont="1" applyFill="1" applyBorder="1" applyAlignment="1" quotePrefix="1">
      <alignment vertical="center"/>
    </xf>
    <xf numFmtId="164" fontId="1" fillId="0" borderId="17" xfId="0" applyNumberFormat="1" applyFont="1" applyFill="1" applyBorder="1" applyAlignment="1">
      <alignment vertical="center"/>
    </xf>
    <xf numFmtId="164" fontId="1" fillId="0" borderId="38" xfId="0" applyNumberFormat="1" applyFont="1" applyFill="1" applyBorder="1" applyAlignment="1">
      <alignment vertical="center"/>
    </xf>
    <xf numFmtId="3" fontId="1" fillId="0" borderId="40" xfId="0" applyNumberFormat="1" applyFont="1" applyFill="1" applyBorder="1" applyAlignment="1">
      <alignment vertical="center"/>
    </xf>
    <xf numFmtId="164" fontId="1" fillId="0" borderId="41" xfId="0" applyNumberFormat="1" applyFont="1" applyFill="1" applyBorder="1" applyAlignment="1">
      <alignment vertical="center"/>
    </xf>
    <xf numFmtId="164" fontId="1" fillId="0" borderId="42" xfId="0" applyNumberFormat="1" applyFont="1" applyFill="1" applyBorder="1" applyAlignment="1">
      <alignment vertical="center"/>
    </xf>
    <xf numFmtId="3" fontId="1" fillId="0" borderId="43" xfId="0" applyNumberFormat="1" applyFont="1" applyFill="1" applyBorder="1" applyAlignment="1">
      <alignment vertical="center"/>
    </xf>
    <xf numFmtId="3" fontId="1" fillId="0" borderId="41" xfId="0" applyNumberFormat="1" applyFont="1" applyFill="1" applyBorder="1" applyAlignment="1">
      <alignment vertical="center"/>
    </xf>
    <xf numFmtId="164" fontId="1" fillId="0" borderId="16" xfId="0" applyNumberFormat="1" applyFont="1" applyFill="1" applyBorder="1" applyAlignment="1">
      <alignment vertical="center"/>
    </xf>
    <xf numFmtId="164" fontId="1" fillId="0" borderId="44" xfId="0" applyNumberFormat="1" applyFont="1" applyFill="1" applyBorder="1" applyAlignment="1">
      <alignment vertical="center"/>
    </xf>
    <xf numFmtId="0" fontId="1" fillId="0" borderId="17" xfId="0" applyNumberFormat="1" applyFont="1" applyFill="1" applyBorder="1" applyAlignment="1">
      <alignment vertical="center" wrapText="1"/>
    </xf>
    <xf numFmtId="3" fontId="1" fillId="0" borderId="38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 quotePrefix="1">
      <alignment vertical="center" wrapText="1"/>
    </xf>
    <xf numFmtId="0" fontId="1" fillId="0" borderId="0" xfId="0" applyNumberFormat="1" applyFont="1" applyFill="1" applyBorder="1" applyAlignment="1" quotePrefix="1">
      <alignment vertical="center"/>
    </xf>
    <xf numFmtId="3" fontId="1" fillId="0" borderId="10" xfId="0" applyNumberFormat="1" applyFont="1" applyFill="1" applyBorder="1" applyAlignment="1">
      <alignment vertical="center"/>
    </xf>
    <xf numFmtId="164" fontId="1" fillId="0" borderId="45" xfId="0" applyNumberFormat="1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3" fontId="1" fillId="0" borderId="46" xfId="0" applyNumberFormat="1" applyFont="1" applyFill="1" applyBorder="1" applyAlignment="1">
      <alignment vertical="center"/>
    </xf>
    <xf numFmtId="3" fontId="1" fillId="0" borderId="23" xfId="0" applyNumberFormat="1" applyFont="1" applyFill="1" applyBorder="1" applyAlignment="1">
      <alignment vertical="center"/>
    </xf>
    <xf numFmtId="0" fontId="1" fillId="0" borderId="12" xfId="0" applyNumberFormat="1" applyFont="1" applyFill="1" applyBorder="1" applyAlignment="1" quotePrefix="1">
      <alignment vertical="center"/>
    </xf>
    <xf numFmtId="0" fontId="1" fillId="0" borderId="12" xfId="0" applyFont="1" applyFill="1" applyBorder="1" applyAlignment="1">
      <alignment vertical="center"/>
    </xf>
    <xf numFmtId="3" fontId="1" fillId="0" borderId="47" xfId="0" applyNumberFormat="1" applyFont="1" applyFill="1" applyBorder="1" applyAlignment="1" quotePrefix="1">
      <alignment vertical="center"/>
    </xf>
    <xf numFmtId="0" fontId="1" fillId="0" borderId="0" xfId="0" applyNumberFormat="1" applyFont="1" applyFill="1" applyAlignment="1" quotePrefix="1">
      <alignment vertical="center" wrapText="1"/>
    </xf>
    <xf numFmtId="0" fontId="1" fillId="0" borderId="10" xfId="0" applyFont="1" applyFill="1" applyBorder="1" applyAlignment="1">
      <alignment vertical="center"/>
    </xf>
    <xf numFmtId="3" fontId="1" fillId="0" borderId="8" xfId="0" applyNumberFormat="1" applyFont="1" applyFill="1" applyBorder="1" applyAlignment="1">
      <alignment vertical="center"/>
    </xf>
    <xf numFmtId="3" fontId="1" fillId="0" borderId="48" xfId="0" applyNumberFormat="1" applyFont="1" applyFill="1" applyBorder="1" applyAlignment="1" quotePrefix="1">
      <alignment vertical="center"/>
    </xf>
    <xf numFmtId="164" fontId="1" fillId="0" borderId="49" xfId="0" applyNumberFormat="1" applyFont="1" applyFill="1" applyBorder="1" applyAlignment="1">
      <alignment vertical="center"/>
    </xf>
    <xf numFmtId="164" fontId="1" fillId="0" borderId="31" xfId="0" applyNumberFormat="1" applyFont="1" applyFill="1" applyBorder="1" applyAlignment="1">
      <alignment vertical="center"/>
    </xf>
    <xf numFmtId="3" fontId="1" fillId="0" borderId="19" xfId="0" applyNumberFormat="1" applyFont="1" applyFill="1" applyBorder="1" applyAlignment="1">
      <alignment horizontal="center" vertical="center"/>
    </xf>
    <xf numFmtId="3" fontId="1" fillId="0" borderId="47" xfId="0" applyNumberFormat="1" applyFont="1" applyFill="1" applyBorder="1" applyAlignment="1">
      <alignment horizontal="center" vertical="center"/>
    </xf>
    <xf numFmtId="3" fontId="1" fillId="0" borderId="6" xfId="0" applyNumberFormat="1" applyFont="1" applyFill="1" applyBorder="1" applyAlignment="1" quotePrefix="1">
      <alignment vertical="center"/>
    </xf>
    <xf numFmtId="3" fontId="1" fillId="0" borderId="35" xfId="0" applyNumberFormat="1" applyFont="1" applyFill="1" applyBorder="1" applyAlignment="1" quotePrefix="1">
      <alignment vertical="center"/>
    </xf>
    <xf numFmtId="0" fontId="1" fillId="0" borderId="6" xfId="0" applyFont="1" applyFill="1" applyBorder="1" applyAlignment="1">
      <alignment vertical="center"/>
    </xf>
    <xf numFmtId="3" fontId="1" fillId="0" borderId="50" xfId="0" applyNumberFormat="1" applyFont="1" applyFill="1" applyBorder="1" applyAlignment="1" quotePrefix="1">
      <alignment vertical="center"/>
    </xf>
    <xf numFmtId="164" fontId="1" fillId="0" borderId="51" xfId="0" applyNumberFormat="1" applyFont="1" applyFill="1" applyBorder="1" applyAlignment="1">
      <alignment vertical="center"/>
    </xf>
    <xf numFmtId="164" fontId="1" fillId="0" borderId="52" xfId="0" applyNumberFormat="1" applyFont="1" applyFill="1" applyBorder="1" applyAlignment="1">
      <alignment vertical="center"/>
    </xf>
    <xf numFmtId="3" fontId="1" fillId="0" borderId="53" xfId="0" applyNumberFormat="1" applyFont="1" applyFill="1" applyBorder="1" applyAlignment="1">
      <alignment vertical="center"/>
    </xf>
    <xf numFmtId="164" fontId="1" fillId="0" borderId="54" xfId="0" applyNumberFormat="1" applyFont="1" applyFill="1" applyBorder="1" applyAlignment="1">
      <alignment vertical="center"/>
    </xf>
    <xf numFmtId="3" fontId="1" fillId="0" borderId="55" xfId="0" applyNumberFormat="1" applyFont="1" applyFill="1" applyBorder="1" applyAlignment="1">
      <alignment vertical="center"/>
    </xf>
    <xf numFmtId="164" fontId="1" fillId="0" borderId="56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right" vertical="center" wrapText="1"/>
    </xf>
    <xf numFmtId="3" fontId="3" fillId="0" borderId="14" xfId="0" applyNumberFormat="1" applyFont="1" applyFill="1" applyBorder="1" applyAlignment="1">
      <alignment vertical="center"/>
    </xf>
    <xf numFmtId="164" fontId="3" fillId="0" borderId="13" xfId="0" applyNumberFormat="1" applyFont="1" applyFill="1" applyBorder="1" applyAlignment="1">
      <alignment vertical="center"/>
    </xf>
    <xf numFmtId="164" fontId="3" fillId="0" borderId="57" xfId="0" applyNumberFormat="1" applyFont="1" applyFill="1" applyBorder="1" applyAlignment="1">
      <alignment vertical="center"/>
    </xf>
    <xf numFmtId="164" fontId="4" fillId="0" borderId="13" xfId="0" applyNumberFormat="1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 wrapText="1"/>
    </xf>
    <xf numFmtId="3" fontId="2" fillId="0" borderId="0" xfId="0" applyNumberFormat="1" applyFont="1" applyFill="1" applyAlignment="1">
      <alignment vertical="center" wrapText="1"/>
    </xf>
    <xf numFmtId="3" fontId="1" fillId="0" borderId="0" xfId="0" applyNumberFormat="1" applyFont="1" applyFill="1" applyAlignment="1">
      <alignment vertical="center" wrapText="1"/>
    </xf>
    <xf numFmtId="164" fontId="1" fillId="0" borderId="0" xfId="0" applyNumberFormat="1" applyFont="1" applyFill="1" applyBorder="1" applyAlignment="1">
      <alignment vertical="center" wrapText="1"/>
    </xf>
    <xf numFmtId="0" fontId="1" fillId="0" borderId="8" xfId="0" applyNumberFormat="1" applyFont="1" applyFill="1" applyBorder="1" applyAlignment="1" quotePrefix="1">
      <alignment vertical="center" wrapText="1"/>
    </xf>
    <xf numFmtId="0" fontId="2" fillId="0" borderId="0" xfId="0" applyNumberFormat="1" applyFont="1" applyFill="1" applyAlignment="1">
      <alignment horizontal="right" vertical="center" wrapText="1"/>
    </xf>
    <xf numFmtId="0" fontId="1" fillId="0" borderId="39" xfId="0" applyNumberFormat="1" applyFont="1" applyFill="1" applyBorder="1" applyAlignment="1" quotePrefix="1">
      <alignment vertical="center" wrapText="1"/>
    </xf>
    <xf numFmtId="164" fontId="1" fillId="0" borderId="0" xfId="0" applyNumberFormat="1" applyFont="1" applyFill="1" applyBorder="1" applyAlignment="1">
      <alignment horizontal="right" vertical="center"/>
    </xf>
    <xf numFmtId="164" fontId="1" fillId="0" borderId="13" xfId="0" applyNumberFormat="1" applyFont="1" applyFill="1" applyBorder="1" applyAlignment="1">
      <alignment horizontal="right" vertical="center"/>
    </xf>
    <xf numFmtId="164" fontId="1" fillId="0" borderId="16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>
      <alignment horizontal="center" vertical="center" wrapText="1"/>
    </xf>
    <xf numFmtId="0" fontId="1" fillId="0" borderId="51" xfId="0" applyNumberFormat="1" applyFont="1" applyFill="1" applyBorder="1" applyAlignment="1" quotePrefix="1">
      <alignment vertical="center"/>
    </xf>
    <xf numFmtId="3" fontId="1" fillId="0" borderId="51" xfId="0" applyNumberFormat="1" applyFont="1" applyFill="1" applyBorder="1" applyAlignment="1" quotePrefix="1">
      <alignment vertical="center"/>
    </xf>
    <xf numFmtId="3" fontId="1" fillId="0" borderId="55" xfId="0" applyNumberFormat="1" applyFont="1" applyFill="1" applyBorder="1" applyAlignment="1" quotePrefix="1">
      <alignment vertical="center"/>
    </xf>
    <xf numFmtId="3" fontId="1" fillId="0" borderId="53" xfId="0" applyNumberFormat="1" applyFont="1" applyFill="1" applyBorder="1" applyAlignment="1" quotePrefix="1">
      <alignment vertical="center"/>
    </xf>
    <xf numFmtId="164" fontId="1" fillId="0" borderId="55" xfId="0" applyNumberFormat="1" applyFont="1" applyFill="1" applyBorder="1" applyAlignment="1">
      <alignment vertical="center"/>
    </xf>
    <xf numFmtId="3" fontId="1" fillId="0" borderId="58" xfId="0" applyNumberFormat="1" applyFont="1" applyFill="1" applyBorder="1" applyAlignment="1">
      <alignment vertical="center"/>
    </xf>
    <xf numFmtId="165" fontId="1" fillId="0" borderId="53" xfId="0" applyNumberFormat="1" applyFont="1" applyFill="1" applyBorder="1" applyAlignment="1">
      <alignment vertical="center"/>
    </xf>
    <xf numFmtId="165" fontId="1" fillId="0" borderId="55" xfId="0" applyNumberFormat="1" applyFont="1" applyFill="1" applyBorder="1" applyAlignment="1">
      <alignment vertical="center"/>
    </xf>
    <xf numFmtId="0" fontId="1" fillId="0" borderId="51" xfId="0" applyFont="1" applyFill="1" applyBorder="1" applyAlignment="1">
      <alignment vertical="center"/>
    </xf>
    <xf numFmtId="3" fontId="1" fillId="0" borderId="59" xfId="0" applyNumberFormat="1" applyFont="1" applyFill="1" applyBorder="1" applyAlignment="1" quotePrefix="1">
      <alignment vertical="center"/>
    </xf>
    <xf numFmtId="3" fontId="1" fillId="0" borderId="60" xfId="0" applyNumberFormat="1" applyFont="1" applyFill="1" applyBorder="1" applyAlignment="1" quotePrefix="1">
      <alignment vertical="center"/>
    </xf>
    <xf numFmtId="0" fontId="1" fillId="0" borderId="59" xfId="0" applyNumberFormat="1" applyFont="1" applyFill="1" applyBorder="1" applyAlignment="1" quotePrefix="1">
      <alignment vertical="center"/>
    </xf>
    <xf numFmtId="0" fontId="1" fillId="0" borderId="59" xfId="0" applyFont="1" applyFill="1" applyBorder="1" applyAlignment="1">
      <alignment vertical="center"/>
    </xf>
    <xf numFmtId="3" fontId="1" fillId="0" borderId="61" xfId="0" applyNumberFormat="1" applyFont="1" applyFill="1" applyBorder="1" applyAlignment="1" quotePrefix="1">
      <alignment vertical="center"/>
    </xf>
    <xf numFmtId="164" fontId="1" fillId="0" borderId="59" xfId="0" applyNumberFormat="1" applyFont="1" applyFill="1" applyBorder="1" applyAlignment="1">
      <alignment vertical="center"/>
    </xf>
    <xf numFmtId="164" fontId="1" fillId="0" borderId="60" xfId="0" applyNumberFormat="1" applyFont="1" applyFill="1" applyBorder="1" applyAlignment="1">
      <alignment vertical="center"/>
    </xf>
    <xf numFmtId="3" fontId="1" fillId="0" borderId="62" xfId="0" applyNumberFormat="1" applyFont="1" applyFill="1" applyBorder="1" applyAlignment="1">
      <alignment vertical="center"/>
    </xf>
    <xf numFmtId="164" fontId="1" fillId="0" borderId="63" xfId="0" applyNumberFormat="1" applyFont="1" applyFill="1" applyBorder="1" applyAlignment="1">
      <alignment vertical="center"/>
    </xf>
    <xf numFmtId="3" fontId="1" fillId="0" borderId="63" xfId="0" applyNumberFormat="1" applyFont="1" applyFill="1" applyBorder="1" applyAlignment="1">
      <alignment vertical="center"/>
    </xf>
    <xf numFmtId="3" fontId="1" fillId="0" borderId="64" xfId="0" applyNumberFormat="1" applyFont="1" applyFill="1" applyBorder="1" applyAlignment="1">
      <alignment vertical="center"/>
    </xf>
    <xf numFmtId="165" fontId="1" fillId="0" borderId="61" xfId="0" applyNumberFormat="1" applyFont="1" applyFill="1" applyBorder="1" applyAlignment="1">
      <alignment vertical="center"/>
    </xf>
    <xf numFmtId="165" fontId="1" fillId="0" borderId="60" xfId="0" applyNumberFormat="1" applyFont="1" applyFill="1" applyBorder="1" applyAlignment="1">
      <alignment vertical="center"/>
    </xf>
    <xf numFmtId="164" fontId="1" fillId="0" borderId="65" xfId="0" applyNumberFormat="1" applyFont="1" applyFill="1" applyBorder="1" applyAlignment="1">
      <alignment vertical="center"/>
    </xf>
    <xf numFmtId="0" fontId="1" fillId="0" borderId="65" xfId="0" applyFont="1" applyFill="1" applyBorder="1" applyAlignment="1">
      <alignment vertical="center"/>
    </xf>
    <xf numFmtId="164" fontId="1" fillId="0" borderId="66" xfId="0" applyNumberFormat="1" applyFont="1" applyFill="1" applyBorder="1" applyAlignment="1">
      <alignment vertical="center"/>
    </xf>
    <xf numFmtId="3" fontId="1" fillId="0" borderId="39" xfId="0" applyNumberFormat="1" applyFont="1" applyFill="1" applyBorder="1" applyAlignment="1">
      <alignment vertical="center"/>
    </xf>
    <xf numFmtId="165" fontId="1" fillId="0" borderId="39" xfId="0" applyNumberFormat="1" applyFont="1" applyFill="1" applyBorder="1" applyAlignment="1">
      <alignment vertical="center"/>
    </xf>
    <xf numFmtId="165" fontId="1" fillId="0" borderId="38" xfId="0" applyNumberFormat="1" applyFont="1" applyFill="1" applyBorder="1" applyAlignment="1">
      <alignment vertical="center"/>
    </xf>
    <xf numFmtId="164" fontId="1" fillId="0" borderId="67" xfId="0" applyNumberFormat="1" applyFont="1" applyFill="1" applyBorder="1" applyAlignment="1">
      <alignment vertical="center"/>
    </xf>
    <xf numFmtId="3" fontId="1" fillId="0" borderId="18" xfId="0" applyNumberFormat="1" applyFont="1" applyFill="1" applyBorder="1" applyAlignment="1">
      <alignment vertical="center"/>
    </xf>
    <xf numFmtId="0" fontId="1" fillId="0" borderId="34" xfId="0" applyNumberFormat="1" applyFont="1" applyFill="1" applyBorder="1" applyAlignment="1" quotePrefix="1">
      <alignment vertical="center" wrapText="1"/>
    </xf>
    <xf numFmtId="2" fontId="1" fillId="0" borderId="0" xfId="0" applyNumberFormat="1" applyFont="1" applyFill="1" applyAlignment="1">
      <alignment vertical="center"/>
    </xf>
    <xf numFmtId="2" fontId="1" fillId="0" borderId="0" xfId="0" applyNumberFormat="1" applyFont="1" applyFill="1" applyAlignment="1">
      <alignment vertical="center" wrapText="1"/>
    </xf>
    <xf numFmtId="2" fontId="1" fillId="0" borderId="0" xfId="0" applyNumberFormat="1" applyFont="1" applyFill="1" applyBorder="1" applyAlignment="1">
      <alignment vertical="center"/>
    </xf>
    <xf numFmtId="4" fontId="1" fillId="0" borderId="0" xfId="0" applyNumberFormat="1" applyFont="1" applyFill="1" applyAlignment="1">
      <alignment vertical="center"/>
    </xf>
    <xf numFmtId="4" fontId="1" fillId="0" borderId="0" xfId="0" applyNumberFormat="1" applyFont="1" applyFill="1" applyAlignment="1">
      <alignment vertical="center" wrapText="1"/>
    </xf>
    <xf numFmtId="4" fontId="1" fillId="0" borderId="0" xfId="0" applyNumberFormat="1" applyFont="1" applyFill="1" applyBorder="1" applyAlignment="1">
      <alignment horizontal="center" vertical="center"/>
    </xf>
    <xf numFmtId="167" fontId="1" fillId="2" borderId="13" xfId="0" applyNumberFormat="1" applyFont="1" applyFill="1" applyBorder="1" applyAlignment="1">
      <alignment horizontal="right" vertical="center"/>
    </xf>
    <xf numFmtId="167" fontId="1" fillId="2" borderId="63" xfId="0" applyNumberFormat="1" applyFont="1" applyFill="1" applyBorder="1" applyAlignment="1">
      <alignment horizontal="center" vertical="center" wrapText="1"/>
    </xf>
    <xf numFmtId="167" fontId="1" fillId="2" borderId="22" xfId="0" applyNumberFormat="1" applyFont="1" applyFill="1" applyBorder="1" applyAlignment="1">
      <alignment horizontal="right" vertical="center"/>
    </xf>
    <xf numFmtId="167" fontId="1" fillId="0" borderId="16" xfId="0" applyNumberFormat="1" applyFont="1" applyFill="1" applyBorder="1" applyAlignment="1">
      <alignment horizontal="right" vertical="center"/>
    </xf>
    <xf numFmtId="2" fontId="1" fillId="0" borderId="16" xfId="0" applyNumberFormat="1" applyFont="1" applyFill="1" applyBorder="1" applyAlignment="1">
      <alignment horizontal="right" vertical="center"/>
    </xf>
    <xf numFmtId="3" fontId="1" fillId="0" borderId="1" xfId="0" applyNumberFormat="1" applyFont="1" applyFill="1" applyBorder="1" applyAlignment="1">
      <alignment horizontal="right" vertical="center"/>
    </xf>
    <xf numFmtId="2" fontId="1" fillId="0" borderId="1" xfId="0" applyNumberFormat="1" applyFont="1" applyFill="1" applyBorder="1" applyAlignment="1">
      <alignment horizontal="right" vertical="center"/>
    </xf>
    <xf numFmtId="3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right" vertical="center"/>
    </xf>
    <xf numFmtId="2" fontId="1" fillId="0" borderId="1" xfId="0" applyNumberFormat="1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3" fontId="1" fillId="0" borderId="11" xfId="0" applyNumberFormat="1" applyFont="1" applyFill="1" applyBorder="1" applyAlignment="1">
      <alignment horizontal="right" vertical="center"/>
    </xf>
    <xf numFmtId="2" fontId="1" fillId="0" borderId="11" xfId="0" applyNumberFormat="1" applyFont="1" applyFill="1" applyBorder="1" applyAlignment="1">
      <alignment horizontal="right" vertical="center"/>
    </xf>
    <xf numFmtId="3" fontId="1" fillId="0" borderId="11" xfId="0" applyNumberFormat="1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right" vertical="center"/>
    </xf>
    <xf numFmtId="2" fontId="1" fillId="0" borderId="11" xfId="0" applyNumberFormat="1" applyFont="1" applyFill="1" applyBorder="1" applyAlignment="1">
      <alignment vertical="center"/>
    </xf>
    <xf numFmtId="0" fontId="1" fillId="0" borderId="21" xfId="0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horizontal="right" vertical="center"/>
    </xf>
    <xf numFmtId="2" fontId="1" fillId="0" borderId="10" xfId="0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right" vertical="center"/>
    </xf>
    <xf numFmtId="2" fontId="1" fillId="0" borderId="10" xfId="0" applyNumberFormat="1" applyFont="1" applyFill="1" applyBorder="1" applyAlignment="1">
      <alignment vertical="center"/>
    </xf>
    <xf numFmtId="0" fontId="1" fillId="0" borderId="36" xfId="0" applyFont="1" applyFill="1" applyBorder="1" applyAlignment="1">
      <alignment vertical="center"/>
    </xf>
    <xf numFmtId="0" fontId="1" fillId="0" borderId="68" xfId="0" applyFont="1" applyFill="1" applyBorder="1" applyAlignment="1">
      <alignment vertical="center"/>
    </xf>
    <xf numFmtId="167" fontId="1" fillId="0" borderId="44" xfId="0" applyNumberFormat="1" applyFont="1" applyFill="1" applyBorder="1" applyAlignment="1">
      <alignment horizontal="right" vertical="center"/>
    </xf>
    <xf numFmtId="167" fontId="1" fillId="0" borderId="32" xfId="0" applyNumberFormat="1" applyFont="1" applyFill="1" applyBorder="1" applyAlignment="1">
      <alignment horizontal="right" vertical="center"/>
    </xf>
    <xf numFmtId="167" fontId="1" fillId="2" borderId="23" xfId="0" applyNumberFormat="1" applyFont="1" applyFill="1" applyBorder="1" applyAlignment="1">
      <alignment horizontal="right" vertical="center"/>
    </xf>
    <xf numFmtId="3" fontId="1" fillId="0" borderId="51" xfId="0" applyNumberFormat="1" applyFont="1" applyFill="1" applyBorder="1" applyAlignment="1">
      <alignment horizontal="right" vertical="center"/>
    </xf>
    <xf numFmtId="164" fontId="1" fillId="0" borderId="51" xfId="0" applyNumberFormat="1" applyFont="1" applyFill="1" applyBorder="1" applyAlignment="1">
      <alignment horizontal="right" vertical="center"/>
    </xf>
    <xf numFmtId="2" fontId="1" fillId="0" borderId="51" xfId="0" applyNumberFormat="1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167" fontId="1" fillId="0" borderId="37" xfId="0" applyNumberFormat="1" applyFont="1" applyFill="1" applyBorder="1" applyAlignment="1">
      <alignment horizontal="right" vertical="center"/>
    </xf>
    <xf numFmtId="167" fontId="1" fillId="2" borderId="4" xfId="0" applyNumberFormat="1" applyFont="1" applyFill="1" applyBorder="1" applyAlignment="1">
      <alignment horizontal="right" vertical="center"/>
    </xf>
    <xf numFmtId="0" fontId="1" fillId="0" borderId="14" xfId="0" applyFont="1" applyFill="1" applyBorder="1" applyAlignment="1">
      <alignment vertical="center"/>
    </xf>
    <xf numFmtId="2" fontId="1" fillId="0" borderId="15" xfId="0" applyNumberFormat="1" applyFont="1" applyFill="1" applyBorder="1" applyAlignment="1">
      <alignment vertical="center"/>
    </xf>
    <xf numFmtId="4" fontId="1" fillId="0" borderId="18" xfId="0" applyNumberFormat="1" applyFont="1" applyFill="1" applyBorder="1" applyAlignment="1">
      <alignment vertical="center"/>
    </xf>
    <xf numFmtId="4" fontId="1" fillId="0" borderId="8" xfId="0" applyNumberFormat="1" applyFont="1" applyFill="1" applyBorder="1" applyAlignment="1">
      <alignment vertical="center"/>
    </xf>
    <xf numFmtId="4" fontId="1" fillId="0" borderId="36" xfId="0" applyNumberFormat="1" applyFont="1" applyFill="1" applyBorder="1" applyAlignment="1">
      <alignment vertical="center"/>
    </xf>
    <xf numFmtId="4" fontId="1" fillId="0" borderId="7" xfId="0" applyNumberFormat="1" applyFont="1" applyFill="1" applyBorder="1" applyAlignment="1">
      <alignment vertical="center"/>
    </xf>
    <xf numFmtId="3" fontId="1" fillId="0" borderId="16" xfId="0" applyNumberFormat="1" applyFont="1" applyFill="1" applyBorder="1" applyAlignment="1">
      <alignment horizontal="center" vertical="center"/>
    </xf>
    <xf numFmtId="167" fontId="1" fillId="0" borderId="63" xfId="0" applyNumberFormat="1" applyFont="1" applyFill="1" applyBorder="1" applyAlignment="1">
      <alignment horizontal="center" vertical="center" wrapText="1"/>
    </xf>
    <xf numFmtId="3" fontId="1" fillId="0" borderId="62" xfId="0" applyNumberFormat="1" applyFont="1" applyFill="1" applyBorder="1" applyAlignment="1">
      <alignment horizontal="center" vertical="center" wrapText="1"/>
    </xf>
    <xf numFmtId="2" fontId="1" fillId="0" borderId="62" xfId="0" applyNumberFormat="1" applyFont="1" applyFill="1" applyBorder="1" applyAlignment="1">
      <alignment horizontal="center" vertical="center" wrapText="1"/>
    </xf>
    <xf numFmtId="164" fontId="1" fillId="0" borderId="61" xfId="0" applyNumberFormat="1" applyFont="1" applyFill="1" applyBorder="1" applyAlignment="1">
      <alignment vertical="center" wrapText="1"/>
    </xf>
    <xf numFmtId="3" fontId="1" fillId="0" borderId="63" xfId="0" applyNumberFormat="1" applyFont="1" applyFill="1" applyBorder="1" applyAlignment="1">
      <alignment horizontal="center" vertical="center" wrapText="1"/>
    </xf>
    <xf numFmtId="164" fontId="1" fillId="0" borderId="63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vertical="center"/>
    </xf>
    <xf numFmtId="0" fontId="1" fillId="0" borderId="18" xfId="0" applyNumberFormat="1" applyFont="1" applyFill="1" applyBorder="1" applyAlignment="1" quotePrefix="1">
      <alignment vertical="center" wrapText="1"/>
    </xf>
    <xf numFmtId="0" fontId="1" fillId="0" borderId="11" xfId="0" applyNumberFormat="1" applyFont="1" applyFill="1" applyBorder="1" applyAlignment="1" quotePrefix="1">
      <alignment vertical="center" wrapText="1"/>
    </xf>
    <xf numFmtId="165" fontId="1" fillId="0" borderId="36" xfId="0" applyNumberFormat="1" applyFont="1" applyFill="1" applyBorder="1" applyAlignment="1">
      <alignment vertical="center"/>
    </xf>
    <xf numFmtId="165" fontId="1" fillId="0" borderId="7" xfId="0" applyNumberFormat="1" applyFont="1" applyFill="1" applyBorder="1" applyAlignment="1">
      <alignment vertical="center"/>
    </xf>
    <xf numFmtId="0" fontId="1" fillId="0" borderId="21" xfId="0" applyNumberFormat="1" applyFont="1" applyFill="1" applyBorder="1" applyAlignment="1" quotePrefix="1">
      <alignment vertical="center" wrapText="1"/>
    </xf>
    <xf numFmtId="0" fontId="1" fillId="0" borderId="10" xfId="0" applyNumberFormat="1" applyFont="1" applyFill="1" applyBorder="1" applyAlignment="1" quotePrefix="1">
      <alignment vertical="center" wrapText="1"/>
    </xf>
    <xf numFmtId="165" fontId="1" fillId="0" borderId="68" xfId="0" applyNumberFormat="1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vertical="center" wrapText="1"/>
    </xf>
    <xf numFmtId="0" fontId="1" fillId="0" borderId="69" xfId="0" applyNumberFormat="1" applyFont="1" applyFill="1" applyBorder="1" applyAlignment="1" quotePrefix="1">
      <alignment vertical="center" wrapText="1"/>
    </xf>
    <xf numFmtId="0" fontId="1" fillId="0" borderId="70" xfId="0" applyNumberFormat="1" applyFont="1" applyFill="1" applyBorder="1" applyAlignment="1">
      <alignment vertical="center" wrapText="1"/>
    </xf>
    <xf numFmtId="0" fontId="1" fillId="0" borderId="53" xfId="0" applyNumberFormat="1" applyFont="1" applyFill="1" applyBorder="1" applyAlignment="1" quotePrefix="1">
      <alignment vertical="center" wrapText="1"/>
    </xf>
    <xf numFmtId="0" fontId="1" fillId="0" borderId="51" xfId="0" applyNumberFormat="1" applyFont="1" applyFill="1" applyBorder="1" applyAlignment="1">
      <alignment vertical="center" wrapText="1"/>
    </xf>
    <xf numFmtId="165" fontId="1" fillId="0" borderId="58" xfId="0" applyNumberFormat="1" applyFont="1" applyFill="1" applyBorder="1" applyAlignment="1">
      <alignment vertical="center"/>
    </xf>
    <xf numFmtId="0" fontId="1" fillId="0" borderId="61" xfId="0" applyNumberFormat="1" applyFont="1" applyFill="1" applyBorder="1" applyAlignment="1" quotePrefix="1">
      <alignment vertical="center" wrapText="1"/>
    </xf>
    <xf numFmtId="0" fontId="1" fillId="0" borderId="59" xfId="0" applyNumberFormat="1" applyFont="1" applyFill="1" applyBorder="1" applyAlignment="1" quotePrefix="1">
      <alignment vertical="center" wrapText="1"/>
    </xf>
    <xf numFmtId="165" fontId="1" fillId="0" borderId="64" xfId="0" applyNumberFormat="1" applyFont="1" applyFill="1" applyBorder="1" applyAlignment="1">
      <alignment vertical="center"/>
    </xf>
    <xf numFmtId="0" fontId="1" fillId="0" borderId="19" xfId="0" applyNumberFormat="1" applyFont="1" applyFill="1" applyBorder="1" applyAlignment="1" quotePrefix="1">
      <alignment vertical="center" wrapText="1"/>
    </xf>
    <xf numFmtId="0" fontId="1" fillId="0" borderId="12" xfId="0" applyNumberFormat="1" applyFont="1" applyFill="1" applyBorder="1" applyAlignment="1" quotePrefix="1">
      <alignment vertical="center" wrapText="1"/>
    </xf>
    <xf numFmtId="0" fontId="1" fillId="0" borderId="51" xfId="0" applyNumberFormat="1" applyFont="1" applyFill="1" applyBorder="1" applyAlignment="1" quotePrefix="1">
      <alignment vertical="center" wrapText="1"/>
    </xf>
    <xf numFmtId="165" fontId="1" fillId="0" borderId="71" xfId="0" applyNumberFormat="1" applyFont="1" applyFill="1" applyBorder="1" applyAlignment="1">
      <alignment vertical="center"/>
    </xf>
    <xf numFmtId="167" fontId="3" fillId="0" borderId="13" xfId="0" applyNumberFormat="1" applyFont="1" applyFill="1" applyBorder="1" applyAlignment="1">
      <alignment horizontal="right" vertical="center"/>
    </xf>
    <xf numFmtId="3" fontId="1" fillId="0" borderId="59" xfId="0" applyNumberFormat="1" applyFont="1" applyFill="1" applyBorder="1" applyAlignment="1" quotePrefix="1">
      <alignment horizontal="center" vertical="center" wrapText="1"/>
    </xf>
    <xf numFmtId="3" fontId="1" fillId="0" borderId="59" xfId="0" applyNumberFormat="1" applyFont="1" applyFill="1" applyBorder="1" applyAlignment="1">
      <alignment horizontal="center" vertical="center" wrapText="1"/>
    </xf>
    <xf numFmtId="3" fontId="1" fillId="0" borderId="24" xfId="0" applyNumberFormat="1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center" vertical="center"/>
    </xf>
    <xf numFmtId="3" fontId="1" fillId="0" borderId="25" xfId="0" applyNumberFormat="1" applyFont="1" applyFill="1" applyBorder="1" applyAlignment="1">
      <alignment horizontal="center" vertical="center"/>
    </xf>
    <xf numFmtId="3" fontId="1" fillId="0" borderId="55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vertical="center" wrapText="1"/>
    </xf>
    <xf numFmtId="4" fontId="1" fillId="0" borderId="21" xfId="0" applyNumberFormat="1" applyFont="1" applyFill="1" applyBorder="1" applyAlignment="1">
      <alignment vertical="center"/>
    </xf>
    <xf numFmtId="4" fontId="1" fillId="0" borderId="68" xfId="0" applyNumberFormat="1" applyFont="1" applyFill="1" applyBorder="1" applyAlignment="1">
      <alignment vertical="center"/>
    </xf>
    <xf numFmtId="0" fontId="1" fillId="0" borderId="19" xfId="0" applyFont="1" applyFill="1" applyBorder="1" applyAlignment="1">
      <alignment vertical="center"/>
    </xf>
    <xf numFmtId="0" fontId="1" fillId="0" borderId="72" xfId="0" applyFont="1" applyFill="1" applyBorder="1" applyAlignment="1">
      <alignment vertical="center"/>
    </xf>
    <xf numFmtId="167" fontId="1" fillId="0" borderId="73" xfId="0" applyNumberFormat="1" applyFont="1" applyFill="1" applyBorder="1" applyAlignment="1">
      <alignment horizontal="right" vertical="center"/>
    </xf>
    <xf numFmtId="3" fontId="1" fillId="0" borderId="12" xfId="0" applyNumberFormat="1" applyFont="1" applyFill="1" applyBorder="1" applyAlignment="1">
      <alignment horizontal="right" vertical="center"/>
    </xf>
    <xf numFmtId="2" fontId="1" fillId="0" borderId="12" xfId="0" applyNumberFormat="1" applyFont="1" applyFill="1" applyBorder="1" applyAlignment="1">
      <alignment horizontal="right" vertical="center"/>
    </xf>
    <xf numFmtId="3" fontId="1" fillId="0" borderId="12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vertical="center" wrapText="1"/>
    </xf>
    <xf numFmtId="167" fontId="3" fillId="0" borderId="14" xfId="0" applyNumberFormat="1" applyFont="1" applyFill="1" applyBorder="1" applyAlignment="1">
      <alignment horizontal="right" vertical="center"/>
    </xf>
    <xf numFmtId="167" fontId="3" fillId="0" borderId="57" xfId="0" applyNumberFormat="1" applyFont="1" applyFill="1" applyBorder="1" applyAlignment="1">
      <alignment horizontal="right" vertical="center"/>
    </xf>
    <xf numFmtId="167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3" fontId="7" fillId="0" borderId="0" xfId="0" applyNumberFormat="1" applyFont="1" applyFill="1" applyAlignment="1">
      <alignment vertical="center" wrapText="1"/>
    </xf>
    <xf numFmtId="3" fontId="1" fillId="0" borderId="14" xfId="0" applyNumberFormat="1" applyFont="1" applyFill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dxfs count="1">
    <dxf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194"/>
  <sheetViews>
    <sheetView tabSelected="1" view="pageBreakPreview" zoomScale="85" zoomScaleSheetLayoutView="85" workbookViewId="0" topLeftCell="A1">
      <pane ySplit="6" topLeftCell="BM97" activePane="bottomLeft" state="frozen"/>
      <selection pane="topLeft" activeCell="A1" sqref="A1"/>
      <selection pane="bottomLeft" activeCell="CA141" sqref="CA141"/>
    </sheetView>
  </sheetViews>
  <sheetFormatPr defaultColWidth="9.00390625" defaultRowHeight="12.75"/>
  <cols>
    <col min="1" max="1" width="9.00390625" style="35" customWidth="1"/>
    <col min="2" max="2" width="18.875" style="35" customWidth="1"/>
    <col min="3" max="3" width="0" style="35" hidden="1" customWidth="1"/>
    <col min="4" max="4" width="11.00390625" style="35" customWidth="1"/>
    <col min="5" max="5" width="25.125" style="35" customWidth="1"/>
    <col min="6" max="6" width="0" style="13" hidden="1" customWidth="1"/>
    <col min="7" max="13" width="9.125" style="13" hidden="1" customWidth="1"/>
    <col min="14" max="15" width="9.75390625" style="13" hidden="1" customWidth="1"/>
    <col min="16" max="17" width="9.875" style="13" hidden="1" customWidth="1"/>
    <col min="18" max="18" width="12.625" style="18" hidden="1" customWidth="1"/>
    <col min="19" max="19" width="10.125" style="18" hidden="1" customWidth="1"/>
    <col min="20" max="20" width="11.875" style="18" hidden="1" customWidth="1"/>
    <col min="21" max="21" width="10.625" style="18" hidden="1" customWidth="1"/>
    <col min="22" max="23" width="11.00390625" style="18" hidden="1" customWidth="1"/>
    <col min="24" max="24" width="10.875" style="18" hidden="1" customWidth="1"/>
    <col min="25" max="26" width="10.375" style="18" hidden="1" customWidth="1"/>
    <col min="27" max="27" width="11.75390625" style="18" hidden="1" customWidth="1"/>
    <col min="28" max="28" width="11.375" style="18" customWidth="1"/>
    <col min="29" max="29" width="10.625" style="18" customWidth="1"/>
    <col min="30" max="32" width="11.875" style="18" hidden="1" customWidth="1"/>
    <col min="33" max="33" width="13.125" style="18" hidden="1" customWidth="1"/>
    <col min="34" max="35" width="11.625" style="18" hidden="1" customWidth="1"/>
    <col min="36" max="36" width="13.125" style="18" hidden="1" customWidth="1"/>
    <col min="37" max="37" width="10.875" style="18" hidden="1" customWidth="1"/>
    <col min="38" max="38" width="10.25390625" style="18" hidden="1" customWidth="1"/>
    <col min="39" max="39" width="13.375" style="18" hidden="1" customWidth="1"/>
    <col min="40" max="41" width="12.75390625" style="18" hidden="1" customWidth="1"/>
    <col min="42" max="42" width="13.375" style="18" hidden="1" customWidth="1"/>
    <col min="43" max="44" width="12.375" style="18" hidden="1" customWidth="1"/>
    <col min="45" max="45" width="11.875" style="18" hidden="1" customWidth="1"/>
    <col min="46" max="47" width="12.375" style="18" hidden="1" customWidth="1"/>
    <col min="48" max="48" width="11.375" style="18" hidden="1" customWidth="1"/>
    <col min="49" max="49" width="12.00390625" style="18" customWidth="1"/>
    <col min="50" max="50" width="11.375" style="18" customWidth="1"/>
    <col min="51" max="51" width="1.37890625" style="18" customWidth="1"/>
    <col min="52" max="53" width="12.25390625" style="18" hidden="1" customWidth="1"/>
    <col min="54" max="55" width="9.875" style="13" hidden="1" customWidth="1"/>
    <col min="56" max="57" width="13.00390625" style="13" hidden="1" customWidth="1"/>
    <col min="58" max="58" width="1.12109375" style="13" hidden="1" customWidth="1"/>
    <col min="59" max="60" width="12.25390625" style="18" hidden="1" customWidth="1"/>
    <col min="61" max="62" width="9.875" style="13" hidden="1" customWidth="1"/>
    <col min="63" max="64" width="14.25390625" style="18" hidden="1" customWidth="1"/>
    <col min="65" max="66" width="10.25390625" style="18" hidden="1" customWidth="1"/>
    <col min="67" max="68" width="13.25390625" style="18" hidden="1" customWidth="1"/>
    <col min="69" max="70" width="17.75390625" style="18" hidden="1" customWidth="1"/>
    <col min="71" max="71" width="1.875" style="13" hidden="1" customWidth="1"/>
    <col min="72" max="73" width="12.125" style="13" hidden="1" customWidth="1"/>
    <col min="74" max="75" width="16.25390625" style="13" hidden="1" customWidth="1"/>
    <col min="76" max="76" width="13.125" style="190" customWidth="1"/>
    <col min="77" max="77" width="13.00390625" style="190" hidden="1" customWidth="1"/>
    <col min="78" max="78" width="7.00390625" style="190" hidden="1" customWidth="1"/>
    <col min="79" max="79" width="13.75390625" style="24" customWidth="1"/>
    <col min="80" max="80" width="12.625" style="24" hidden="1" customWidth="1"/>
    <col min="81" max="81" width="14.00390625" style="29" hidden="1" customWidth="1"/>
    <col min="82" max="82" width="14.125" style="25" hidden="1" customWidth="1"/>
    <col min="83" max="83" width="13.75390625" style="29" hidden="1" customWidth="1"/>
    <col min="84" max="84" width="17.125" style="29" hidden="1" customWidth="1"/>
    <col min="85" max="85" width="13.25390625" style="29" hidden="1" customWidth="1"/>
    <col min="86" max="86" width="6.00390625" style="85" customWidth="1"/>
    <col min="87" max="87" width="7.875" style="85" customWidth="1"/>
    <col min="88" max="89" width="12.125" style="34" hidden="1" customWidth="1"/>
    <col min="90" max="90" width="6.375" style="34" hidden="1" customWidth="1"/>
    <col min="91" max="91" width="13.25390625" style="29" hidden="1" customWidth="1"/>
    <col min="92" max="92" width="4.25390625" style="29" hidden="1" customWidth="1"/>
    <col min="93" max="94" width="13.25390625" style="29" hidden="1" customWidth="1"/>
    <col min="95" max="95" width="13.25390625" style="152" hidden="1" customWidth="1"/>
    <col min="96" max="97" width="9.125" style="13" hidden="1" customWidth="1"/>
    <col min="98" max="98" width="3.625" style="13" hidden="1" customWidth="1"/>
    <col min="99" max="99" width="4.00390625" style="187" hidden="1" customWidth="1"/>
    <col min="100" max="100" width="8.875" style="13" hidden="1" customWidth="1"/>
    <col min="101" max="101" width="13.00390625" style="13" hidden="1" customWidth="1"/>
    <col min="102" max="104" width="9.125" style="13" hidden="1" customWidth="1"/>
    <col min="105" max="16384" width="9.125" style="13" customWidth="1"/>
  </cols>
  <sheetData>
    <row r="1" ht="12">
      <c r="CI1" s="29" t="s">
        <v>312</v>
      </c>
    </row>
    <row r="2" ht="12">
      <c r="CI2" s="29" t="s">
        <v>296</v>
      </c>
    </row>
    <row r="3" spans="1:50" ht="15">
      <c r="A3" s="286" t="s">
        <v>310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7"/>
      <c r="V3" s="287"/>
      <c r="W3" s="287"/>
      <c r="X3" s="287"/>
      <c r="Y3" s="287"/>
      <c r="Z3" s="287"/>
      <c r="AA3" s="287"/>
      <c r="AB3" s="287"/>
      <c r="AC3" s="287"/>
      <c r="AD3" s="287"/>
      <c r="AE3" s="287"/>
      <c r="AF3" s="287"/>
      <c r="AG3" s="287"/>
      <c r="AH3" s="287"/>
      <c r="AI3" s="287"/>
      <c r="AJ3" s="287"/>
      <c r="AK3" s="287"/>
      <c r="AL3" s="287"/>
      <c r="AM3" s="287"/>
      <c r="AN3" s="287"/>
      <c r="AO3" s="287"/>
      <c r="AP3" s="287"/>
      <c r="AQ3" s="287"/>
      <c r="AR3" s="287"/>
      <c r="AS3" s="287"/>
      <c r="AT3" s="287"/>
      <c r="AU3" s="287"/>
      <c r="AV3" s="287"/>
      <c r="AW3" s="287"/>
      <c r="AX3" s="287"/>
    </row>
    <row r="4" spans="1:86" ht="12">
      <c r="A4" s="288" t="s">
        <v>309</v>
      </c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89"/>
      <c r="R4" s="289"/>
      <c r="S4" s="289"/>
      <c r="T4" s="289"/>
      <c r="U4" s="289"/>
      <c r="V4" s="289"/>
      <c r="W4" s="289"/>
      <c r="X4" s="289"/>
      <c r="Y4" s="289"/>
      <c r="Z4" s="289"/>
      <c r="AA4" s="289"/>
      <c r="AB4" s="289"/>
      <c r="AC4" s="289"/>
      <c r="AD4" s="289"/>
      <c r="AE4" s="289"/>
      <c r="AF4" s="289"/>
      <c r="AG4" s="289"/>
      <c r="AH4" s="289"/>
      <c r="AI4" s="289"/>
      <c r="AJ4" s="289"/>
      <c r="AK4" s="289"/>
      <c r="AL4" s="289"/>
      <c r="AM4" s="289"/>
      <c r="AN4" s="289"/>
      <c r="AO4" s="289"/>
      <c r="AP4" s="289"/>
      <c r="AQ4" s="289"/>
      <c r="AR4" s="289"/>
      <c r="AS4" s="289"/>
      <c r="AT4" s="289"/>
      <c r="AU4" s="289"/>
      <c r="AV4" s="289"/>
      <c r="AW4" s="289"/>
      <c r="AX4" s="289"/>
      <c r="AY4" s="290"/>
      <c r="AZ4" s="290"/>
      <c r="BA4" s="290"/>
      <c r="BB4" s="290"/>
      <c r="BC4" s="290"/>
      <c r="BD4" s="290"/>
      <c r="BE4" s="290"/>
      <c r="BF4" s="290"/>
      <c r="BG4" s="290"/>
      <c r="BH4" s="290"/>
      <c r="BI4" s="290"/>
      <c r="BJ4" s="290"/>
      <c r="BK4" s="290"/>
      <c r="BL4" s="290"/>
      <c r="BM4" s="290"/>
      <c r="BN4" s="290"/>
      <c r="BO4" s="290"/>
      <c r="BP4" s="290"/>
      <c r="BQ4" s="290"/>
      <c r="BR4" s="290"/>
      <c r="BS4" s="290"/>
      <c r="BT4" s="290"/>
      <c r="BU4" s="290"/>
      <c r="BV4" s="290"/>
      <c r="BW4" s="290"/>
      <c r="BX4" s="290"/>
      <c r="BY4" s="290"/>
      <c r="BZ4" s="290"/>
      <c r="CA4" s="290"/>
      <c r="CB4" s="290"/>
      <c r="CC4" s="290"/>
      <c r="CD4" s="290"/>
      <c r="CE4" s="290"/>
      <c r="CF4" s="290"/>
      <c r="CG4" s="290"/>
      <c r="CH4" s="290"/>
    </row>
    <row r="5" spans="1:86" ht="27.75" customHeight="1" thickBot="1">
      <c r="A5" s="289"/>
      <c r="B5" s="289"/>
      <c r="C5" s="289"/>
      <c r="D5" s="289"/>
      <c r="E5" s="289"/>
      <c r="F5" s="289"/>
      <c r="G5" s="289"/>
      <c r="H5" s="289"/>
      <c r="I5" s="289"/>
      <c r="J5" s="289"/>
      <c r="K5" s="289"/>
      <c r="L5" s="289"/>
      <c r="M5" s="289"/>
      <c r="N5" s="289"/>
      <c r="O5" s="289"/>
      <c r="P5" s="289"/>
      <c r="Q5" s="289"/>
      <c r="R5" s="289"/>
      <c r="S5" s="289"/>
      <c r="T5" s="289"/>
      <c r="U5" s="289"/>
      <c r="V5" s="289"/>
      <c r="W5" s="289"/>
      <c r="X5" s="289"/>
      <c r="Y5" s="289"/>
      <c r="Z5" s="289"/>
      <c r="AA5" s="289"/>
      <c r="AB5" s="289"/>
      <c r="AC5" s="289"/>
      <c r="AD5" s="289"/>
      <c r="AE5" s="289"/>
      <c r="AF5" s="289"/>
      <c r="AG5" s="289"/>
      <c r="AH5" s="289"/>
      <c r="AI5" s="289"/>
      <c r="AJ5" s="289"/>
      <c r="AK5" s="289"/>
      <c r="AL5" s="289"/>
      <c r="AM5" s="289"/>
      <c r="AN5" s="289"/>
      <c r="AO5" s="289"/>
      <c r="AP5" s="289"/>
      <c r="AQ5" s="289"/>
      <c r="AR5" s="289"/>
      <c r="AS5" s="289"/>
      <c r="AT5" s="289"/>
      <c r="AU5" s="289"/>
      <c r="AV5" s="289"/>
      <c r="AW5" s="289"/>
      <c r="AX5" s="289"/>
      <c r="AY5" s="290"/>
      <c r="AZ5" s="290"/>
      <c r="BA5" s="290"/>
      <c r="BB5" s="290"/>
      <c r="BC5" s="290"/>
      <c r="BD5" s="290"/>
      <c r="BE5" s="290"/>
      <c r="BF5" s="290"/>
      <c r="BG5" s="290"/>
      <c r="BH5" s="290"/>
      <c r="BI5" s="290"/>
      <c r="BJ5" s="290"/>
      <c r="BK5" s="290"/>
      <c r="BL5" s="290"/>
      <c r="BM5" s="290"/>
      <c r="BN5" s="290"/>
      <c r="BO5" s="290"/>
      <c r="BP5" s="290"/>
      <c r="BQ5" s="290"/>
      <c r="BR5" s="290"/>
      <c r="BS5" s="290"/>
      <c r="BT5" s="290"/>
      <c r="BU5" s="290"/>
      <c r="BV5" s="290"/>
      <c r="BW5" s="290"/>
      <c r="BX5" s="290"/>
      <c r="BY5" s="290"/>
      <c r="BZ5" s="290"/>
      <c r="CA5" s="290"/>
      <c r="CB5" s="290"/>
      <c r="CC5" s="290"/>
      <c r="CD5" s="290"/>
      <c r="CE5" s="290"/>
      <c r="CF5" s="290"/>
      <c r="CG5" s="290"/>
      <c r="CH5" s="290"/>
    </row>
    <row r="6" spans="1:104" s="35" customFormat="1" ht="78.75" customHeight="1" thickBot="1">
      <c r="A6" s="254" t="s">
        <v>0</v>
      </c>
      <c r="B6" s="255" t="s">
        <v>1</v>
      </c>
      <c r="C6" s="255" t="s">
        <v>2</v>
      </c>
      <c r="D6" s="255" t="s">
        <v>3</v>
      </c>
      <c r="E6" s="255" t="s">
        <v>4</v>
      </c>
      <c r="F6" s="255" t="s">
        <v>5</v>
      </c>
      <c r="G6" s="255" t="s">
        <v>6</v>
      </c>
      <c r="H6" s="255" t="s">
        <v>7</v>
      </c>
      <c r="I6" s="255" t="s">
        <v>8</v>
      </c>
      <c r="J6" s="255" t="s">
        <v>9</v>
      </c>
      <c r="K6" s="255" t="s">
        <v>10</v>
      </c>
      <c r="L6" s="255" t="s">
        <v>11</v>
      </c>
      <c r="M6" s="255" t="s">
        <v>12</v>
      </c>
      <c r="N6" s="255" t="s">
        <v>262</v>
      </c>
      <c r="O6" s="255" t="s">
        <v>264</v>
      </c>
      <c r="P6" s="255" t="s">
        <v>263</v>
      </c>
      <c r="Q6" s="255" t="s">
        <v>265</v>
      </c>
      <c r="R6" s="262" t="s">
        <v>13</v>
      </c>
      <c r="S6" s="262" t="s">
        <v>239</v>
      </c>
      <c r="T6" s="262" t="s">
        <v>238</v>
      </c>
      <c r="U6" s="262" t="s">
        <v>14</v>
      </c>
      <c r="V6" s="262" t="s">
        <v>15</v>
      </c>
      <c r="W6" s="262" t="s">
        <v>240</v>
      </c>
      <c r="X6" s="262" t="s">
        <v>16</v>
      </c>
      <c r="Y6" s="262" t="s">
        <v>17</v>
      </c>
      <c r="Z6" s="262" t="s">
        <v>241</v>
      </c>
      <c r="AA6" s="262" t="s">
        <v>18</v>
      </c>
      <c r="AB6" s="262" t="s">
        <v>242</v>
      </c>
      <c r="AC6" s="262" t="s">
        <v>243</v>
      </c>
      <c r="AD6" s="262" t="s">
        <v>19</v>
      </c>
      <c r="AE6" s="262" t="s">
        <v>20</v>
      </c>
      <c r="AF6" s="262" t="s">
        <v>244</v>
      </c>
      <c r="AG6" s="262" t="s">
        <v>21</v>
      </c>
      <c r="AH6" s="262" t="s">
        <v>22</v>
      </c>
      <c r="AI6" s="262" t="s">
        <v>245</v>
      </c>
      <c r="AJ6" s="262" t="s">
        <v>23</v>
      </c>
      <c r="AK6" s="262" t="s">
        <v>24</v>
      </c>
      <c r="AL6" s="262" t="s">
        <v>246</v>
      </c>
      <c r="AM6" s="262" t="s">
        <v>25</v>
      </c>
      <c r="AN6" s="262" t="s">
        <v>26</v>
      </c>
      <c r="AO6" s="262" t="s">
        <v>247</v>
      </c>
      <c r="AP6" s="262" t="s">
        <v>27</v>
      </c>
      <c r="AQ6" s="262" t="s">
        <v>28</v>
      </c>
      <c r="AR6" s="262" t="s">
        <v>248</v>
      </c>
      <c r="AS6" s="262" t="s">
        <v>29</v>
      </c>
      <c r="AT6" s="262" t="s">
        <v>30</v>
      </c>
      <c r="AU6" s="262" t="s">
        <v>249</v>
      </c>
      <c r="AV6" s="263" t="s">
        <v>250</v>
      </c>
      <c r="AW6" s="263" t="s">
        <v>251</v>
      </c>
      <c r="AX6" s="263" t="s">
        <v>252</v>
      </c>
      <c r="AY6" s="58"/>
      <c r="AZ6" s="59" t="s">
        <v>31</v>
      </c>
      <c r="BA6" s="59" t="s">
        <v>253</v>
      </c>
      <c r="BB6" s="16" t="s">
        <v>32</v>
      </c>
      <c r="BC6" s="16" t="s">
        <v>254</v>
      </c>
      <c r="BD6" s="57" t="s">
        <v>33</v>
      </c>
      <c r="BE6" s="57" t="s">
        <v>255</v>
      </c>
      <c r="BF6" s="60"/>
      <c r="BG6" s="61" t="s">
        <v>34</v>
      </c>
      <c r="BH6" s="61" t="s">
        <v>256</v>
      </c>
      <c r="BI6" s="62" t="s">
        <v>35</v>
      </c>
      <c r="BJ6" s="62" t="s">
        <v>257</v>
      </c>
      <c r="BK6" s="63" t="s">
        <v>36</v>
      </c>
      <c r="BL6" s="63" t="s">
        <v>258</v>
      </c>
      <c r="BM6" s="64" t="s">
        <v>37</v>
      </c>
      <c r="BN6" s="64" t="s">
        <v>259</v>
      </c>
      <c r="BO6" s="65" t="s">
        <v>38</v>
      </c>
      <c r="BP6" s="65" t="s">
        <v>260</v>
      </c>
      <c r="BQ6" s="63" t="s">
        <v>39</v>
      </c>
      <c r="BR6" s="63" t="s">
        <v>261</v>
      </c>
      <c r="BT6" s="40" t="s">
        <v>40</v>
      </c>
      <c r="BU6" s="40" t="s">
        <v>266</v>
      </c>
      <c r="BV6" s="66" t="s">
        <v>41</v>
      </c>
      <c r="BW6" s="66" t="s">
        <v>267</v>
      </c>
      <c r="BX6" s="234" t="s">
        <v>308</v>
      </c>
      <c r="BY6" s="191"/>
      <c r="BZ6" s="191"/>
      <c r="CA6" s="194" t="s">
        <v>311</v>
      </c>
      <c r="CB6" s="234"/>
      <c r="CC6" s="235"/>
      <c r="CD6" s="236"/>
      <c r="CE6" s="235"/>
      <c r="CF6" s="235"/>
      <c r="CG6" s="235"/>
      <c r="CH6" s="284" t="s">
        <v>186</v>
      </c>
      <c r="CI6" s="285"/>
      <c r="CJ6" s="237" t="s">
        <v>232</v>
      </c>
      <c r="CK6" s="237" t="s">
        <v>295</v>
      </c>
      <c r="CL6" s="148"/>
      <c r="CM6" s="238" t="s">
        <v>234</v>
      </c>
      <c r="CN6" s="155"/>
      <c r="CO6" s="235" t="s">
        <v>235</v>
      </c>
      <c r="CP6" s="235" t="s">
        <v>236</v>
      </c>
      <c r="CQ6" s="239" t="s">
        <v>237</v>
      </c>
      <c r="CS6" s="35" t="s">
        <v>287</v>
      </c>
      <c r="CT6" s="35" t="s">
        <v>291</v>
      </c>
      <c r="CU6" s="188" t="s">
        <v>288</v>
      </c>
      <c r="CV6" s="35" t="s">
        <v>289</v>
      </c>
      <c r="CW6" s="35" t="s">
        <v>290</v>
      </c>
      <c r="CX6" s="35" t="s">
        <v>292</v>
      </c>
      <c r="CY6" s="35" t="s">
        <v>293</v>
      </c>
      <c r="CZ6" s="35" t="s">
        <v>294</v>
      </c>
    </row>
    <row r="7" spans="1:104" ht="48.75" thickTop="1">
      <c r="A7" s="241">
        <v>15060233</v>
      </c>
      <c r="B7" s="242" t="s">
        <v>42</v>
      </c>
      <c r="C7" s="242" t="s">
        <v>43</v>
      </c>
      <c r="D7" s="242" t="s">
        <v>44</v>
      </c>
      <c r="E7" s="242" t="s">
        <v>45</v>
      </c>
      <c r="F7" s="67">
        <v>1556513</v>
      </c>
      <c r="G7" s="67">
        <v>0</v>
      </c>
      <c r="H7" s="67">
        <v>10</v>
      </c>
      <c r="I7" s="67">
        <v>5</v>
      </c>
      <c r="J7" s="67">
        <v>2</v>
      </c>
      <c r="K7" s="67">
        <v>1</v>
      </c>
      <c r="L7" s="67">
        <v>0</v>
      </c>
      <c r="M7" s="67">
        <v>2</v>
      </c>
      <c r="N7" s="67">
        <v>3.6</v>
      </c>
      <c r="O7" s="67">
        <v>3.8</v>
      </c>
      <c r="P7" s="67">
        <v>2.3</v>
      </c>
      <c r="Q7" s="67">
        <v>2.5</v>
      </c>
      <c r="R7" s="19">
        <v>702000</v>
      </c>
      <c r="S7" s="19">
        <v>605000</v>
      </c>
      <c r="T7" s="19">
        <v>864000</v>
      </c>
      <c r="U7" s="19">
        <v>0</v>
      </c>
      <c r="V7" s="19">
        <v>0</v>
      </c>
      <c r="W7" s="19">
        <v>0</v>
      </c>
      <c r="X7" s="19">
        <v>0</v>
      </c>
      <c r="Y7" s="19">
        <v>0</v>
      </c>
      <c r="Z7" s="19">
        <v>0</v>
      </c>
      <c r="AA7" s="19">
        <v>206039</v>
      </c>
      <c r="AB7" s="19">
        <v>214227</v>
      </c>
      <c r="AC7" s="19">
        <v>200000</v>
      </c>
      <c r="AD7" s="19">
        <v>318000</v>
      </c>
      <c r="AE7" s="19">
        <v>297000</v>
      </c>
      <c r="AF7" s="19">
        <v>297000</v>
      </c>
      <c r="AG7" s="19">
        <v>0</v>
      </c>
      <c r="AH7" s="19">
        <v>0</v>
      </c>
      <c r="AI7" s="19">
        <v>0</v>
      </c>
      <c r="AJ7" s="19">
        <v>199644</v>
      </c>
      <c r="AK7" s="19">
        <v>240000</v>
      </c>
      <c r="AL7" s="19">
        <v>242680</v>
      </c>
      <c r="AM7" s="19">
        <v>0</v>
      </c>
      <c r="AN7" s="19">
        <v>0</v>
      </c>
      <c r="AO7" s="19">
        <v>0</v>
      </c>
      <c r="AP7" s="19">
        <v>0</v>
      </c>
      <c r="AQ7" s="19">
        <v>0</v>
      </c>
      <c r="AR7" s="19">
        <v>0</v>
      </c>
      <c r="AS7" s="19">
        <v>36726</v>
      </c>
      <c r="AT7" s="19">
        <v>52000</v>
      </c>
      <c r="AU7" s="19">
        <v>12000</v>
      </c>
      <c r="AV7" s="19">
        <v>1462409</v>
      </c>
      <c r="AW7" s="51">
        <v>1408227</v>
      </c>
      <c r="AX7" s="51">
        <v>1615680</v>
      </c>
      <c r="AY7" s="3"/>
      <c r="AZ7" s="52">
        <v>605000</v>
      </c>
      <c r="BA7" s="52"/>
      <c r="BB7" s="53">
        <f aca="true" t="shared" si="0" ref="BB7:BC9">AZ7/S7</f>
        <v>1</v>
      </c>
      <c r="BC7" s="53">
        <f t="shared" si="0"/>
        <v>0</v>
      </c>
      <c r="BD7" s="46">
        <f aca="true" t="shared" si="1" ref="BD7:BE9">-1+AZ7/R7</f>
        <v>-0.13817663817663817</v>
      </c>
      <c r="BE7" s="46">
        <f t="shared" si="1"/>
        <v>-1</v>
      </c>
      <c r="BF7" s="6"/>
      <c r="BG7" s="68">
        <f aca="true" t="shared" si="2" ref="BG7:BH9">V7+Y7+AE7+AH7+AK7+AN7+AQ7+AT7+AZ7</f>
        <v>1194000</v>
      </c>
      <c r="BH7" s="68">
        <f t="shared" si="2"/>
        <v>551680</v>
      </c>
      <c r="BI7" s="69">
        <f aca="true" t="shared" si="3" ref="BI7:BJ9">BG7/(R7+U7+X7+AA7+AD7+AG7+AJ7+AM7+AP7+AS7)</f>
        <v>0.8164610584316699</v>
      </c>
      <c r="BJ7" s="69">
        <f t="shared" si="3"/>
        <v>0.39175502245021576</v>
      </c>
      <c r="BK7" s="70">
        <f aca="true" t="shared" si="4" ref="BK7:BL9">IF(BI7&gt;=100%,0,(R7+U7+X7+AA7+AD7+AG7+AJ7+AM7+AP7+AS7)-(V7+Y7+AE7+AH7+AK7+AN7+AQ7+AT7+AZ7))</f>
        <v>268409</v>
      </c>
      <c r="BL7" s="70">
        <f t="shared" si="4"/>
        <v>856547</v>
      </c>
      <c r="BM7" s="10">
        <f aca="true" t="shared" si="5" ref="BM7:BN25">BG7/AW7</f>
        <v>0.8478746679335079</v>
      </c>
      <c r="BN7" s="10">
        <f t="shared" si="5"/>
        <v>0.3414537532184591</v>
      </c>
      <c r="BO7" s="71">
        <f aca="true" t="shared" si="6" ref="BO7:BP25">IF(BG7&lt;AW7,AW7-BG7,0)</f>
        <v>214227</v>
      </c>
      <c r="BP7" s="71">
        <f t="shared" si="6"/>
        <v>1064000</v>
      </c>
      <c r="BQ7" s="70">
        <f aca="true" t="shared" si="7" ref="BQ7:BR9">IF(AA7&gt;BK7,0,BK7-AA7)</f>
        <v>62370</v>
      </c>
      <c r="BR7" s="70">
        <f t="shared" si="7"/>
        <v>642320</v>
      </c>
      <c r="BT7" s="41">
        <f aca="true" t="shared" si="8" ref="BT7:BW9">$AZ7/N7</f>
        <v>168055.55555555556</v>
      </c>
      <c r="BU7" s="41">
        <f t="shared" si="8"/>
        <v>159210.5263157895</v>
      </c>
      <c r="BV7" s="72">
        <f t="shared" si="8"/>
        <v>263043.47826086957</v>
      </c>
      <c r="BW7" s="243">
        <f t="shared" si="8"/>
        <v>242000</v>
      </c>
      <c r="BX7" s="203">
        <v>0.157</v>
      </c>
      <c r="BY7" s="114">
        <f>IF(AW7&lt;AX7,AW7*BX7*0.4,AX7*BX7*0.4)</f>
        <v>88436.6556</v>
      </c>
      <c r="BZ7" s="215"/>
      <c r="CA7" s="195">
        <v>88000</v>
      </c>
      <c r="CB7" s="217"/>
      <c r="CC7" s="204"/>
      <c r="CD7" s="205"/>
      <c r="CE7" s="204"/>
      <c r="CF7" s="204"/>
      <c r="CG7" s="204"/>
      <c r="CH7" s="206" t="s">
        <v>46</v>
      </c>
      <c r="CI7" s="264" t="s">
        <v>47</v>
      </c>
      <c r="CJ7" s="106">
        <f>($CG7+$CA7+$AZ7+$AT7+$AQ7+$AN7+$AK7+$AH7+$AE7+$Y7+$V7)/$AV7</f>
        <v>0.8766357428051933</v>
      </c>
      <c r="CK7" s="53">
        <f>($CG7+$CA7+$AZ7+$AT7+$AQ7+$AN7+$AK7+$AH7+$AE7+$Y7+$V7)/$AW7</f>
        <v>0.9103645932083393</v>
      </c>
      <c r="CL7" s="53"/>
      <c r="CM7" s="204">
        <f>CA7+CG7</f>
        <v>88000</v>
      </c>
      <c r="CN7" s="204"/>
      <c r="CO7" s="204">
        <f>R7+AA7</f>
        <v>908039</v>
      </c>
      <c r="CP7" s="204">
        <f>AZ7+CM7</f>
        <v>693000</v>
      </c>
      <c r="CQ7" s="207">
        <f>-1+CP7/CO7</f>
        <v>-0.2368169208591261</v>
      </c>
      <c r="CR7" s="114"/>
      <c r="CS7" s="114">
        <f>2000*12*H7</f>
        <v>240000</v>
      </c>
      <c r="CT7" s="114">
        <f>IF(AW7*1&gt;AX7,AX7,AW7*1*0.75)</f>
        <v>1056170.25</v>
      </c>
      <c r="CU7" s="208">
        <v>0.43</v>
      </c>
      <c r="CV7" s="114">
        <f>IF(CT7*CU7&lt;T7,CT7*CU7,T7)</f>
        <v>454153.2075</v>
      </c>
      <c r="CW7" s="114">
        <f>S7*0.75</f>
        <v>453750</v>
      </c>
      <c r="CX7" s="114">
        <f>AW7/AV7</f>
        <v>0.962950173309929</v>
      </c>
      <c r="CY7" s="114"/>
      <c r="CZ7" s="114"/>
    </row>
    <row r="8" spans="1:104" ht="48">
      <c r="A8" s="149">
        <v>26304856</v>
      </c>
      <c r="B8" s="49" t="s">
        <v>48</v>
      </c>
      <c r="C8" s="49" t="s">
        <v>43</v>
      </c>
      <c r="D8" s="49" t="s">
        <v>44</v>
      </c>
      <c r="E8" s="49" t="s">
        <v>49</v>
      </c>
      <c r="F8" s="73">
        <v>9928125</v>
      </c>
      <c r="G8" s="74"/>
      <c r="H8" s="73">
        <v>55</v>
      </c>
      <c r="I8" s="73">
        <v>18</v>
      </c>
      <c r="J8" s="73">
        <v>25</v>
      </c>
      <c r="K8" s="73">
        <v>12</v>
      </c>
      <c r="L8" s="73">
        <v>0</v>
      </c>
      <c r="M8" s="73">
        <v>0</v>
      </c>
      <c r="N8" s="73">
        <v>0.7</v>
      </c>
      <c r="O8" s="73">
        <v>2.4</v>
      </c>
      <c r="P8" s="73">
        <v>0.5</v>
      </c>
      <c r="Q8" s="73">
        <v>2</v>
      </c>
      <c r="R8" s="2">
        <v>30000</v>
      </c>
      <c r="S8" s="2">
        <v>198000</v>
      </c>
      <c r="T8" s="2">
        <v>432530</v>
      </c>
      <c r="U8" s="2">
        <v>0</v>
      </c>
      <c r="V8" s="2">
        <v>0</v>
      </c>
      <c r="W8" s="2">
        <v>0</v>
      </c>
      <c r="X8" s="2">
        <v>48000</v>
      </c>
      <c r="Y8" s="2">
        <v>108000</v>
      </c>
      <c r="Z8" s="2">
        <v>108000</v>
      </c>
      <c r="AA8" s="2">
        <v>15000</v>
      </c>
      <c r="AB8" s="2">
        <v>129400</v>
      </c>
      <c r="AC8" s="2">
        <v>25000</v>
      </c>
      <c r="AD8" s="2">
        <v>2000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51860</v>
      </c>
      <c r="AL8" s="2">
        <v>52370</v>
      </c>
      <c r="AM8" s="2">
        <v>0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43000</v>
      </c>
      <c r="AT8" s="2">
        <v>0</v>
      </c>
      <c r="AU8" s="2">
        <v>0</v>
      </c>
      <c r="AV8" s="2">
        <v>138000</v>
      </c>
      <c r="AW8" s="50">
        <v>487260</v>
      </c>
      <c r="AX8" s="50">
        <v>617900</v>
      </c>
      <c r="AY8" s="3"/>
      <c r="AZ8" s="48">
        <v>0</v>
      </c>
      <c r="BA8" s="48"/>
      <c r="BB8" s="4">
        <f t="shared" si="0"/>
        <v>0</v>
      </c>
      <c r="BC8" s="4">
        <f t="shared" si="0"/>
        <v>0</v>
      </c>
      <c r="BD8" s="5">
        <f t="shared" si="1"/>
        <v>-1</v>
      </c>
      <c r="BE8" s="5">
        <f t="shared" si="1"/>
        <v>-1</v>
      </c>
      <c r="BF8" s="6"/>
      <c r="BG8" s="7">
        <f t="shared" si="2"/>
        <v>159860</v>
      </c>
      <c r="BH8" s="7">
        <f t="shared" si="2"/>
        <v>160370</v>
      </c>
      <c r="BI8" s="8">
        <f t="shared" si="3"/>
        <v>1.1584057971014492</v>
      </c>
      <c r="BJ8" s="8">
        <f t="shared" si="3"/>
        <v>0.32912613389155687</v>
      </c>
      <c r="BK8" s="9">
        <f t="shared" si="4"/>
        <v>0</v>
      </c>
      <c r="BL8" s="9">
        <f t="shared" si="4"/>
        <v>326890</v>
      </c>
      <c r="BM8" s="10">
        <f t="shared" si="5"/>
        <v>0.3280794647621393</v>
      </c>
      <c r="BN8" s="10">
        <f t="shared" si="5"/>
        <v>0.2595403787020554</v>
      </c>
      <c r="BO8" s="75">
        <f t="shared" si="6"/>
        <v>327400</v>
      </c>
      <c r="BP8" s="75">
        <f t="shared" si="6"/>
        <v>457530</v>
      </c>
      <c r="BQ8" s="9">
        <f t="shared" si="7"/>
        <v>0</v>
      </c>
      <c r="BR8" s="9">
        <f t="shared" si="7"/>
        <v>197490</v>
      </c>
      <c r="BT8" s="14">
        <f t="shared" si="8"/>
        <v>0</v>
      </c>
      <c r="BU8" s="14">
        <f t="shared" si="8"/>
        <v>0</v>
      </c>
      <c r="BV8" s="15">
        <f t="shared" si="8"/>
        <v>0</v>
      </c>
      <c r="BW8" s="244">
        <f t="shared" si="8"/>
        <v>0</v>
      </c>
      <c r="BX8" s="223">
        <v>0.157</v>
      </c>
      <c r="BY8" s="74">
        <f aca="true" t="shared" si="9" ref="BY8:BY60">IF(AW8&lt;AX8,AW8*BX8*0.4,AX8*BX8*0.4)</f>
        <v>30599.928000000004</v>
      </c>
      <c r="BZ8" s="224"/>
      <c r="CA8" s="226">
        <v>30000</v>
      </c>
      <c r="CB8" s="225"/>
      <c r="CC8" s="198"/>
      <c r="CD8" s="199"/>
      <c r="CE8" s="198"/>
      <c r="CF8" s="198"/>
      <c r="CG8" s="198"/>
      <c r="CH8" s="200" t="s">
        <v>46</v>
      </c>
      <c r="CI8" s="265" t="s">
        <v>50</v>
      </c>
      <c r="CJ8" s="92">
        <f>($CG8+$CA8+$AZ8+$AT8+$AQ8+$AN8+$AK8+$AH8+$AE8+$Y8+$V8)/$AV8</f>
        <v>1.3757971014492754</v>
      </c>
      <c r="CK8" s="4">
        <f>($CG8+$CA8+$AZ8+$AT8+$AQ8+$AN8+$AK8+$AH8+$AE8+$Y8+$V8)/$AW8</f>
        <v>0.38964823708081925</v>
      </c>
      <c r="CL8" s="4"/>
      <c r="CM8" s="198">
        <f aca="true" t="shared" si="10" ref="CM8:CM55">CA8+CG8</f>
        <v>30000</v>
      </c>
      <c r="CN8" s="198"/>
      <c r="CO8" s="198">
        <f>R8+AA8</f>
        <v>45000</v>
      </c>
      <c r="CP8" s="198">
        <f>AZ8+CM8</f>
        <v>30000</v>
      </c>
      <c r="CQ8" s="201">
        <f aca="true" t="shared" si="11" ref="CQ8:CQ55">-1+CP8/CO8</f>
        <v>-0.33333333333333337</v>
      </c>
      <c r="CR8" s="74"/>
      <c r="CS8" s="74">
        <f>2000*12*H8</f>
        <v>1320000</v>
      </c>
      <c r="CT8" s="74">
        <f aca="true" t="shared" si="12" ref="CT8:CT59">IF(AW8*1&gt;AX8,AX8,AW8*1*0.75)</f>
        <v>365445</v>
      </c>
      <c r="CU8" s="202">
        <v>0.43</v>
      </c>
      <c r="CV8" s="74">
        <f>IF(CT8*CU8&lt;T8,CT8*CU8,T8)</f>
        <v>157141.35</v>
      </c>
      <c r="CW8" s="74">
        <f>S8*0.75</f>
        <v>148500</v>
      </c>
      <c r="CX8" s="74">
        <f aca="true" t="shared" si="13" ref="CX8:CX59">AW8/AV8</f>
        <v>3.530869565217391</v>
      </c>
      <c r="CY8" s="74">
        <f>(AV8*1.5)*0.75*CU8</f>
        <v>66757.5</v>
      </c>
      <c r="CZ8" s="74">
        <v>110000</v>
      </c>
    </row>
    <row r="9" spans="1:104" ht="72.75" thickBot="1">
      <c r="A9" s="245">
        <v>26518252</v>
      </c>
      <c r="B9" s="246" t="s">
        <v>51</v>
      </c>
      <c r="C9" s="246" t="s">
        <v>43</v>
      </c>
      <c r="D9" s="246" t="s">
        <v>44</v>
      </c>
      <c r="E9" s="246" t="s">
        <v>51</v>
      </c>
      <c r="F9" s="76">
        <v>5587371</v>
      </c>
      <c r="G9" s="121"/>
      <c r="H9" s="76">
        <v>15</v>
      </c>
      <c r="I9" s="76">
        <v>5</v>
      </c>
      <c r="J9" s="76">
        <v>2</v>
      </c>
      <c r="K9" s="76">
        <v>4</v>
      </c>
      <c r="L9" s="76">
        <v>2</v>
      </c>
      <c r="M9" s="76">
        <v>2</v>
      </c>
      <c r="N9" s="76">
        <v>6.6</v>
      </c>
      <c r="O9" s="76">
        <v>7.3</v>
      </c>
      <c r="P9" s="76">
        <v>4</v>
      </c>
      <c r="Q9" s="76">
        <v>4.5</v>
      </c>
      <c r="R9" s="17">
        <v>1318000</v>
      </c>
      <c r="S9" s="17">
        <v>1347000</v>
      </c>
      <c r="T9" s="17">
        <v>2392100</v>
      </c>
      <c r="U9" s="17">
        <v>0</v>
      </c>
      <c r="V9" s="17">
        <v>0</v>
      </c>
      <c r="W9" s="17">
        <v>0</v>
      </c>
      <c r="X9" s="17">
        <v>193974</v>
      </c>
      <c r="Y9" s="17">
        <v>150000</v>
      </c>
      <c r="Z9" s="17">
        <v>0</v>
      </c>
      <c r="AA9" s="17">
        <v>360859</v>
      </c>
      <c r="AB9" s="17">
        <v>360000</v>
      </c>
      <c r="AC9" s="17">
        <v>250000</v>
      </c>
      <c r="AD9" s="17">
        <v>123500</v>
      </c>
      <c r="AE9" s="17">
        <v>180000</v>
      </c>
      <c r="AF9" s="17">
        <v>50000</v>
      </c>
      <c r="AG9" s="17">
        <v>0</v>
      </c>
      <c r="AH9" s="17">
        <v>0</v>
      </c>
      <c r="AI9" s="17">
        <v>0</v>
      </c>
      <c r="AJ9" s="17">
        <v>289630</v>
      </c>
      <c r="AK9" s="17">
        <v>240000</v>
      </c>
      <c r="AL9" s="17">
        <v>150000</v>
      </c>
      <c r="AM9" s="17">
        <v>0</v>
      </c>
      <c r="AN9" s="17">
        <v>0</v>
      </c>
      <c r="AO9" s="17">
        <v>0</v>
      </c>
      <c r="AP9" s="17">
        <v>0</v>
      </c>
      <c r="AQ9" s="17">
        <v>0</v>
      </c>
      <c r="AR9" s="17">
        <v>0</v>
      </c>
      <c r="AS9" s="17">
        <v>1326259</v>
      </c>
      <c r="AT9" s="17">
        <v>660000</v>
      </c>
      <c r="AU9" s="17">
        <v>43000</v>
      </c>
      <c r="AV9" s="17">
        <v>3488722</v>
      </c>
      <c r="AW9" s="54">
        <v>2937000</v>
      </c>
      <c r="AX9" s="54">
        <v>2885100</v>
      </c>
      <c r="AY9" s="3"/>
      <c r="AZ9" s="48">
        <v>1318000</v>
      </c>
      <c r="BA9" s="48"/>
      <c r="BB9" s="4">
        <f t="shared" si="0"/>
        <v>0.9784706755753526</v>
      </c>
      <c r="BC9" s="4">
        <f t="shared" si="0"/>
        <v>0</v>
      </c>
      <c r="BD9" s="5">
        <f t="shared" si="1"/>
        <v>0</v>
      </c>
      <c r="BE9" s="5">
        <f t="shared" si="1"/>
        <v>-1</v>
      </c>
      <c r="BF9" s="6"/>
      <c r="BG9" s="7">
        <f t="shared" si="2"/>
        <v>2548000</v>
      </c>
      <c r="BH9" s="7">
        <f t="shared" si="2"/>
        <v>243000</v>
      </c>
      <c r="BI9" s="8">
        <f t="shared" si="3"/>
        <v>0.7053830024843434</v>
      </c>
      <c r="BJ9" s="8">
        <f t="shared" si="3"/>
        <v>0.08273748723186926</v>
      </c>
      <c r="BK9" s="9">
        <f t="shared" si="4"/>
        <v>1064222</v>
      </c>
      <c r="BL9" s="9">
        <f t="shared" si="4"/>
        <v>2694000</v>
      </c>
      <c r="BM9" s="10">
        <f t="shared" si="5"/>
        <v>0.867551923731699</v>
      </c>
      <c r="BN9" s="10">
        <f t="shared" si="5"/>
        <v>0.0842258500571904</v>
      </c>
      <c r="BO9" s="75">
        <f t="shared" si="6"/>
        <v>389000</v>
      </c>
      <c r="BP9" s="75">
        <f t="shared" si="6"/>
        <v>2642100</v>
      </c>
      <c r="BQ9" s="9">
        <f t="shared" si="7"/>
        <v>703363</v>
      </c>
      <c r="BR9" s="9">
        <f t="shared" si="7"/>
        <v>2334000</v>
      </c>
      <c r="BT9" s="14">
        <f t="shared" si="8"/>
        <v>199696.9696969697</v>
      </c>
      <c r="BU9" s="14">
        <f t="shared" si="8"/>
        <v>180547.94520547945</v>
      </c>
      <c r="BV9" s="15">
        <f t="shared" si="8"/>
        <v>329500</v>
      </c>
      <c r="BW9" s="244">
        <f t="shared" si="8"/>
        <v>292888.8888888889</v>
      </c>
      <c r="BX9" s="209">
        <v>0.157</v>
      </c>
      <c r="BY9" s="121">
        <f t="shared" si="9"/>
        <v>181184.28000000003</v>
      </c>
      <c r="BZ9" s="216"/>
      <c r="CA9" s="219">
        <v>181000</v>
      </c>
      <c r="CB9" s="218"/>
      <c r="CC9" s="210"/>
      <c r="CD9" s="211"/>
      <c r="CE9" s="210"/>
      <c r="CF9" s="210"/>
      <c r="CG9" s="210"/>
      <c r="CH9" s="212" t="s">
        <v>46</v>
      </c>
      <c r="CI9" s="266" t="s">
        <v>52</v>
      </c>
      <c r="CJ9" s="92">
        <f>($CG9+$CA9+$AZ9+$AT9+$AQ9+$AN9+$AK9+$AH9+$AE9+$Y9+$V9)/$AV9</f>
        <v>0.7822348699609771</v>
      </c>
      <c r="CK9" s="4">
        <f>($CG9+$CA9+$AZ9+$AT9+$AQ9+$AN9+$AK9+$AH9+$AE9+$Y9+$V9)/$AW9</f>
        <v>0.9291794347974123</v>
      </c>
      <c r="CL9" s="4"/>
      <c r="CM9" s="198">
        <f t="shared" si="10"/>
        <v>181000</v>
      </c>
      <c r="CN9" s="198"/>
      <c r="CO9" s="198">
        <f>R9+AA9</f>
        <v>1678859</v>
      </c>
      <c r="CP9" s="198">
        <f>AZ9+CM9</f>
        <v>1499000</v>
      </c>
      <c r="CQ9" s="201">
        <f t="shared" si="11"/>
        <v>-0.10713168884343471</v>
      </c>
      <c r="CR9" s="74"/>
      <c r="CS9" s="74">
        <f>2000*12*H9</f>
        <v>360000</v>
      </c>
      <c r="CT9" s="74">
        <f t="shared" si="12"/>
        <v>2885100</v>
      </c>
      <c r="CU9" s="202">
        <v>0.43</v>
      </c>
      <c r="CV9" s="74">
        <f>IF(CT9*CU9&lt;T9,CT9*CU9,T9)</f>
        <v>1240593</v>
      </c>
      <c r="CW9" s="74">
        <f aca="true" t="shared" si="14" ref="CW9:CW60">S9*0.75</f>
        <v>1010250</v>
      </c>
      <c r="CX9" s="74">
        <f t="shared" si="13"/>
        <v>0.8418555562753353</v>
      </c>
      <c r="CY9" s="74"/>
      <c r="CZ9" s="74"/>
    </row>
    <row r="10" spans="1:107" ht="7.5" customHeight="1" thickBot="1">
      <c r="A10" s="150"/>
      <c r="B10" s="86"/>
      <c r="C10" s="86"/>
      <c r="D10" s="86"/>
      <c r="E10" s="86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34"/>
      <c r="BC10" s="34"/>
      <c r="BD10" s="34"/>
      <c r="BE10" s="34"/>
      <c r="BF10" s="34"/>
      <c r="BI10" s="6"/>
      <c r="BJ10" s="6"/>
      <c r="BK10" s="87"/>
      <c r="BL10" s="87"/>
      <c r="BM10" s="88"/>
      <c r="BN10" s="88"/>
      <c r="BQ10" s="87"/>
      <c r="BR10" s="87"/>
      <c r="BT10" s="43"/>
      <c r="BU10" s="43"/>
      <c r="BV10" s="43"/>
      <c r="BW10" s="43"/>
      <c r="BX10" s="13"/>
      <c r="BY10" s="13"/>
      <c r="BZ10" s="13"/>
      <c r="CJ10" s="6"/>
      <c r="CK10" s="6"/>
      <c r="CL10" s="6"/>
      <c r="CM10" s="32"/>
      <c r="CO10" s="32"/>
      <c r="CP10" s="32"/>
      <c r="CQ10" s="154"/>
      <c r="CT10" s="13">
        <f t="shared" si="12"/>
        <v>0</v>
      </c>
      <c r="DC10" s="13" t="s">
        <v>297</v>
      </c>
    </row>
    <row r="11" spans="1:104" ht="48">
      <c r="A11" s="241">
        <v>394190</v>
      </c>
      <c r="B11" s="242" t="s">
        <v>58</v>
      </c>
      <c r="C11" s="242" t="s">
        <v>43</v>
      </c>
      <c r="D11" s="242" t="s">
        <v>59</v>
      </c>
      <c r="E11" s="242" t="s">
        <v>60</v>
      </c>
      <c r="F11" s="67">
        <v>1784518</v>
      </c>
      <c r="G11" s="67">
        <v>0</v>
      </c>
      <c r="H11" s="67">
        <v>3</v>
      </c>
      <c r="I11" s="67">
        <v>0</v>
      </c>
      <c r="J11" s="67">
        <v>0</v>
      </c>
      <c r="K11" s="67">
        <v>0</v>
      </c>
      <c r="L11" s="67">
        <v>0</v>
      </c>
      <c r="M11" s="67">
        <v>3</v>
      </c>
      <c r="N11" s="67">
        <v>2.1</v>
      </c>
      <c r="O11" s="67">
        <v>1.4</v>
      </c>
      <c r="P11" s="67">
        <v>1.8</v>
      </c>
      <c r="Q11" s="67">
        <v>1.1</v>
      </c>
      <c r="R11" s="19">
        <v>0</v>
      </c>
      <c r="S11" s="19">
        <v>236000</v>
      </c>
      <c r="T11" s="19">
        <v>161000</v>
      </c>
      <c r="U11" s="19">
        <v>0</v>
      </c>
      <c r="V11" s="19">
        <v>0</v>
      </c>
      <c r="W11" s="19">
        <v>0</v>
      </c>
      <c r="X11" s="19">
        <v>0</v>
      </c>
      <c r="Y11" s="19">
        <v>0</v>
      </c>
      <c r="Z11" s="19">
        <v>0</v>
      </c>
      <c r="AA11" s="19">
        <v>0</v>
      </c>
      <c r="AB11" s="19">
        <v>0</v>
      </c>
      <c r="AC11" s="19">
        <v>0</v>
      </c>
      <c r="AD11" s="19">
        <v>0</v>
      </c>
      <c r="AE11" s="19">
        <v>0</v>
      </c>
      <c r="AF11" s="19">
        <v>100000</v>
      </c>
      <c r="AG11" s="19">
        <v>0</v>
      </c>
      <c r="AH11" s="19">
        <v>0</v>
      </c>
      <c r="AI11" s="19">
        <v>0</v>
      </c>
      <c r="AJ11" s="19">
        <v>0</v>
      </c>
      <c r="AK11" s="19">
        <v>100000</v>
      </c>
      <c r="AL11" s="19">
        <v>67000</v>
      </c>
      <c r="AM11" s="19">
        <v>0</v>
      </c>
      <c r="AN11" s="19">
        <v>0</v>
      </c>
      <c r="AO11" s="19">
        <v>0</v>
      </c>
      <c r="AP11" s="19">
        <v>0</v>
      </c>
      <c r="AQ11" s="19">
        <v>0</v>
      </c>
      <c r="AR11" s="19">
        <v>0</v>
      </c>
      <c r="AS11" s="19">
        <v>0</v>
      </c>
      <c r="AT11" s="19">
        <v>304571</v>
      </c>
      <c r="AU11" s="19">
        <v>88378</v>
      </c>
      <c r="AV11" s="19">
        <v>0</v>
      </c>
      <c r="AW11" s="51">
        <v>640571</v>
      </c>
      <c r="AX11" s="51">
        <v>416378</v>
      </c>
      <c r="AY11" s="3"/>
      <c r="AZ11" s="52">
        <v>236000</v>
      </c>
      <c r="BA11" s="52"/>
      <c r="BB11" s="53">
        <f aca="true" t="shared" si="15" ref="BB11:BB25">AZ11/S11</f>
        <v>1</v>
      </c>
      <c r="BC11" s="53">
        <f aca="true" t="shared" si="16" ref="BC11:BC25">BA11/T11</f>
        <v>0</v>
      </c>
      <c r="BD11" s="46"/>
      <c r="BE11" s="46"/>
      <c r="BF11" s="6"/>
      <c r="BG11" s="89">
        <f aca="true" t="shared" si="17" ref="BG11:BG25">V11+Y11+AE11+AH11+AK11+AN11+AQ11+AT11+AZ11</f>
        <v>640571</v>
      </c>
      <c r="BH11" s="89">
        <f aca="true" t="shared" si="18" ref="BH11:BH25">W11+Z11+AF11+AI11+AL11+AO11+AR11+AU11+BA11</f>
        <v>255378</v>
      </c>
      <c r="BI11" s="44"/>
      <c r="BJ11" s="44"/>
      <c r="BK11" s="70"/>
      <c r="BL11" s="70"/>
      <c r="BM11" s="10">
        <f t="shared" si="5"/>
        <v>1</v>
      </c>
      <c r="BN11" s="10">
        <f t="shared" si="5"/>
        <v>0.6133321164903045</v>
      </c>
      <c r="BO11" s="90">
        <f t="shared" si="6"/>
        <v>0</v>
      </c>
      <c r="BP11" s="90">
        <f t="shared" si="6"/>
        <v>161000</v>
      </c>
      <c r="BQ11" s="70">
        <f aca="true" t="shared" si="19" ref="BQ11:BQ25">IF(AA11&gt;BK11,0,BK11-AA11)</f>
        <v>0</v>
      </c>
      <c r="BR11" s="70">
        <f aca="true" t="shared" si="20" ref="BR11:BR25">IF(AB11&gt;BL11,0,BL11-AB11)</f>
        <v>0</v>
      </c>
      <c r="BT11" s="41">
        <f aca="true" t="shared" si="21" ref="BT11:BT25">$AZ11/N11</f>
        <v>112380.95238095238</v>
      </c>
      <c r="BU11" s="41">
        <f aca="true" t="shared" si="22" ref="BU11:BU25">$AZ11/O11</f>
        <v>168571.42857142858</v>
      </c>
      <c r="BV11" s="72">
        <f aca="true" t="shared" si="23" ref="BV11:BV25">$AZ11/P11</f>
        <v>131111.1111111111</v>
      </c>
      <c r="BW11" s="243">
        <f aca="true" t="shared" si="24" ref="BW11:BW25">$AZ11/Q11</f>
        <v>214545.45454545453</v>
      </c>
      <c r="BX11" s="203">
        <v>0.08</v>
      </c>
      <c r="BY11" s="114">
        <f t="shared" si="9"/>
        <v>13324.096</v>
      </c>
      <c r="BZ11" s="215"/>
      <c r="CA11" s="195">
        <v>13000</v>
      </c>
      <c r="CB11" s="217"/>
      <c r="CC11" s="204"/>
      <c r="CD11" s="205"/>
      <c r="CE11" s="204"/>
      <c r="CF11" s="204"/>
      <c r="CG11" s="204"/>
      <c r="CH11" s="206" t="s">
        <v>46</v>
      </c>
      <c r="CI11" s="206" t="s">
        <v>47</v>
      </c>
      <c r="CJ11" s="53" t="e">
        <f aca="true" t="shared" si="25" ref="CJ11:CJ25">($CG11+$CA11+$AZ11+$AT11+$AQ11+$AN11+$AK11+$AH11+$AE11+$Y11+$V11)/$AV11</f>
        <v>#DIV/0!</v>
      </c>
      <c r="CK11" s="53">
        <f aca="true" t="shared" si="26" ref="CK11:CK25">($CG11+$CA11+$AZ11+$AT11+$AQ11+$AN11+$AK11+$AH11+$AE11+$Y11+$V11)/$AW11</f>
        <v>1.0202943935957138</v>
      </c>
      <c r="CL11" s="53"/>
      <c r="CM11" s="204">
        <f t="shared" si="10"/>
        <v>13000</v>
      </c>
      <c r="CN11" s="204"/>
      <c r="CO11" s="204">
        <f aca="true" t="shared" si="27" ref="CO11:CO25">R11+AA11</f>
        <v>0</v>
      </c>
      <c r="CP11" s="204">
        <f aca="true" t="shared" si="28" ref="CP11:CP25">AZ11+CM11</f>
        <v>249000</v>
      </c>
      <c r="CQ11" s="207"/>
      <c r="CR11" s="114"/>
      <c r="CS11" s="114">
        <f>3000*12*H11</f>
        <v>108000</v>
      </c>
      <c r="CT11" s="114">
        <f t="shared" si="12"/>
        <v>416378</v>
      </c>
      <c r="CU11" s="208">
        <v>0.36</v>
      </c>
      <c r="CV11" s="114">
        <f aca="true" t="shared" si="29" ref="CV11:CV25">IF(CT11*CU11&lt;T11,CT11*CU11,T11)</f>
        <v>149896.08</v>
      </c>
      <c r="CW11" s="114">
        <f t="shared" si="14"/>
        <v>177000</v>
      </c>
      <c r="CX11" s="114" t="e">
        <f t="shared" si="13"/>
        <v>#DIV/0!</v>
      </c>
      <c r="CY11" s="114"/>
      <c r="CZ11" s="114"/>
    </row>
    <row r="12" spans="1:104" ht="24">
      <c r="A12" s="149">
        <v>400840</v>
      </c>
      <c r="B12" s="49" t="s">
        <v>233</v>
      </c>
      <c r="C12" s="49" t="s">
        <v>55</v>
      </c>
      <c r="D12" s="49" t="s">
        <v>59</v>
      </c>
      <c r="E12" s="49" t="s">
        <v>61</v>
      </c>
      <c r="F12" s="73">
        <v>6075370</v>
      </c>
      <c r="G12" s="74"/>
      <c r="H12" s="73">
        <v>18</v>
      </c>
      <c r="I12" s="73">
        <v>12</v>
      </c>
      <c r="J12" s="73">
        <v>4</v>
      </c>
      <c r="K12" s="73">
        <v>2</v>
      </c>
      <c r="L12" s="73">
        <v>0</v>
      </c>
      <c r="M12" s="73">
        <v>0</v>
      </c>
      <c r="N12" s="73">
        <v>4.7</v>
      </c>
      <c r="O12" s="73">
        <v>4.7</v>
      </c>
      <c r="P12" s="73">
        <v>2.9</v>
      </c>
      <c r="Q12" s="73">
        <v>2.9</v>
      </c>
      <c r="R12" s="2">
        <v>490000</v>
      </c>
      <c r="S12" s="2">
        <v>593000</v>
      </c>
      <c r="T12" s="2">
        <v>645000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561000</v>
      </c>
      <c r="AH12" s="2">
        <v>939000</v>
      </c>
      <c r="AI12" s="2">
        <v>887000</v>
      </c>
      <c r="AJ12" s="2">
        <v>254364</v>
      </c>
      <c r="AK12" s="2">
        <v>350000</v>
      </c>
      <c r="AL12" s="2">
        <v>355000</v>
      </c>
      <c r="AM12" s="2">
        <v>0</v>
      </c>
      <c r="AN12" s="2">
        <v>0</v>
      </c>
      <c r="AO12" s="2">
        <v>0</v>
      </c>
      <c r="AP12" s="2">
        <v>0</v>
      </c>
      <c r="AQ12" s="2">
        <v>0</v>
      </c>
      <c r="AR12" s="2">
        <v>0</v>
      </c>
      <c r="AS12" s="2">
        <v>265865</v>
      </c>
      <c r="AT12" s="2">
        <v>0</v>
      </c>
      <c r="AU12" s="2">
        <v>0</v>
      </c>
      <c r="AV12" s="2">
        <v>1571229</v>
      </c>
      <c r="AW12" s="50">
        <v>1882000</v>
      </c>
      <c r="AX12" s="50">
        <v>1887000</v>
      </c>
      <c r="AY12" s="3"/>
      <c r="AZ12" s="48">
        <v>593000</v>
      </c>
      <c r="BA12" s="48"/>
      <c r="BB12" s="4">
        <f t="shared" si="15"/>
        <v>1</v>
      </c>
      <c r="BC12" s="4">
        <f t="shared" si="16"/>
        <v>0</v>
      </c>
      <c r="BD12" s="5">
        <f aca="true" t="shared" si="30" ref="BD12:BE15">-1+AZ12/R12</f>
        <v>0.21020408163265314</v>
      </c>
      <c r="BE12" s="5">
        <f t="shared" si="30"/>
        <v>-1</v>
      </c>
      <c r="BF12" s="6"/>
      <c r="BG12" s="7">
        <f t="shared" si="17"/>
        <v>1882000</v>
      </c>
      <c r="BH12" s="7">
        <f t="shared" si="18"/>
        <v>1242000</v>
      </c>
      <c r="BI12" s="8">
        <f aca="true" t="shared" si="31" ref="BI12:BI25">BG12/(R12+U12+X12+AA12+AD12+AG12+AJ12+AM12+AP12+AS12)</f>
        <v>1.197788482773676</v>
      </c>
      <c r="BJ12" s="8">
        <f aca="true" t="shared" si="32" ref="BJ12:BJ25">BH12/(S12+V12+Y12+AB12+AE12+AH12+AK12+AN12+AQ12+AT12)</f>
        <v>0.6599362380446334</v>
      </c>
      <c r="BK12" s="9">
        <f aca="true" t="shared" si="33" ref="BK12:BK25">IF(BI12&gt;=100%,0,(R12+U12+X12+AA12+AD12+AG12+AJ12+AM12+AP12+AS12)-(V12+Y12+AE12+AH12+AK12+AN12+AQ12+AT12+AZ12))</f>
        <v>0</v>
      </c>
      <c r="BL12" s="9">
        <f aca="true" t="shared" si="34" ref="BL12:BL25">IF(BJ12&gt;=100%,0,(S12+V12+Y12+AB12+AE12+AH12+AK12+AN12+AQ12+AT12)-(W12+Z12+AF12+AI12+AL12+AO12+AR12+AU12+BA12))</f>
        <v>640000</v>
      </c>
      <c r="BM12" s="10">
        <f t="shared" si="5"/>
        <v>1</v>
      </c>
      <c r="BN12" s="10">
        <f t="shared" si="5"/>
        <v>0.6581875993640699</v>
      </c>
      <c r="BO12" s="11">
        <f t="shared" si="6"/>
        <v>0</v>
      </c>
      <c r="BP12" s="11">
        <f t="shared" si="6"/>
        <v>645000</v>
      </c>
      <c r="BQ12" s="12">
        <f t="shared" si="19"/>
        <v>0</v>
      </c>
      <c r="BR12" s="12">
        <f t="shared" si="20"/>
        <v>640000</v>
      </c>
      <c r="BT12" s="14">
        <f t="shared" si="21"/>
        <v>126170.21276595745</v>
      </c>
      <c r="BU12" s="14">
        <f t="shared" si="22"/>
        <v>126170.21276595745</v>
      </c>
      <c r="BV12" s="15">
        <f t="shared" si="23"/>
        <v>204482.75862068965</v>
      </c>
      <c r="BW12" s="244">
        <f t="shared" si="24"/>
        <v>204482.75862068965</v>
      </c>
      <c r="BX12" s="223">
        <v>0.08</v>
      </c>
      <c r="BY12" s="74">
        <f t="shared" si="9"/>
        <v>60224</v>
      </c>
      <c r="BZ12" s="224"/>
      <c r="CA12" s="226">
        <v>60000</v>
      </c>
      <c r="CB12" s="225"/>
      <c r="CC12" s="198"/>
      <c r="CD12" s="199"/>
      <c r="CE12" s="198"/>
      <c r="CF12" s="198"/>
      <c r="CG12" s="198"/>
      <c r="CH12" s="200" t="s">
        <v>46</v>
      </c>
      <c r="CI12" s="200" t="s">
        <v>56</v>
      </c>
      <c r="CJ12" s="4">
        <f t="shared" si="25"/>
        <v>1.235975150662316</v>
      </c>
      <c r="CK12" s="4">
        <f t="shared" si="26"/>
        <v>1.0318809776833155</v>
      </c>
      <c r="CL12" s="4"/>
      <c r="CM12" s="198">
        <f t="shared" si="10"/>
        <v>60000</v>
      </c>
      <c r="CN12" s="198"/>
      <c r="CO12" s="198">
        <f t="shared" si="27"/>
        <v>490000</v>
      </c>
      <c r="CP12" s="198">
        <f t="shared" si="28"/>
        <v>653000</v>
      </c>
      <c r="CQ12" s="201">
        <f t="shared" si="11"/>
        <v>0.3326530612244898</v>
      </c>
      <c r="CR12" s="74"/>
      <c r="CS12" s="74">
        <f aca="true" t="shared" si="35" ref="CS12:CS25">3000*12*H12</f>
        <v>648000</v>
      </c>
      <c r="CT12" s="74">
        <f t="shared" si="12"/>
        <v>1411500</v>
      </c>
      <c r="CU12" s="202">
        <v>0.36</v>
      </c>
      <c r="CV12" s="74">
        <f t="shared" si="29"/>
        <v>508140</v>
      </c>
      <c r="CW12" s="74">
        <f t="shared" si="14"/>
        <v>444750</v>
      </c>
      <c r="CX12" s="74">
        <f t="shared" si="13"/>
        <v>1.197788482773676</v>
      </c>
      <c r="CY12" s="74"/>
      <c r="CZ12" s="74"/>
    </row>
    <row r="13" spans="1:104" ht="24">
      <c r="A13" s="149">
        <v>400858</v>
      </c>
      <c r="B13" s="49" t="s">
        <v>62</v>
      </c>
      <c r="C13" s="49" t="s">
        <v>55</v>
      </c>
      <c r="D13" s="49" t="s">
        <v>59</v>
      </c>
      <c r="E13" s="49" t="s">
        <v>62</v>
      </c>
      <c r="F13" s="73">
        <v>2022392</v>
      </c>
      <c r="G13" s="74"/>
      <c r="H13" s="73">
        <v>30</v>
      </c>
      <c r="I13" s="73">
        <v>8</v>
      </c>
      <c r="J13" s="73">
        <v>11</v>
      </c>
      <c r="K13" s="73">
        <v>8</v>
      </c>
      <c r="L13" s="73">
        <v>3</v>
      </c>
      <c r="M13" s="73">
        <v>0</v>
      </c>
      <c r="N13" s="73">
        <v>10</v>
      </c>
      <c r="O13" s="73">
        <v>11.5</v>
      </c>
      <c r="P13" s="73">
        <v>5</v>
      </c>
      <c r="Q13" s="73">
        <v>6</v>
      </c>
      <c r="R13" s="2">
        <v>1285000</v>
      </c>
      <c r="S13" s="2">
        <v>1358000</v>
      </c>
      <c r="T13" s="2">
        <v>1764000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161000</v>
      </c>
      <c r="AB13" s="2">
        <v>126000</v>
      </c>
      <c r="AC13" s="2">
        <v>132000</v>
      </c>
      <c r="AD13" s="2">
        <v>0</v>
      </c>
      <c r="AE13" s="2">
        <v>0</v>
      </c>
      <c r="AF13" s="2">
        <v>0</v>
      </c>
      <c r="AG13" s="2">
        <v>3084550</v>
      </c>
      <c r="AH13" s="2">
        <v>2490000</v>
      </c>
      <c r="AI13" s="2">
        <v>2310000</v>
      </c>
      <c r="AJ13" s="2">
        <v>906968</v>
      </c>
      <c r="AK13" s="2">
        <v>945000</v>
      </c>
      <c r="AL13" s="2">
        <v>1100000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63252</v>
      </c>
      <c r="AT13" s="2">
        <v>162000</v>
      </c>
      <c r="AU13" s="2">
        <v>216000</v>
      </c>
      <c r="AV13" s="2">
        <v>5500770</v>
      </c>
      <c r="AW13" s="50">
        <v>5081000</v>
      </c>
      <c r="AX13" s="50">
        <v>5522000</v>
      </c>
      <c r="AY13" s="3"/>
      <c r="AZ13" s="48">
        <v>1358000</v>
      </c>
      <c r="BA13" s="48"/>
      <c r="BB13" s="4">
        <f t="shared" si="15"/>
        <v>1</v>
      </c>
      <c r="BC13" s="4">
        <f t="shared" si="16"/>
        <v>0</v>
      </c>
      <c r="BD13" s="5">
        <f t="shared" si="30"/>
        <v>0.0568093385214008</v>
      </c>
      <c r="BE13" s="5">
        <f t="shared" si="30"/>
        <v>-1</v>
      </c>
      <c r="BF13" s="6"/>
      <c r="BG13" s="7">
        <f t="shared" si="17"/>
        <v>4955000</v>
      </c>
      <c r="BH13" s="7">
        <f t="shared" si="18"/>
        <v>3626000</v>
      </c>
      <c r="BI13" s="8">
        <f t="shared" si="31"/>
        <v>0.9007829812917101</v>
      </c>
      <c r="BJ13" s="8">
        <f t="shared" si="32"/>
        <v>0.713639047431608</v>
      </c>
      <c r="BK13" s="9">
        <f t="shared" si="33"/>
        <v>545770</v>
      </c>
      <c r="BL13" s="9">
        <f t="shared" si="34"/>
        <v>1455000</v>
      </c>
      <c r="BM13" s="10">
        <f t="shared" si="5"/>
        <v>0.975201731942531</v>
      </c>
      <c r="BN13" s="10">
        <f t="shared" si="5"/>
        <v>0.6566461427019196</v>
      </c>
      <c r="BO13" s="11">
        <f t="shared" si="6"/>
        <v>126000</v>
      </c>
      <c r="BP13" s="11">
        <f t="shared" si="6"/>
        <v>1896000</v>
      </c>
      <c r="BQ13" s="12">
        <f t="shared" si="19"/>
        <v>384770</v>
      </c>
      <c r="BR13" s="12">
        <f t="shared" si="20"/>
        <v>1329000</v>
      </c>
      <c r="BT13" s="14">
        <f t="shared" si="21"/>
        <v>135800</v>
      </c>
      <c r="BU13" s="14">
        <f t="shared" si="22"/>
        <v>118086.95652173914</v>
      </c>
      <c r="BV13" s="15">
        <f t="shared" si="23"/>
        <v>271600</v>
      </c>
      <c r="BW13" s="244">
        <f t="shared" si="24"/>
        <v>226333.33333333334</v>
      </c>
      <c r="BX13" s="223">
        <v>0.08</v>
      </c>
      <c r="BY13" s="74">
        <f t="shared" si="9"/>
        <v>162592</v>
      </c>
      <c r="BZ13" s="224"/>
      <c r="CA13" s="226">
        <v>162000</v>
      </c>
      <c r="CB13" s="225"/>
      <c r="CC13" s="198"/>
      <c r="CD13" s="199"/>
      <c r="CE13" s="198"/>
      <c r="CF13" s="198"/>
      <c r="CG13" s="198"/>
      <c r="CH13" s="200" t="s">
        <v>46</v>
      </c>
      <c r="CI13" s="200" t="s">
        <v>56</v>
      </c>
      <c r="CJ13" s="4">
        <f t="shared" si="25"/>
        <v>0.9302334036871202</v>
      </c>
      <c r="CK13" s="4">
        <f t="shared" si="26"/>
        <v>1.007085219444991</v>
      </c>
      <c r="CL13" s="4"/>
      <c r="CM13" s="198">
        <f t="shared" si="10"/>
        <v>162000</v>
      </c>
      <c r="CN13" s="198"/>
      <c r="CO13" s="198">
        <f t="shared" si="27"/>
        <v>1446000</v>
      </c>
      <c r="CP13" s="198">
        <f t="shared" si="28"/>
        <v>1520000</v>
      </c>
      <c r="CQ13" s="201">
        <f t="shared" si="11"/>
        <v>0.051175656984785656</v>
      </c>
      <c r="CR13" s="74"/>
      <c r="CS13" s="74">
        <f t="shared" si="35"/>
        <v>1080000</v>
      </c>
      <c r="CT13" s="74">
        <f t="shared" si="12"/>
        <v>3810750</v>
      </c>
      <c r="CU13" s="202">
        <v>0.36</v>
      </c>
      <c r="CV13" s="74">
        <f t="shared" si="29"/>
        <v>1371870</v>
      </c>
      <c r="CW13" s="74">
        <f t="shared" si="14"/>
        <v>1018500</v>
      </c>
      <c r="CX13" s="74">
        <f t="shared" si="13"/>
        <v>0.923688865377029</v>
      </c>
      <c r="CY13" s="74"/>
      <c r="CZ13" s="74"/>
    </row>
    <row r="14" spans="1:104" ht="48">
      <c r="A14" s="149">
        <v>15060233</v>
      </c>
      <c r="B14" s="49" t="s">
        <v>42</v>
      </c>
      <c r="C14" s="49" t="s">
        <v>43</v>
      </c>
      <c r="D14" s="49" t="s">
        <v>59</v>
      </c>
      <c r="E14" s="49" t="s">
        <v>63</v>
      </c>
      <c r="F14" s="73">
        <v>7776230</v>
      </c>
      <c r="G14" s="73">
        <v>0</v>
      </c>
      <c r="H14" s="73">
        <v>15</v>
      </c>
      <c r="I14" s="73">
        <v>0</v>
      </c>
      <c r="J14" s="73">
        <v>3</v>
      </c>
      <c r="K14" s="73">
        <v>7</v>
      </c>
      <c r="L14" s="73">
        <v>5</v>
      </c>
      <c r="M14" s="73">
        <v>0</v>
      </c>
      <c r="N14" s="73">
        <v>9</v>
      </c>
      <c r="O14" s="73">
        <v>10.5</v>
      </c>
      <c r="P14" s="73">
        <v>7.1</v>
      </c>
      <c r="Q14" s="73">
        <v>8.5</v>
      </c>
      <c r="R14" s="2">
        <v>1301000</v>
      </c>
      <c r="S14" s="2">
        <v>1384500</v>
      </c>
      <c r="T14" s="2">
        <v>2205250</v>
      </c>
      <c r="U14" s="2">
        <v>0</v>
      </c>
      <c r="V14" s="2">
        <v>0</v>
      </c>
      <c r="W14" s="2">
        <v>0</v>
      </c>
      <c r="X14" s="2">
        <v>20110</v>
      </c>
      <c r="Y14" s="2">
        <v>0</v>
      </c>
      <c r="Z14" s="2">
        <v>0</v>
      </c>
      <c r="AA14" s="2">
        <v>440956</v>
      </c>
      <c r="AB14" s="2">
        <v>300000</v>
      </c>
      <c r="AC14" s="2">
        <v>381000</v>
      </c>
      <c r="AD14" s="2">
        <v>202000</v>
      </c>
      <c r="AE14" s="2">
        <v>180000</v>
      </c>
      <c r="AF14" s="2">
        <v>180000</v>
      </c>
      <c r="AG14" s="2">
        <v>0</v>
      </c>
      <c r="AH14" s="2">
        <v>0</v>
      </c>
      <c r="AI14" s="2">
        <v>0</v>
      </c>
      <c r="AJ14" s="2">
        <v>356325</v>
      </c>
      <c r="AK14" s="2">
        <v>324000</v>
      </c>
      <c r="AL14" s="2">
        <v>540475</v>
      </c>
      <c r="AM14" s="2">
        <v>0</v>
      </c>
      <c r="AN14" s="2">
        <v>0</v>
      </c>
      <c r="AO14" s="2">
        <v>0</v>
      </c>
      <c r="AP14" s="2">
        <v>0</v>
      </c>
      <c r="AQ14" s="2">
        <v>0</v>
      </c>
      <c r="AR14" s="2">
        <v>0</v>
      </c>
      <c r="AS14" s="2">
        <v>690966</v>
      </c>
      <c r="AT14" s="2">
        <v>557000</v>
      </c>
      <c r="AU14" s="2">
        <v>390000</v>
      </c>
      <c r="AV14" s="2">
        <v>3011357</v>
      </c>
      <c r="AW14" s="50">
        <v>2745500</v>
      </c>
      <c r="AX14" s="50">
        <v>3696725</v>
      </c>
      <c r="AY14" s="3"/>
      <c r="AZ14" s="48">
        <v>1846000</v>
      </c>
      <c r="BA14" s="48"/>
      <c r="BB14" s="4">
        <f t="shared" si="15"/>
        <v>1.3333333333333333</v>
      </c>
      <c r="BC14" s="4">
        <f t="shared" si="16"/>
        <v>0</v>
      </c>
      <c r="BD14" s="5">
        <f t="shared" si="30"/>
        <v>0.4189085318985395</v>
      </c>
      <c r="BE14" s="5">
        <f t="shared" si="30"/>
        <v>-1</v>
      </c>
      <c r="BF14" s="6"/>
      <c r="BG14" s="7">
        <f t="shared" si="17"/>
        <v>2907000</v>
      </c>
      <c r="BH14" s="7">
        <f t="shared" si="18"/>
        <v>1110475</v>
      </c>
      <c r="BI14" s="8">
        <f t="shared" si="31"/>
        <v>0.9653455236293804</v>
      </c>
      <c r="BJ14" s="8">
        <f t="shared" si="32"/>
        <v>0.4044709524676744</v>
      </c>
      <c r="BK14" s="9">
        <f t="shared" si="33"/>
        <v>104357</v>
      </c>
      <c r="BL14" s="9">
        <f t="shared" si="34"/>
        <v>1635025</v>
      </c>
      <c r="BM14" s="10">
        <f t="shared" si="5"/>
        <v>1.0588235294117647</v>
      </c>
      <c r="BN14" s="10">
        <f t="shared" si="5"/>
        <v>0.30039426789928925</v>
      </c>
      <c r="BO14" s="11">
        <f t="shared" si="6"/>
        <v>0</v>
      </c>
      <c r="BP14" s="11">
        <f t="shared" si="6"/>
        <v>2586250</v>
      </c>
      <c r="BQ14" s="12">
        <f t="shared" si="19"/>
        <v>0</v>
      </c>
      <c r="BR14" s="12">
        <f t="shared" si="20"/>
        <v>1335025</v>
      </c>
      <c r="BT14" s="14">
        <f t="shared" si="21"/>
        <v>205111.11111111112</v>
      </c>
      <c r="BU14" s="14">
        <f t="shared" si="22"/>
        <v>175809.52380952382</v>
      </c>
      <c r="BV14" s="15">
        <f t="shared" si="23"/>
        <v>260000</v>
      </c>
      <c r="BW14" s="244">
        <f t="shared" si="24"/>
        <v>217176.4705882353</v>
      </c>
      <c r="BX14" s="223">
        <v>0.08</v>
      </c>
      <c r="BY14" s="74">
        <f t="shared" si="9"/>
        <v>87856</v>
      </c>
      <c r="BZ14" s="224"/>
      <c r="CA14" s="226">
        <v>87000</v>
      </c>
      <c r="CB14" s="225"/>
      <c r="CC14" s="198"/>
      <c r="CD14" s="199"/>
      <c r="CE14" s="198"/>
      <c r="CF14" s="198"/>
      <c r="CG14" s="198"/>
      <c r="CH14" s="200" t="s">
        <v>46</v>
      </c>
      <c r="CI14" s="200" t="s">
        <v>47</v>
      </c>
      <c r="CJ14" s="4">
        <f t="shared" si="25"/>
        <v>0.9942361533355228</v>
      </c>
      <c r="CK14" s="4">
        <f t="shared" si="26"/>
        <v>1.0905117464942633</v>
      </c>
      <c r="CL14" s="4"/>
      <c r="CM14" s="198">
        <f t="shared" si="10"/>
        <v>87000</v>
      </c>
      <c r="CN14" s="198"/>
      <c r="CO14" s="198">
        <f t="shared" si="27"/>
        <v>1741956</v>
      </c>
      <c r="CP14" s="198">
        <f t="shared" si="28"/>
        <v>1933000</v>
      </c>
      <c r="CQ14" s="201">
        <f t="shared" si="11"/>
        <v>0.10967211571360003</v>
      </c>
      <c r="CR14" s="74"/>
      <c r="CS14" s="74">
        <f t="shared" si="35"/>
        <v>540000</v>
      </c>
      <c r="CT14" s="74">
        <f t="shared" si="12"/>
        <v>2059125</v>
      </c>
      <c r="CU14" s="202">
        <v>0.36</v>
      </c>
      <c r="CV14" s="74">
        <f t="shared" si="29"/>
        <v>741285</v>
      </c>
      <c r="CW14" s="74">
        <f t="shared" si="14"/>
        <v>1038375</v>
      </c>
      <c r="CX14" s="74">
        <f t="shared" si="13"/>
        <v>0.9117152167610815</v>
      </c>
      <c r="CY14" s="74"/>
      <c r="CZ14" s="74"/>
    </row>
    <row r="15" spans="1:104" ht="22.5" customHeight="1">
      <c r="A15" s="149">
        <v>15060306</v>
      </c>
      <c r="B15" s="49" t="s">
        <v>64</v>
      </c>
      <c r="C15" s="49" t="s">
        <v>43</v>
      </c>
      <c r="D15" s="49" t="s">
        <v>59</v>
      </c>
      <c r="E15" s="49" t="s">
        <v>65</v>
      </c>
      <c r="F15" s="73">
        <v>6928452</v>
      </c>
      <c r="G15" s="73">
        <v>0</v>
      </c>
      <c r="H15" s="73">
        <v>11</v>
      </c>
      <c r="I15" s="73">
        <v>3</v>
      </c>
      <c r="J15" s="73">
        <v>3</v>
      </c>
      <c r="K15" s="73">
        <v>3</v>
      </c>
      <c r="L15" s="73">
        <v>2</v>
      </c>
      <c r="M15" s="73">
        <v>0</v>
      </c>
      <c r="N15" s="73">
        <v>3.8</v>
      </c>
      <c r="O15" s="73">
        <v>4.5</v>
      </c>
      <c r="P15" s="73">
        <v>3.1</v>
      </c>
      <c r="Q15" s="73">
        <v>3.7</v>
      </c>
      <c r="R15" s="2">
        <v>129000</v>
      </c>
      <c r="S15" s="2">
        <v>379000</v>
      </c>
      <c r="T15" s="2">
        <v>904000</v>
      </c>
      <c r="U15" s="2">
        <v>0</v>
      </c>
      <c r="V15" s="2">
        <v>0</v>
      </c>
      <c r="W15" s="2">
        <v>0</v>
      </c>
      <c r="X15" s="2">
        <v>150000</v>
      </c>
      <c r="Y15" s="2">
        <v>0</v>
      </c>
      <c r="Z15" s="2">
        <v>0</v>
      </c>
      <c r="AA15" s="2">
        <v>140000</v>
      </c>
      <c r="AB15" s="2">
        <v>408293</v>
      </c>
      <c r="AC15" s="2">
        <v>645000</v>
      </c>
      <c r="AD15" s="2">
        <v>313000</v>
      </c>
      <c r="AE15" s="2">
        <v>371000</v>
      </c>
      <c r="AF15" s="2">
        <v>0</v>
      </c>
      <c r="AG15" s="2">
        <v>0</v>
      </c>
      <c r="AH15" s="2">
        <v>0</v>
      </c>
      <c r="AI15" s="2">
        <v>0</v>
      </c>
      <c r="AJ15" s="2">
        <v>156000</v>
      </c>
      <c r="AK15" s="2">
        <v>200000</v>
      </c>
      <c r="AL15" s="2">
        <v>220000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2">
        <v>26132</v>
      </c>
      <c r="AT15" s="2">
        <v>30000</v>
      </c>
      <c r="AU15" s="2">
        <v>35788</v>
      </c>
      <c r="AV15" s="2">
        <v>914132</v>
      </c>
      <c r="AW15" s="50">
        <v>1388293</v>
      </c>
      <c r="AX15" s="50">
        <v>1804788</v>
      </c>
      <c r="AY15" s="3"/>
      <c r="AZ15" s="48">
        <v>122000</v>
      </c>
      <c r="BA15" s="48"/>
      <c r="BB15" s="4">
        <f t="shared" si="15"/>
        <v>0.32189973614775724</v>
      </c>
      <c r="BC15" s="4">
        <f t="shared" si="16"/>
        <v>0</v>
      </c>
      <c r="BD15" s="5">
        <f t="shared" si="30"/>
        <v>-0.054263565891472854</v>
      </c>
      <c r="BE15" s="5">
        <f t="shared" si="30"/>
        <v>-1</v>
      </c>
      <c r="BF15" s="6"/>
      <c r="BG15" s="7">
        <f t="shared" si="17"/>
        <v>723000</v>
      </c>
      <c r="BH15" s="7">
        <f t="shared" si="18"/>
        <v>255788</v>
      </c>
      <c r="BI15" s="8">
        <f t="shared" si="31"/>
        <v>0.7909142224536501</v>
      </c>
      <c r="BJ15" s="8">
        <f t="shared" si="32"/>
        <v>0.18424640907935141</v>
      </c>
      <c r="BK15" s="9">
        <f t="shared" si="33"/>
        <v>191132</v>
      </c>
      <c r="BL15" s="9">
        <f t="shared" si="34"/>
        <v>1132505</v>
      </c>
      <c r="BM15" s="10">
        <f t="shared" si="5"/>
        <v>0.5207834369257787</v>
      </c>
      <c r="BN15" s="10">
        <f t="shared" si="5"/>
        <v>0.1417274494289634</v>
      </c>
      <c r="BO15" s="11">
        <f t="shared" si="6"/>
        <v>665293</v>
      </c>
      <c r="BP15" s="11">
        <f t="shared" si="6"/>
        <v>1549000</v>
      </c>
      <c r="BQ15" s="12">
        <f t="shared" si="19"/>
        <v>51132</v>
      </c>
      <c r="BR15" s="12">
        <f t="shared" si="20"/>
        <v>724212</v>
      </c>
      <c r="BT15" s="14">
        <f t="shared" si="21"/>
        <v>32105.263157894737</v>
      </c>
      <c r="BU15" s="14">
        <f t="shared" si="22"/>
        <v>27111.11111111111</v>
      </c>
      <c r="BV15" s="15">
        <f t="shared" si="23"/>
        <v>39354.83870967742</v>
      </c>
      <c r="BW15" s="244">
        <f t="shared" si="24"/>
        <v>32972.97297297297</v>
      </c>
      <c r="BX15" s="223">
        <v>0.08</v>
      </c>
      <c r="BY15" s="74">
        <f t="shared" si="9"/>
        <v>44425.376000000004</v>
      </c>
      <c r="BZ15" s="224"/>
      <c r="CA15" s="226">
        <v>44000</v>
      </c>
      <c r="CB15" s="225"/>
      <c r="CC15" s="198"/>
      <c r="CD15" s="199"/>
      <c r="CE15" s="198"/>
      <c r="CF15" s="198"/>
      <c r="CG15" s="198"/>
      <c r="CH15" s="200" t="s">
        <v>46</v>
      </c>
      <c r="CI15" s="200" t="s">
        <v>52</v>
      </c>
      <c r="CJ15" s="4">
        <f t="shared" si="25"/>
        <v>0.8390473148298058</v>
      </c>
      <c r="CK15" s="4">
        <f t="shared" si="26"/>
        <v>0.5524770347469878</v>
      </c>
      <c r="CL15" s="4"/>
      <c r="CM15" s="198">
        <f t="shared" si="10"/>
        <v>44000</v>
      </c>
      <c r="CN15" s="198"/>
      <c r="CO15" s="198">
        <f t="shared" si="27"/>
        <v>269000</v>
      </c>
      <c r="CP15" s="198">
        <f t="shared" si="28"/>
        <v>166000</v>
      </c>
      <c r="CQ15" s="201">
        <f t="shared" si="11"/>
        <v>-0.3828996282527881</v>
      </c>
      <c r="CR15" s="74"/>
      <c r="CS15" s="74">
        <f t="shared" si="35"/>
        <v>396000</v>
      </c>
      <c r="CT15" s="74">
        <f t="shared" si="12"/>
        <v>1041219.75</v>
      </c>
      <c r="CU15" s="202">
        <v>0.36</v>
      </c>
      <c r="CV15" s="74">
        <f t="shared" si="29"/>
        <v>374839.11</v>
      </c>
      <c r="CW15" s="74">
        <f t="shared" si="14"/>
        <v>284250</v>
      </c>
      <c r="CX15" s="74">
        <f t="shared" si="13"/>
        <v>1.5187008003220541</v>
      </c>
      <c r="CY15" s="74"/>
      <c r="CZ15" s="74"/>
    </row>
    <row r="16" spans="1:104" ht="36">
      <c r="A16" s="149">
        <v>26652935</v>
      </c>
      <c r="B16" s="49" t="s">
        <v>66</v>
      </c>
      <c r="C16" s="49" t="s">
        <v>43</v>
      </c>
      <c r="D16" s="49" t="s">
        <v>59</v>
      </c>
      <c r="E16" s="49" t="s">
        <v>67</v>
      </c>
      <c r="F16" s="74">
        <v>2110189</v>
      </c>
      <c r="G16" s="74"/>
      <c r="H16" s="73">
        <v>20</v>
      </c>
      <c r="I16" s="73">
        <v>0</v>
      </c>
      <c r="J16" s="73">
        <v>2</v>
      </c>
      <c r="K16" s="73">
        <v>8</v>
      </c>
      <c r="L16" s="73">
        <v>1</v>
      </c>
      <c r="M16" s="73">
        <v>9</v>
      </c>
      <c r="N16" s="73">
        <v>6.7</v>
      </c>
      <c r="O16" s="73">
        <v>7</v>
      </c>
      <c r="P16" s="73">
        <v>3.7</v>
      </c>
      <c r="Q16" s="73">
        <v>4</v>
      </c>
      <c r="R16" s="2">
        <v>0</v>
      </c>
      <c r="S16" s="2">
        <v>1365000</v>
      </c>
      <c r="T16" s="2">
        <v>2073101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250000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99200</v>
      </c>
      <c r="AL16" s="2">
        <v>297600</v>
      </c>
      <c r="AM16" s="2">
        <v>0</v>
      </c>
      <c r="AN16" s="2">
        <v>0</v>
      </c>
      <c r="AO16" s="2">
        <v>0</v>
      </c>
      <c r="AP16" s="2">
        <v>0</v>
      </c>
      <c r="AQ16" s="2">
        <v>237438</v>
      </c>
      <c r="AR16" s="2">
        <v>0</v>
      </c>
      <c r="AS16" s="2">
        <v>0</v>
      </c>
      <c r="AT16" s="2">
        <v>0</v>
      </c>
      <c r="AU16" s="2">
        <v>50000</v>
      </c>
      <c r="AV16" s="2">
        <v>0</v>
      </c>
      <c r="AW16" s="50">
        <v>1701638</v>
      </c>
      <c r="AX16" s="50">
        <v>2670701</v>
      </c>
      <c r="AY16" s="3"/>
      <c r="AZ16" s="48">
        <v>1365000</v>
      </c>
      <c r="BA16" s="48"/>
      <c r="BB16" s="4">
        <f t="shared" si="15"/>
        <v>1</v>
      </c>
      <c r="BC16" s="4">
        <f t="shared" si="16"/>
        <v>0</v>
      </c>
      <c r="BD16" s="5"/>
      <c r="BE16" s="5"/>
      <c r="BF16" s="6"/>
      <c r="BG16" s="7">
        <f t="shared" si="17"/>
        <v>1701638</v>
      </c>
      <c r="BH16" s="7">
        <f t="shared" si="18"/>
        <v>347600</v>
      </c>
      <c r="BI16" s="8" t="e">
        <f t="shared" si="31"/>
        <v>#DIV/0!</v>
      </c>
      <c r="BJ16" s="8">
        <f t="shared" si="32"/>
        <v>0.20427376445518966</v>
      </c>
      <c r="BK16" s="9" t="e">
        <f t="shared" si="33"/>
        <v>#DIV/0!</v>
      </c>
      <c r="BL16" s="9">
        <f t="shared" si="34"/>
        <v>1354038</v>
      </c>
      <c r="BM16" s="10">
        <f t="shared" si="5"/>
        <v>1</v>
      </c>
      <c r="BN16" s="10">
        <f t="shared" si="5"/>
        <v>0.13015309463695113</v>
      </c>
      <c r="BO16" s="11">
        <f t="shared" si="6"/>
        <v>0</v>
      </c>
      <c r="BP16" s="11">
        <f t="shared" si="6"/>
        <v>2323101</v>
      </c>
      <c r="BQ16" s="12" t="e">
        <f t="shared" si="19"/>
        <v>#DIV/0!</v>
      </c>
      <c r="BR16" s="12">
        <f t="shared" si="20"/>
        <v>1354038</v>
      </c>
      <c r="BT16" s="14">
        <f t="shared" si="21"/>
        <v>203731.34328358207</v>
      </c>
      <c r="BU16" s="14">
        <f t="shared" si="22"/>
        <v>195000</v>
      </c>
      <c r="BV16" s="15">
        <f t="shared" si="23"/>
        <v>368918.9189189189</v>
      </c>
      <c r="BW16" s="244">
        <f t="shared" si="24"/>
        <v>341250</v>
      </c>
      <c r="BX16" s="223">
        <v>0.08</v>
      </c>
      <c r="BY16" s="74">
        <f t="shared" si="9"/>
        <v>54452.416000000005</v>
      </c>
      <c r="BZ16" s="224"/>
      <c r="CA16" s="226">
        <v>54000</v>
      </c>
      <c r="CB16" s="225"/>
      <c r="CC16" s="198"/>
      <c r="CD16" s="199"/>
      <c r="CE16" s="198"/>
      <c r="CF16" s="198"/>
      <c r="CG16" s="198"/>
      <c r="CH16" s="200" t="s">
        <v>46</v>
      </c>
      <c r="CI16" s="200" t="s">
        <v>52</v>
      </c>
      <c r="CJ16" s="4" t="e">
        <f t="shared" si="25"/>
        <v>#DIV/0!</v>
      </c>
      <c r="CK16" s="4">
        <f t="shared" si="26"/>
        <v>1.0317341291155933</v>
      </c>
      <c r="CL16" s="4"/>
      <c r="CM16" s="198">
        <f t="shared" si="10"/>
        <v>54000</v>
      </c>
      <c r="CN16" s="198"/>
      <c r="CO16" s="198">
        <f t="shared" si="27"/>
        <v>0</v>
      </c>
      <c r="CP16" s="198">
        <f t="shared" si="28"/>
        <v>1419000</v>
      </c>
      <c r="CQ16" s="201"/>
      <c r="CR16" s="74"/>
      <c r="CS16" s="74">
        <f t="shared" si="35"/>
        <v>720000</v>
      </c>
      <c r="CT16" s="74">
        <f t="shared" si="12"/>
        <v>1276228.5</v>
      </c>
      <c r="CU16" s="202">
        <v>0.36</v>
      </c>
      <c r="CV16" s="74">
        <f t="shared" si="29"/>
        <v>459442.26</v>
      </c>
      <c r="CW16" s="74">
        <f t="shared" si="14"/>
        <v>1023750</v>
      </c>
      <c r="CX16" s="74" t="e">
        <f t="shared" si="13"/>
        <v>#DIV/0!</v>
      </c>
      <c r="CY16" s="74"/>
      <c r="CZ16" s="74"/>
    </row>
    <row r="17" spans="1:104" ht="21.75" customHeight="1">
      <c r="A17" s="149">
        <v>43378692</v>
      </c>
      <c r="B17" s="49" t="s">
        <v>68</v>
      </c>
      <c r="C17" s="248" t="s">
        <v>55</v>
      </c>
      <c r="D17" s="49" t="s">
        <v>59</v>
      </c>
      <c r="E17" s="49" t="s">
        <v>68</v>
      </c>
      <c r="F17" s="73">
        <v>9670040</v>
      </c>
      <c r="G17" s="74"/>
      <c r="H17" s="73">
        <v>25</v>
      </c>
      <c r="I17" s="73">
        <v>2</v>
      </c>
      <c r="J17" s="73">
        <v>5</v>
      </c>
      <c r="K17" s="73">
        <v>10</v>
      </c>
      <c r="L17" s="73">
        <v>6</v>
      </c>
      <c r="M17" s="73">
        <v>2</v>
      </c>
      <c r="N17" s="73">
        <v>11.5</v>
      </c>
      <c r="O17" s="73">
        <v>11.5</v>
      </c>
      <c r="P17" s="73">
        <v>8.4</v>
      </c>
      <c r="Q17" s="73">
        <v>8.4</v>
      </c>
      <c r="R17" s="2">
        <v>826000</v>
      </c>
      <c r="S17" s="2">
        <v>1300000</v>
      </c>
      <c r="T17" s="2">
        <v>1300000</v>
      </c>
      <c r="U17" s="2">
        <v>0</v>
      </c>
      <c r="V17" s="2">
        <v>0</v>
      </c>
      <c r="W17" s="2">
        <v>0</v>
      </c>
      <c r="X17" s="2">
        <v>118100</v>
      </c>
      <c r="Y17" s="2">
        <v>0</v>
      </c>
      <c r="Z17" s="2">
        <v>0</v>
      </c>
      <c r="AA17" s="2">
        <v>0</v>
      </c>
      <c r="AB17" s="2">
        <v>0</v>
      </c>
      <c r="AC17" s="2">
        <v>0</v>
      </c>
      <c r="AD17" s="2">
        <v>150000</v>
      </c>
      <c r="AE17" s="2">
        <v>150000</v>
      </c>
      <c r="AF17" s="2">
        <v>150000</v>
      </c>
      <c r="AG17" s="2">
        <v>2631400</v>
      </c>
      <c r="AH17" s="2">
        <v>2552000</v>
      </c>
      <c r="AI17" s="2">
        <v>2113000</v>
      </c>
      <c r="AJ17" s="2">
        <v>382100</v>
      </c>
      <c r="AK17" s="2">
        <v>600000</v>
      </c>
      <c r="AL17" s="2">
        <v>570000</v>
      </c>
      <c r="AM17" s="2">
        <v>0</v>
      </c>
      <c r="AN17" s="2">
        <v>0</v>
      </c>
      <c r="AO17" s="2">
        <v>0</v>
      </c>
      <c r="AP17" s="2">
        <v>0</v>
      </c>
      <c r="AQ17" s="2">
        <v>0</v>
      </c>
      <c r="AR17" s="2">
        <v>0</v>
      </c>
      <c r="AS17" s="2">
        <v>260800</v>
      </c>
      <c r="AT17" s="2">
        <v>110000</v>
      </c>
      <c r="AU17" s="2">
        <v>110000</v>
      </c>
      <c r="AV17" s="2">
        <v>4368400</v>
      </c>
      <c r="AW17" s="50">
        <v>4712000</v>
      </c>
      <c r="AX17" s="50">
        <v>4243000</v>
      </c>
      <c r="AY17" s="3"/>
      <c r="AZ17" s="48">
        <v>1300000</v>
      </c>
      <c r="BA17" s="48"/>
      <c r="BB17" s="4">
        <f t="shared" si="15"/>
        <v>1</v>
      </c>
      <c r="BC17" s="4">
        <f t="shared" si="16"/>
        <v>0</v>
      </c>
      <c r="BD17" s="5">
        <f aca="true" t="shared" si="36" ref="BD17:BD25">-1+AZ17/R17</f>
        <v>0.5738498789346247</v>
      </c>
      <c r="BE17" s="5">
        <f aca="true" t="shared" si="37" ref="BE17:BE25">-1+BA17/S17</f>
        <v>-1</v>
      </c>
      <c r="BF17" s="6"/>
      <c r="BG17" s="7">
        <f t="shared" si="17"/>
        <v>4712000</v>
      </c>
      <c r="BH17" s="7">
        <f t="shared" si="18"/>
        <v>2943000</v>
      </c>
      <c r="BI17" s="8">
        <f t="shared" si="31"/>
        <v>1.0786558007508469</v>
      </c>
      <c r="BJ17" s="8">
        <f t="shared" si="32"/>
        <v>0.6245755517826825</v>
      </c>
      <c r="BK17" s="9">
        <f t="shared" si="33"/>
        <v>0</v>
      </c>
      <c r="BL17" s="9">
        <f t="shared" si="34"/>
        <v>1769000</v>
      </c>
      <c r="BM17" s="10">
        <f t="shared" si="5"/>
        <v>1</v>
      </c>
      <c r="BN17" s="10">
        <f t="shared" si="5"/>
        <v>0.6936130096629743</v>
      </c>
      <c r="BO17" s="11">
        <f t="shared" si="6"/>
        <v>0</v>
      </c>
      <c r="BP17" s="11">
        <f t="shared" si="6"/>
        <v>1300000</v>
      </c>
      <c r="BQ17" s="12">
        <f t="shared" si="19"/>
        <v>0</v>
      </c>
      <c r="BR17" s="12">
        <f t="shared" si="20"/>
        <v>1769000</v>
      </c>
      <c r="BT17" s="14">
        <f t="shared" si="21"/>
        <v>113043.47826086957</v>
      </c>
      <c r="BU17" s="14">
        <f t="shared" si="22"/>
        <v>113043.47826086957</v>
      </c>
      <c r="BV17" s="15">
        <f t="shared" si="23"/>
        <v>154761.90476190476</v>
      </c>
      <c r="BW17" s="244">
        <f t="shared" si="24"/>
        <v>154761.90476190476</v>
      </c>
      <c r="BX17" s="223">
        <v>0.08</v>
      </c>
      <c r="BY17" s="74">
        <f t="shared" si="9"/>
        <v>135776</v>
      </c>
      <c r="BZ17" s="224"/>
      <c r="CA17" s="226">
        <v>135000</v>
      </c>
      <c r="CB17" s="225"/>
      <c r="CC17" s="198"/>
      <c r="CD17" s="199"/>
      <c r="CE17" s="198"/>
      <c r="CF17" s="198"/>
      <c r="CG17" s="198"/>
      <c r="CH17" s="200" t="s">
        <v>46</v>
      </c>
      <c r="CI17" s="200" t="s">
        <v>56</v>
      </c>
      <c r="CJ17" s="4">
        <f t="shared" si="25"/>
        <v>1.1095595641424778</v>
      </c>
      <c r="CK17" s="4">
        <f t="shared" si="26"/>
        <v>1.0286502546689305</v>
      </c>
      <c r="CL17" s="4"/>
      <c r="CM17" s="198">
        <f t="shared" si="10"/>
        <v>135000</v>
      </c>
      <c r="CN17" s="198"/>
      <c r="CO17" s="198">
        <f t="shared" si="27"/>
        <v>826000</v>
      </c>
      <c r="CP17" s="198">
        <f t="shared" si="28"/>
        <v>1435000</v>
      </c>
      <c r="CQ17" s="201">
        <f t="shared" si="11"/>
        <v>0.7372881355932204</v>
      </c>
      <c r="CR17" s="74"/>
      <c r="CS17" s="74">
        <f t="shared" si="35"/>
        <v>900000</v>
      </c>
      <c r="CT17" s="74">
        <f t="shared" si="12"/>
        <v>4243000</v>
      </c>
      <c r="CU17" s="202">
        <v>0.36</v>
      </c>
      <c r="CV17" s="74">
        <f t="shared" si="29"/>
        <v>1300000</v>
      </c>
      <c r="CW17" s="74">
        <f t="shared" si="14"/>
        <v>975000</v>
      </c>
      <c r="CX17" s="74">
        <f t="shared" si="13"/>
        <v>1.0786558007508469</v>
      </c>
      <c r="CY17" s="74"/>
      <c r="CZ17" s="74"/>
    </row>
    <row r="18" spans="1:104" ht="24">
      <c r="A18" s="149">
        <v>43379168</v>
      </c>
      <c r="B18" s="49" t="s">
        <v>69</v>
      </c>
      <c r="C18" s="49" t="s">
        <v>55</v>
      </c>
      <c r="D18" s="49" t="s">
        <v>59</v>
      </c>
      <c r="E18" s="49" t="s">
        <v>70</v>
      </c>
      <c r="F18" s="73">
        <v>3255669</v>
      </c>
      <c r="G18" s="74"/>
      <c r="H18" s="73">
        <v>25</v>
      </c>
      <c r="I18" s="73">
        <v>1</v>
      </c>
      <c r="J18" s="73">
        <v>11</v>
      </c>
      <c r="K18" s="73">
        <v>3</v>
      </c>
      <c r="L18" s="73">
        <v>10</v>
      </c>
      <c r="M18" s="73">
        <v>0</v>
      </c>
      <c r="N18" s="73">
        <v>7.3</v>
      </c>
      <c r="O18" s="73">
        <v>7.3</v>
      </c>
      <c r="P18" s="73">
        <v>6</v>
      </c>
      <c r="Q18" s="73">
        <v>6</v>
      </c>
      <c r="R18" s="2">
        <v>918000</v>
      </c>
      <c r="S18" s="2">
        <v>918000</v>
      </c>
      <c r="T18" s="2">
        <v>918000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2">
        <v>108000</v>
      </c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2">
        <v>1305109</v>
      </c>
      <c r="AH18" s="2">
        <v>1510000</v>
      </c>
      <c r="AI18" s="2">
        <v>1607000</v>
      </c>
      <c r="AJ18" s="2">
        <v>475000</v>
      </c>
      <c r="AK18" s="2">
        <v>550000</v>
      </c>
      <c r="AL18" s="2">
        <v>550000</v>
      </c>
      <c r="AM18" s="2">
        <v>0</v>
      </c>
      <c r="AN18" s="2">
        <v>0</v>
      </c>
      <c r="AO18" s="2">
        <v>0</v>
      </c>
      <c r="AP18" s="2">
        <v>0</v>
      </c>
      <c r="AQ18" s="2">
        <v>0</v>
      </c>
      <c r="AR18" s="2">
        <v>0</v>
      </c>
      <c r="AS18" s="2">
        <v>8000</v>
      </c>
      <c r="AT18" s="2">
        <v>10000</v>
      </c>
      <c r="AU18" s="2">
        <v>15000</v>
      </c>
      <c r="AV18" s="2">
        <v>2814000</v>
      </c>
      <c r="AW18" s="50">
        <v>2988000</v>
      </c>
      <c r="AX18" s="50">
        <v>3090000</v>
      </c>
      <c r="AY18" s="3"/>
      <c r="AZ18" s="48">
        <v>918000</v>
      </c>
      <c r="BA18" s="48"/>
      <c r="BB18" s="4">
        <f t="shared" si="15"/>
        <v>1</v>
      </c>
      <c r="BC18" s="4">
        <f t="shared" si="16"/>
        <v>0</v>
      </c>
      <c r="BD18" s="5">
        <f t="shared" si="36"/>
        <v>0</v>
      </c>
      <c r="BE18" s="5">
        <f t="shared" si="37"/>
        <v>-1</v>
      </c>
      <c r="BF18" s="6"/>
      <c r="BG18" s="7">
        <f t="shared" si="17"/>
        <v>2988000</v>
      </c>
      <c r="BH18" s="7">
        <f t="shared" si="18"/>
        <v>2172000</v>
      </c>
      <c r="BI18" s="8">
        <f t="shared" si="31"/>
        <v>1.0617925602739624</v>
      </c>
      <c r="BJ18" s="8">
        <f t="shared" si="32"/>
        <v>0.7269076305220884</v>
      </c>
      <c r="BK18" s="9">
        <f t="shared" si="33"/>
        <v>0</v>
      </c>
      <c r="BL18" s="9">
        <f t="shared" si="34"/>
        <v>816000</v>
      </c>
      <c r="BM18" s="10">
        <f t="shared" si="5"/>
        <v>1</v>
      </c>
      <c r="BN18" s="10">
        <f t="shared" si="5"/>
        <v>0.7029126213592233</v>
      </c>
      <c r="BO18" s="11">
        <f t="shared" si="6"/>
        <v>0</v>
      </c>
      <c r="BP18" s="11">
        <f t="shared" si="6"/>
        <v>918000</v>
      </c>
      <c r="BQ18" s="12">
        <f t="shared" si="19"/>
        <v>0</v>
      </c>
      <c r="BR18" s="12">
        <f t="shared" si="20"/>
        <v>816000</v>
      </c>
      <c r="BT18" s="14">
        <f t="shared" si="21"/>
        <v>125753.42465753425</v>
      </c>
      <c r="BU18" s="14">
        <f t="shared" si="22"/>
        <v>125753.42465753425</v>
      </c>
      <c r="BV18" s="15">
        <f t="shared" si="23"/>
        <v>153000</v>
      </c>
      <c r="BW18" s="244">
        <f t="shared" si="24"/>
        <v>153000</v>
      </c>
      <c r="BX18" s="223">
        <v>0.08</v>
      </c>
      <c r="BY18" s="74">
        <f t="shared" si="9"/>
        <v>95616</v>
      </c>
      <c r="BZ18" s="224"/>
      <c r="CA18" s="226">
        <v>95000</v>
      </c>
      <c r="CB18" s="225"/>
      <c r="CC18" s="198"/>
      <c r="CD18" s="199"/>
      <c r="CE18" s="198"/>
      <c r="CF18" s="198"/>
      <c r="CG18" s="198"/>
      <c r="CH18" s="200" t="s">
        <v>46</v>
      </c>
      <c r="CI18" s="200" t="s">
        <v>56</v>
      </c>
      <c r="CJ18" s="4">
        <f t="shared" si="25"/>
        <v>1.095593461265103</v>
      </c>
      <c r="CK18" s="4">
        <f t="shared" si="26"/>
        <v>1.0317938420348058</v>
      </c>
      <c r="CL18" s="4"/>
      <c r="CM18" s="198">
        <f t="shared" si="10"/>
        <v>95000</v>
      </c>
      <c r="CN18" s="198"/>
      <c r="CO18" s="198">
        <f t="shared" si="27"/>
        <v>1026000</v>
      </c>
      <c r="CP18" s="198">
        <f t="shared" si="28"/>
        <v>1013000</v>
      </c>
      <c r="CQ18" s="201">
        <f t="shared" si="11"/>
        <v>-0.012670565302144277</v>
      </c>
      <c r="CR18" s="74"/>
      <c r="CS18" s="74">
        <f t="shared" si="35"/>
        <v>900000</v>
      </c>
      <c r="CT18" s="74">
        <f t="shared" si="12"/>
        <v>2241000</v>
      </c>
      <c r="CU18" s="202">
        <v>0.36</v>
      </c>
      <c r="CV18" s="74">
        <f t="shared" si="29"/>
        <v>806760</v>
      </c>
      <c r="CW18" s="74">
        <f t="shared" si="14"/>
        <v>688500</v>
      </c>
      <c r="CX18" s="74">
        <f t="shared" si="13"/>
        <v>1.0618336886993602</v>
      </c>
      <c r="CY18" s="74"/>
      <c r="CZ18" s="74"/>
    </row>
    <row r="19" spans="1:104" ht="24">
      <c r="A19" s="149">
        <v>44990260</v>
      </c>
      <c r="B19" s="49" t="s">
        <v>71</v>
      </c>
      <c r="C19" s="49" t="s">
        <v>43</v>
      </c>
      <c r="D19" s="49" t="s">
        <v>59</v>
      </c>
      <c r="E19" s="49" t="s">
        <v>72</v>
      </c>
      <c r="F19" s="73">
        <v>4409498</v>
      </c>
      <c r="G19" s="73">
        <v>0</v>
      </c>
      <c r="H19" s="73">
        <v>11</v>
      </c>
      <c r="I19" s="73">
        <v>1</v>
      </c>
      <c r="J19" s="73">
        <v>0</v>
      </c>
      <c r="K19" s="73">
        <v>2</v>
      </c>
      <c r="L19" s="73">
        <v>8</v>
      </c>
      <c r="M19" s="73">
        <v>0</v>
      </c>
      <c r="N19" s="73">
        <v>5.2</v>
      </c>
      <c r="O19" s="73">
        <v>5.2</v>
      </c>
      <c r="P19" s="73">
        <v>3.7</v>
      </c>
      <c r="Q19" s="73">
        <v>3.7</v>
      </c>
      <c r="R19" s="2">
        <v>920000</v>
      </c>
      <c r="S19" s="2">
        <v>935000</v>
      </c>
      <c r="T19" s="2">
        <v>1015000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283265</v>
      </c>
      <c r="AB19" s="2">
        <v>213000</v>
      </c>
      <c r="AC19" s="2">
        <v>273000</v>
      </c>
      <c r="AD19" s="2">
        <v>680000</v>
      </c>
      <c r="AE19" s="2">
        <v>720000</v>
      </c>
      <c r="AF19" s="2">
        <v>680000</v>
      </c>
      <c r="AG19" s="2">
        <v>0</v>
      </c>
      <c r="AH19" s="2">
        <v>0</v>
      </c>
      <c r="AI19" s="2">
        <v>0</v>
      </c>
      <c r="AJ19" s="2">
        <v>317287</v>
      </c>
      <c r="AK19" s="2">
        <v>353900</v>
      </c>
      <c r="AL19" s="2">
        <v>319200</v>
      </c>
      <c r="AM19" s="2">
        <v>0</v>
      </c>
      <c r="AN19" s="2">
        <v>0</v>
      </c>
      <c r="AO19" s="2">
        <v>0</v>
      </c>
      <c r="AP19" s="2">
        <v>0</v>
      </c>
      <c r="AQ19" s="2">
        <v>0</v>
      </c>
      <c r="AR19" s="2">
        <v>0</v>
      </c>
      <c r="AS19" s="2">
        <v>93534</v>
      </c>
      <c r="AT19" s="2">
        <v>102100</v>
      </c>
      <c r="AU19" s="2">
        <v>80600</v>
      </c>
      <c r="AV19" s="2">
        <v>2294086</v>
      </c>
      <c r="AW19" s="50">
        <v>2324000</v>
      </c>
      <c r="AX19" s="50">
        <v>2367800</v>
      </c>
      <c r="AY19" s="3"/>
      <c r="AZ19" s="48">
        <v>935000</v>
      </c>
      <c r="BA19" s="48"/>
      <c r="BB19" s="4">
        <f t="shared" si="15"/>
        <v>1</v>
      </c>
      <c r="BC19" s="4">
        <f t="shared" si="16"/>
        <v>0</v>
      </c>
      <c r="BD19" s="5">
        <f t="shared" si="36"/>
        <v>0.016304347826086918</v>
      </c>
      <c r="BE19" s="5">
        <f t="shared" si="37"/>
        <v>-1</v>
      </c>
      <c r="BF19" s="6"/>
      <c r="BG19" s="7">
        <f t="shared" si="17"/>
        <v>2111000</v>
      </c>
      <c r="BH19" s="7">
        <f t="shared" si="18"/>
        <v>1079800</v>
      </c>
      <c r="BI19" s="8">
        <f t="shared" si="31"/>
        <v>0.9201921811126522</v>
      </c>
      <c r="BJ19" s="8">
        <f t="shared" si="32"/>
        <v>0.46462994836488813</v>
      </c>
      <c r="BK19" s="9">
        <f t="shared" si="33"/>
        <v>183086</v>
      </c>
      <c r="BL19" s="9">
        <f t="shared" si="34"/>
        <v>1244200</v>
      </c>
      <c r="BM19" s="10">
        <f t="shared" si="5"/>
        <v>0.9083476764199656</v>
      </c>
      <c r="BN19" s="10">
        <f t="shared" si="5"/>
        <v>0.4560351381028803</v>
      </c>
      <c r="BO19" s="11">
        <f t="shared" si="6"/>
        <v>213000</v>
      </c>
      <c r="BP19" s="11">
        <f t="shared" si="6"/>
        <v>1288000</v>
      </c>
      <c r="BQ19" s="12">
        <f t="shared" si="19"/>
        <v>0</v>
      </c>
      <c r="BR19" s="12">
        <f t="shared" si="20"/>
        <v>1031200</v>
      </c>
      <c r="BT19" s="14">
        <f t="shared" si="21"/>
        <v>179807.6923076923</v>
      </c>
      <c r="BU19" s="14">
        <f t="shared" si="22"/>
        <v>179807.6923076923</v>
      </c>
      <c r="BV19" s="15">
        <f t="shared" si="23"/>
        <v>252702.7027027027</v>
      </c>
      <c r="BW19" s="244">
        <f t="shared" si="24"/>
        <v>252702.7027027027</v>
      </c>
      <c r="BX19" s="223">
        <v>0.08</v>
      </c>
      <c r="BY19" s="74">
        <f t="shared" si="9"/>
        <v>74368</v>
      </c>
      <c r="BZ19" s="224"/>
      <c r="CA19" s="226">
        <v>74000</v>
      </c>
      <c r="CB19" s="225"/>
      <c r="CC19" s="198"/>
      <c r="CD19" s="199"/>
      <c r="CE19" s="198"/>
      <c r="CF19" s="198"/>
      <c r="CG19" s="198"/>
      <c r="CH19" s="200" t="s">
        <v>46</v>
      </c>
      <c r="CI19" s="200" t="s">
        <v>47</v>
      </c>
      <c r="CJ19" s="4">
        <f t="shared" si="25"/>
        <v>0.952449036348245</v>
      </c>
      <c r="CK19" s="4">
        <f t="shared" si="26"/>
        <v>0.9401893287435457</v>
      </c>
      <c r="CL19" s="4"/>
      <c r="CM19" s="198">
        <f t="shared" si="10"/>
        <v>74000</v>
      </c>
      <c r="CN19" s="198"/>
      <c r="CO19" s="198">
        <f t="shared" si="27"/>
        <v>1203265</v>
      </c>
      <c r="CP19" s="198">
        <f t="shared" si="28"/>
        <v>1009000</v>
      </c>
      <c r="CQ19" s="201">
        <f t="shared" si="11"/>
        <v>-0.1614482262843181</v>
      </c>
      <c r="CR19" s="74"/>
      <c r="CS19" s="74">
        <f t="shared" si="35"/>
        <v>396000</v>
      </c>
      <c r="CT19" s="74">
        <f t="shared" si="12"/>
        <v>1743000</v>
      </c>
      <c r="CU19" s="202">
        <v>0.36</v>
      </c>
      <c r="CV19" s="74">
        <f t="shared" si="29"/>
        <v>627480</v>
      </c>
      <c r="CW19" s="74">
        <f t="shared" si="14"/>
        <v>701250</v>
      </c>
      <c r="CX19" s="74">
        <f t="shared" si="13"/>
        <v>1.0130396157772639</v>
      </c>
      <c r="CY19" s="74"/>
      <c r="CZ19" s="74"/>
    </row>
    <row r="20" spans="1:104" ht="21" customHeight="1">
      <c r="A20" s="149">
        <v>44990260</v>
      </c>
      <c r="B20" s="49" t="s">
        <v>71</v>
      </c>
      <c r="C20" s="49" t="s">
        <v>43</v>
      </c>
      <c r="D20" s="49" t="s">
        <v>59</v>
      </c>
      <c r="E20" s="49" t="s">
        <v>73</v>
      </c>
      <c r="F20" s="73">
        <v>8089034</v>
      </c>
      <c r="G20" s="73">
        <v>0</v>
      </c>
      <c r="H20" s="73">
        <v>12</v>
      </c>
      <c r="I20" s="73">
        <v>3</v>
      </c>
      <c r="J20" s="73">
        <v>4</v>
      </c>
      <c r="K20" s="73">
        <v>1</v>
      </c>
      <c r="L20" s="73">
        <v>1</v>
      </c>
      <c r="M20" s="73">
        <v>3</v>
      </c>
      <c r="N20" s="73">
        <v>5.4</v>
      </c>
      <c r="O20" s="73">
        <v>6.3</v>
      </c>
      <c r="P20" s="73">
        <v>4.5</v>
      </c>
      <c r="Q20" s="73">
        <v>4.9</v>
      </c>
      <c r="R20" s="2">
        <v>1112000</v>
      </c>
      <c r="S20" s="2">
        <v>1160000</v>
      </c>
      <c r="T20" s="2">
        <v>1510000</v>
      </c>
      <c r="U20" s="2">
        <v>0</v>
      </c>
      <c r="V20" s="2">
        <v>0</v>
      </c>
      <c r="W20" s="2">
        <v>0</v>
      </c>
      <c r="X20" s="91">
        <v>0</v>
      </c>
      <c r="Y20" s="2">
        <v>0</v>
      </c>
      <c r="Z20" s="2">
        <v>0</v>
      </c>
      <c r="AA20" s="2">
        <v>361198</v>
      </c>
      <c r="AB20" s="2">
        <v>362000</v>
      </c>
      <c r="AC20" s="2">
        <v>360000</v>
      </c>
      <c r="AD20" s="2">
        <v>450057</v>
      </c>
      <c r="AE20" s="2">
        <v>404000</v>
      </c>
      <c r="AF20" s="2">
        <v>400000</v>
      </c>
      <c r="AG20" s="2">
        <v>0</v>
      </c>
      <c r="AH20" s="2">
        <v>0</v>
      </c>
      <c r="AI20" s="2">
        <v>0</v>
      </c>
      <c r="AJ20" s="2">
        <v>298862</v>
      </c>
      <c r="AK20" s="2">
        <v>307500</v>
      </c>
      <c r="AL20" s="2">
        <v>376000</v>
      </c>
      <c r="AM20" s="2">
        <v>0</v>
      </c>
      <c r="AN20" s="2">
        <v>0</v>
      </c>
      <c r="AO20" s="2">
        <v>0</v>
      </c>
      <c r="AP20" s="2">
        <v>0</v>
      </c>
      <c r="AQ20" s="2">
        <v>0</v>
      </c>
      <c r="AR20" s="2">
        <v>0</v>
      </c>
      <c r="AS20" s="2">
        <v>57795</v>
      </c>
      <c r="AT20" s="2">
        <v>94300</v>
      </c>
      <c r="AU20" s="2">
        <v>81600</v>
      </c>
      <c r="AV20" s="2">
        <v>2279912</v>
      </c>
      <c r="AW20" s="50">
        <v>2327800</v>
      </c>
      <c r="AX20" s="50">
        <v>2727600</v>
      </c>
      <c r="AY20" s="3"/>
      <c r="AZ20" s="48">
        <v>363000</v>
      </c>
      <c r="BA20" s="48"/>
      <c r="BB20" s="4">
        <f t="shared" si="15"/>
        <v>0.3129310344827586</v>
      </c>
      <c r="BC20" s="4">
        <f t="shared" si="16"/>
        <v>0</v>
      </c>
      <c r="BD20" s="5">
        <f t="shared" si="36"/>
        <v>-0.6735611510791366</v>
      </c>
      <c r="BE20" s="5">
        <f t="shared" si="37"/>
        <v>-1</v>
      </c>
      <c r="BF20" s="6"/>
      <c r="BG20" s="7">
        <f t="shared" si="17"/>
        <v>1168800</v>
      </c>
      <c r="BH20" s="7">
        <f t="shared" si="18"/>
        <v>857600</v>
      </c>
      <c r="BI20" s="8">
        <f t="shared" si="31"/>
        <v>0.5126513654912996</v>
      </c>
      <c r="BJ20" s="8">
        <f t="shared" si="32"/>
        <v>0.3684165306297792</v>
      </c>
      <c r="BK20" s="9">
        <f t="shared" si="33"/>
        <v>1111112</v>
      </c>
      <c r="BL20" s="9">
        <f t="shared" si="34"/>
        <v>1470200</v>
      </c>
      <c r="BM20" s="10">
        <f t="shared" si="5"/>
        <v>0.5021049918377868</v>
      </c>
      <c r="BN20" s="10">
        <f t="shared" si="5"/>
        <v>0.314415603460918</v>
      </c>
      <c r="BO20" s="11">
        <f t="shared" si="6"/>
        <v>1159000</v>
      </c>
      <c r="BP20" s="11">
        <f t="shared" si="6"/>
        <v>1870000</v>
      </c>
      <c r="BQ20" s="12">
        <f t="shared" si="19"/>
        <v>749914</v>
      </c>
      <c r="BR20" s="12">
        <f t="shared" si="20"/>
        <v>1108200</v>
      </c>
      <c r="BT20" s="14">
        <f t="shared" si="21"/>
        <v>67222.22222222222</v>
      </c>
      <c r="BU20" s="14">
        <f t="shared" si="22"/>
        <v>57619.04761904762</v>
      </c>
      <c r="BV20" s="15">
        <f t="shared" si="23"/>
        <v>80666.66666666667</v>
      </c>
      <c r="BW20" s="244">
        <f t="shared" si="24"/>
        <v>74081.63265306121</v>
      </c>
      <c r="BX20" s="223">
        <v>0.08</v>
      </c>
      <c r="BY20" s="74">
        <f t="shared" si="9"/>
        <v>74489.6</v>
      </c>
      <c r="BZ20" s="224"/>
      <c r="CA20" s="226">
        <v>74000</v>
      </c>
      <c r="CB20" s="225"/>
      <c r="CC20" s="198"/>
      <c r="CD20" s="199"/>
      <c r="CE20" s="198"/>
      <c r="CF20" s="198"/>
      <c r="CG20" s="198"/>
      <c r="CH20" s="200" t="s">
        <v>46</v>
      </c>
      <c r="CI20" s="200" t="s">
        <v>47</v>
      </c>
      <c r="CJ20" s="4">
        <f t="shared" si="25"/>
        <v>0.5451087585836646</v>
      </c>
      <c r="CK20" s="4">
        <f t="shared" si="26"/>
        <v>0.5338946644900765</v>
      </c>
      <c r="CL20" s="4"/>
      <c r="CM20" s="198">
        <f t="shared" si="10"/>
        <v>74000</v>
      </c>
      <c r="CN20" s="198"/>
      <c r="CO20" s="198">
        <f t="shared" si="27"/>
        <v>1473198</v>
      </c>
      <c r="CP20" s="198">
        <f t="shared" si="28"/>
        <v>437000</v>
      </c>
      <c r="CQ20" s="201">
        <f t="shared" si="11"/>
        <v>-0.7033664178202794</v>
      </c>
      <c r="CR20" s="74"/>
      <c r="CS20" s="74">
        <f t="shared" si="35"/>
        <v>432000</v>
      </c>
      <c r="CT20" s="74">
        <f t="shared" si="12"/>
        <v>1745850</v>
      </c>
      <c r="CU20" s="202">
        <v>0.36</v>
      </c>
      <c r="CV20" s="74">
        <f t="shared" si="29"/>
        <v>628506</v>
      </c>
      <c r="CW20" s="74">
        <f t="shared" si="14"/>
        <v>870000</v>
      </c>
      <c r="CX20" s="74">
        <f t="shared" si="13"/>
        <v>1.0210043194649618</v>
      </c>
      <c r="CY20" s="74"/>
      <c r="CZ20" s="74"/>
    </row>
    <row r="21" spans="1:104" ht="20.25" customHeight="1">
      <c r="A21" s="149">
        <v>44990260</v>
      </c>
      <c r="B21" s="49" t="s">
        <v>71</v>
      </c>
      <c r="C21" s="49" t="s">
        <v>43</v>
      </c>
      <c r="D21" s="49" t="s">
        <v>59</v>
      </c>
      <c r="E21" s="49" t="s">
        <v>74</v>
      </c>
      <c r="F21" s="73">
        <v>8981293</v>
      </c>
      <c r="G21" s="73">
        <v>0</v>
      </c>
      <c r="H21" s="73">
        <v>16</v>
      </c>
      <c r="I21" s="73">
        <v>1</v>
      </c>
      <c r="J21" s="73">
        <v>7</v>
      </c>
      <c r="K21" s="73">
        <v>6</v>
      </c>
      <c r="L21" s="73">
        <v>1</v>
      </c>
      <c r="M21" s="73">
        <v>1</v>
      </c>
      <c r="N21" s="73">
        <v>7.2</v>
      </c>
      <c r="O21" s="73">
        <v>8.1</v>
      </c>
      <c r="P21" s="73">
        <v>6.2</v>
      </c>
      <c r="Q21" s="73">
        <v>6.5</v>
      </c>
      <c r="R21" s="2">
        <v>1747000</v>
      </c>
      <c r="S21" s="2">
        <v>1775000</v>
      </c>
      <c r="T21" s="2">
        <v>2273000</v>
      </c>
      <c r="U21" s="2">
        <v>0</v>
      </c>
      <c r="V21" s="2">
        <v>0</v>
      </c>
      <c r="W21" s="2">
        <v>0</v>
      </c>
      <c r="X21" s="91">
        <v>0</v>
      </c>
      <c r="Y21" s="2">
        <v>0</v>
      </c>
      <c r="Z21" s="2">
        <v>0</v>
      </c>
      <c r="AA21" s="2">
        <v>555647</v>
      </c>
      <c r="AB21" s="2">
        <v>595000</v>
      </c>
      <c r="AC21" s="2">
        <v>560000</v>
      </c>
      <c r="AD21" s="2">
        <v>226961</v>
      </c>
      <c r="AE21" s="2">
        <v>148800</v>
      </c>
      <c r="AF21" s="2">
        <v>300000</v>
      </c>
      <c r="AG21" s="2">
        <v>0</v>
      </c>
      <c r="AH21" s="2">
        <v>0</v>
      </c>
      <c r="AI21" s="2">
        <v>0</v>
      </c>
      <c r="AJ21" s="2">
        <v>370494</v>
      </c>
      <c r="AK21" s="2">
        <v>422000</v>
      </c>
      <c r="AL21" s="2">
        <v>483000</v>
      </c>
      <c r="AM21" s="2">
        <v>0</v>
      </c>
      <c r="AN21" s="2">
        <v>0</v>
      </c>
      <c r="AO21" s="2">
        <v>0</v>
      </c>
      <c r="AP21" s="2">
        <v>0</v>
      </c>
      <c r="AQ21" s="2">
        <v>0</v>
      </c>
      <c r="AR21" s="2">
        <v>0</v>
      </c>
      <c r="AS21" s="2">
        <v>114581</v>
      </c>
      <c r="AT21" s="2">
        <v>144500</v>
      </c>
      <c r="AU21" s="2">
        <v>113500</v>
      </c>
      <c r="AV21" s="2">
        <v>3014683</v>
      </c>
      <c r="AW21" s="50">
        <v>3085300</v>
      </c>
      <c r="AX21" s="50">
        <v>3729500</v>
      </c>
      <c r="AY21" s="3"/>
      <c r="AZ21" s="48">
        <v>1096000</v>
      </c>
      <c r="BA21" s="48"/>
      <c r="BB21" s="4">
        <f t="shared" si="15"/>
        <v>0.6174647887323944</v>
      </c>
      <c r="BC21" s="4">
        <f t="shared" si="16"/>
        <v>0</v>
      </c>
      <c r="BD21" s="5">
        <f t="shared" si="36"/>
        <v>-0.3726388093875215</v>
      </c>
      <c r="BE21" s="5">
        <f t="shared" si="37"/>
        <v>-1</v>
      </c>
      <c r="BF21" s="6"/>
      <c r="BG21" s="7">
        <f t="shared" si="17"/>
        <v>1811300</v>
      </c>
      <c r="BH21" s="7">
        <f t="shared" si="18"/>
        <v>896500</v>
      </c>
      <c r="BI21" s="8">
        <f t="shared" si="31"/>
        <v>0.6008260238306979</v>
      </c>
      <c r="BJ21" s="8">
        <f t="shared" si="32"/>
        <v>0.290571419310926</v>
      </c>
      <c r="BK21" s="9">
        <f t="shared" si="33"/>
        <v>1203383</v>
      </c>
      <c r="BL21" s="9">
        <f t="shared" si="34"/>
        <v>2188800</v>
      </c>
      <c r="BM21" s="10">
        <f t="shared" si="5"/>
        <v>0.5870741905163194</v>
      </c>
      <c r="BN21" s="10">
        <f t="shared" si="5"/>
        <v>0.24038074808955623</v>
      </c>
      <c r="BO21" s="11">
        <f t="shared" si="6"/>
        <v>1274000</v>
      </c>
      <c r="BP21" s="11">
        <f t="shared" si="6"/>
        <v>2833000</v>
      </c>
      <c r="BQ21" s="12">
        <f t="shared" si="19"/>
        <v>647736</v>
      </c>
      <c r="BR21" s="12">
        <f t="shared" si="20"/>
        <v>1593800</v>
      </c>
      <c r="BT21" s="14">
        <f t="shared" si="21"/>
        <v>152222.22222222222</v>
      </c>
      <c r="BU21" s="14">
        <f t="shared" si="22"/>
        <v>135308.64197530865</v>
      </c>
      <c r="BV21" s="15">
        <f t="shared" si="23"/>
        <v>176774.1935483871</v>
      </c>
      <c r="BW21" s="244">
        <f t="shared" si="24"/>
        <v>168615.38461538462</v>
      </c>
      <c r="BX21" s="223">
        <v>0.08</v>
      </c>
      <c r="BY21" s="74">
        <f t="shared" si="9"/>
        <v>98729.6</v>
      </c>
      <c r="BZ21" s="224"/>
      <c r="CA21" s="226">
        <v>98000</v>
      </c>
      <c r="CB21" s="225"/>
      <c r="CC21" s="198"/>
      <c r="CD21" s="199"/>
      <c r="CE21" s="198"/>
      <c r="CF21" s="198"/>
      <c r="CG21" s="198"/>
      <c r="CH21" s="200" t="s">
        <v>46</v>
      </c>
      <c r="CI21" s="200" t="s">
        <v>47</v>
      </c>
      <c r="CJ21" s="4">
        <f t="shared" si="25"/>
        <v>0.6333335876442067</v>
      </c>
      <c r="CK21" s="4">
        <f t="shared" si="26"/>
        <v>0.6188377143227562</v>
      </c>
      <c r="CL21" s="4"/>
      <c r="CM21" s="198">
        <f t="shared" si="10"/>
        <v>98000</v>
      </c>
      <c r="CN21" s="198"/>
      <c r="CO21" s="198">
        <f t="shared" si="27"/>
        <v>2302647</v>
      </c>
      <c r="CP21" s="198">
        <f t="shared" si="28"/>
        <v>1194000</v>
      </c>
      <c r="CQ21" s="201">
        <f t="shared" si="11"/>
        <v>-0.4814663298369225</v>
      </c>
      <c r="CR21" s="74"/>
      <c r="CS21" s="74">
        <f t="shared" si="35"/>
        <v>576000</v>
      </c>
      <c r="CT21" s="74">
        <f t="shared" si="12"/>
        <v>2313975</v>
      </c>
      <c r="CU21" s="202">
        <v>0.36</v>
      </c>
      <c r="CV21" s="74">
        <f t="shared" si="29"/>
        <v>833031</v>
      </c>
      <c r="CW21" s="74">
        <f t="shared" si="14"/>
        <v>1331250</v>
      </c>
      <c r="CX21" s="74">
        <f t="shared" si="13"/>
        <v>1.0234243534063117</v>
      </c>
      <c r="CY21" s="74"/>
      <c r="CZ21" s="74"/>
    </row>
    <row r="22" spans="1:104" ht="24">
      <c r="A22" s="149">
        <v>60128640</v>
      </c>
      <c r="B22" s="49" t="s">
        <v>75</v>
      </c>
      <c r="C22" s="49" t="s">
        <v>43</v>
      </c>
      <c r="D22" s="49" t="s">
        <v>59</v>
      </c>
      <c r="E22" s="49" t="s">
        <v>76</v>
      </c>
      <c r="F22" s="73">
        <v>7691496</v>
      </c>
      <c r="G22" s="74"/>
      <c r="H22" s="73">
        <v>18</v>
      </c>
      <c r="I22" s="73">
        <v>1</v>
      </c>
      <c r="J22" s="73">
        <v>5</v>
      </c>
      <c r="K22" s="73">
        <v>8</v>
      </c>
      <c r="L22" s="73">
        <v>2</v>
      </c>
      <c r="M22" s="73">
        <v>2</v>
      </c>
      <c r="N22" s="73">
        <v>8.8</v>
      </c>
      <c r="O22" s="73">
        <v>8.7</v>
      </c>
      <c r="P22" s="73">
        <v>5.4</v>
      </c>
      <c r="Q22" s="73">
        <v>5.3</v>
      </c>
      <c r="R22" s="2">
        <v>1614000</v>
      </c>
      <c r="S22" s="2">
        <v>1628000</v>
      </c>
      <c r="T22" s="2">
        <v>2286604</v>
      </c>
      <c r="U22" s="2">
        <v>14900</v>
      </c>
      <c r="V22" s="2">
        <v>17300</v>
      </c>
      <c r="W22" s="2">
        <v>0</v>
      </c>
      <c r="X22" s="2">
        <v>52562</v>
      </c>
      <c r="Y22" s="2">
        <v>48000</v>
      </c>
      <c r="Z22" s="2">
        <v>0</v>
      </c>
      <c r="AA22" s="2">
        <v>459290</v>
      </c>
      <c r="AB22" s="2">
        <v>487253</v>
      </c>
      <c r="AC22" s="2">
        <v>450000</v>
      </c>
      <c r="AD22" s="2">
        <v>198000</v>
      </c>
      <c r="AE22" s="2">
        <v>206000</v>
      </c>
      <c r="AF22" s="2">
        <v>200000</v>
      </c>
      <c r="AG22" s="2">
        <v>0</v>
      </c>
      <c r="AH22" s="2">
        <v>0</v>
      </c>
      <c r="AI22" s="2">
        <v>0</v>
      </c>
      <c r="AJ22" s="2">
        <v>381243</v>
      </c>
      <c r="AK22" s="2">
        <v>400000</v>
      </c>
      <c r="AL22" s="2">
        <v>400000</v>
      </c>
      <c r="AM22" s="2">
        <v>0</v>
      </c>
      <c r="AN22" s="2">
        <v>0</v>
      </c>
      <c r="AO22" s="2">
        <v>0</v>
      </c>
      <c r="AP22" s="2">
        <v>0</v>
      </c>
      <c r="AQ22" s="2">
        <v>0</v>
      </c>
      <c r="AR22" s="2">
        <v>0</v>
      </c>
      <c r="AS22" s="2">
        <v>259043</v>
      </c>
      <c r="AT22" s="2">
        <v>155000</v>
      </c>
      <c r="AU22" s="2">
        <v>88100</v>
      </c>
      <c r="AV22" s="2">
        <v>2979970</v>
      </c>
      <c r="AW22" s="50">
        <v>2941553</v>
      </c>
      <c r="AX22" s="50">
        <v>3424704</v>
      </c>
      <c r="AY22" s="3"/>
      <c r="AZ22" s="48">
        <v>1407000</v>
      </c>
      <c r="BA22" s="48"/>
      <c r="BB22" s="4">
        <f t="shared" si="15"/>
        <v>0.8642506142506142</v>
      </c>
      <c r="BC22" s="4">
        <f t="shared" si="16"/>
        <v>0</v>
      </c>
      <c r="BD22" s="5">
        <f t="shared" si="36"/>
        <v>-0.12825278810408924</v>
      </c>
      <c r="BE22" s="5">
        <f t="shared" si="37"/>
        <v>-1</v>
      </c>
      <c r="BF22" s="6"/>
      <c r="BG22" s="7">
        <f t="shared" si="17"/>
        <v>2233300</v>
      </c>
      <c r="BH22" s="7">
        <f t="shared" si="18"/>
        <v>688100</v>
      </c>
      <c r="BI22" s="8">
        <f t="shared" si="31"/>
        <v>0.7496715382616804</v>
      </c>
      <c r="BJ22" s="8">
        <f t="shared" si="32"/>
        <v>0.23392405304272948</v>
      </c>
      <c r="BK22" s="9">
        <f t="shared" si="33"/>
        <v>745738</v>
      </c>
      <c r="BL22" s="9">
        <f t="shared" si="34"/>
        <v>2253453</v>
      </c>
      <c r="BM22" s="10">
        <f t="shared" si="5"/>
        <v>0.7592248040405867</v>
      </c>
      <c r="BN22" s="10">
        <f t="shared" si="5"/>
        <v>0.20092247388387435</v>
      </c>
      <c r="BO22" s="11">
        <f t="shared" si="6"/>
        <v>708253</v>
      </c>
      <c r="BP22" s="11">
        <f t="shared" si="6"/>
        <v>2736604</v>
      </c>
      <c r="BQ22" s="12">
        <f t="shared" si="19"/>
        <v>286448</v>
      </c>
      <c r="BR22" s="12">
        <f t="shared" si="20"/>
        <v>1766200</v>
      </c>
      <c r="BT22" s="14">
        <f t="shared" si="21"/>
        <v>159886.36363636362</v>
      </c>
      <c r="BU22" s="14">
        <f t="shared" si="22"/>
        <v>161724.1379310345</v>
      </c>
      <c r="BV22" s="15">
        <f t="shared" si="23"/>
        <v>260555.55555555553</v>
      </c>
      <c r="BW22" s="244">
        <f t="shared" si="24"/>
        <v>265471.69811320753</v>
      </c>
      <c r="BX22" s="223">
        <v>0.08</v>
      </c>
      <c r="BY22" s="74">
        <f t="shared" si="9"/>
        <v>94129.696</v>
      </c>
      <c r="BZ22" s="224"/>
      <c r="CA22" s="226">
        <v>94000</v>
      </c>
      <c r="CB22" s="225"/>
      <c r="CC22" s="198"/>
      <c r="CD22" s="199"/>
      <c r="CE22" s="198"/>
      <c r="CF22" s="198"/>
      <c r="CG22" s="198"/>
      <c r="CH22" s="200" t="s">
        <v>46</v>
      </c>
      <c r="CI22" s="200" t="s">
        <v>52</v>
      </c>
      <c r="CJ22" s="4">
        <f t="shared" si="25"/>
        <v>0.7809810165874153</v>
      </c>
      <c r="CK22" s="4">
        <f t="shared" si="26"/>
        <v>0.791180713045116</v>
      </c>
      <c r="CL22" s="4"/>
      <c r="CM22" s="198">
        <f t="shared" si="10"/>
        <v>94000</v>
      </c>
      <c r="CN22" s="198"/>
      <c r="CO22" s="198">
        <f t="shared" si="27"/>
        <v>2073290</v>
      </c>
      <c r="CP22" s="198">
        <f t="shared" si="28"/>
        <v>1501000</v>
      </c>
      <c r="CQ22" s="201">
        <f t="shared" si="11"/>
        <v>-0.2760298848689764</v>
      </c>
      <c r="CR22" s="74"/>
      <c r="CS22" s="74">
        <f t="shared" si="35"/>
        <v>648000</v>
      </c>
      <c r="CT22" s="74">
        <f t="shared" si="12"/>
        <v>2206164.75</v>
      </c>
      <c r="CU22" s="202">
        <v>0.36</v>
      </c>
      <c r="CV22" s="74">
        <f t="shared" si="29"/>
        <v>794219.3099999999</v>
      </c>
      <c r="CW22" s="74">
        <f t="shared" si="14"/>
        <v>1221000</v>
      </c>
      <c r="CX22" s="74">
        <f t="shared" si="13"/>
        <v>0.9871082594791223</v>
      </c>
      <c r="CY22" s="74"/>
      <c r="CZ22" s="74"/>
    </row>
    <row r="23" spans="1:104" ht="24">
      <c r="A23" s="149">
        <v>70188467</v>
      </c>
      <c r="B23" s="49" t="s">
        <v>54</v>
      </c>
      <c r="C23" s="49" t="s">
        <v>55</v>
      </c>
      <c r="D23" s="49" t="s">
        <v>59</v>
      </c>
      <c r="E23" s="49" t="s">
        <v>76</v>
      </c>
      <c r="F23" s="73">
        <v>9869882</v>
      </c>
      <c r="G23" s="73">
        <v>0</v>
      </c>
      <c r="H23" s="73">
        <v>20</v>
      </c>
      <c r="I23" s="73">
        <v>0</v>
      </c>
      <c r="J23" s="73">
        <v>0</v>
      </c>
      <c r="K23" s="73">
        <v>0</v>
      </c>
      <c r="L23" s="73">
        <v>0</v>
      </c>
      <c r="M23" s="73">
        <v>20</v>
      </c>
      <c r="N23" s="73">
        <v>5.5</v>
      </c>
      <c r="O23" s="73">
        <v>3.3</v>
      </c>
      <c r="P23" s="73">
        <v>4</v>
      </c>
      <c r="Q23" s="73">
        <v>2.2</v>
      </c>
      <c r="R23" s="2">
        <v>358000</v>
      </c>
      <c r="S23" s="2">
        <v>200000</v>
      </c>
      <c r="T23" s="2">
        <v>350000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  <c r="Z23" s="2">
        <v>0</v>
      </c>
      <c r="AA23" s="2">
        <v>0</v>
      </c>
      <c r="AB23" s="2">
        <v>0</v>
      </c>
      <c r="AC23" s="2">
        <v>0</v>
      </c>
      <c r="AD23" s="2">
        <v>0</v>
      </c>
      <c r="AE23" s="2">
        <v>0</v>
      </c>
      <c r="AF23" s="2">
        <v>0</v>
      </c>
      <c r="AG23" s="2">
        <v>624800</v>
      </c>
      <c r="AH23" s="2">
        <v>1373400</v>
      </c>
      <c r="AI23" s="2">
        <v>766340</v>
      </c>
      <c r="AJ23" s="2">
        <v>204683</v>
      </c>
      <c r="AK23" s="2">
        <v>180000</v>
      </c>
      <c r="AL23" s="2">
        <v>184100</v>
      </c>
      <c r="AM23" s="2">
        <v>0</v>
      </c>
      <c r="AN23" s="2">
        <v>0</v>
      </c>
      <c r="AO23" s="2">
        <v>0</v>
      </c>
      <c r="AP23" s="2">
        <v>0</v>
      </c>
      <c r="AQ23" s="2">
        <v>0</v>
      </c>
      <c r="AR23" s="2">
        <v>0</v>
      </c>
      <c r="AS23" s="2">
        <v>0</v>
      </c>
      <c r="AT23" s="2">
        <v>0</v>
      </c>
      <c r="AU23" s="2">
        <v>0</v>
      </c>
      <c r="AV23" s="2">
        <v>1187483</v>
      </c>
      <c r="AW23" s="50">
        <v>1753400</v>
      </c>
      <c r="AX23" s="50">
        <v>1300440</v>
      </c>
      <c r="AY23" s="3"/>
      <c r="AZ23" s="48">
        <v>200000</v>
      </c>
      <c r="BA23" s="48"/>
      <c r="BB23" s="4">
        <f t="shared" si="15"/>
        <v>1</v>
      </c>
      <c r="BC23" s="4">
        <f t="shared" si="16"/>
        <v>0</v>
      </c>
      <c r="BD23" s="5">
        <f t="shared" si="36"/>
        <v>-0.44134078212290506</v>
      </c>
      <c r="BE23" s="5">
        <f t="shared" si="37"/>
        <v>-1</v>
      </c>
      <c r="BF23" s="6"/>
      <c r="BG23" s="7">
        <f t="shared" si="17"/>
        <v>1753400</v>
      </c>
      <c r="BH23" s="7">
        <f t="shared" si="18"/>
        <v>950440</v>
      </c>
      <c r="BI23" s="8">
        <f t="shared" si="31"/>
        <v>1.4765685066649374</v>
      </c>
      <c r="BJ23" s="8">
        <f t="shared" si="32"/>
        <v>0.5420554351545569</v>
      </c>
      <c r="BK23" s="9">
        <f t="shared" si="33"/>
        <v>0</v>
      </c>
      <c r="BL23" s="9">
        <f t="shared" si="34"/>
        <v>802960</v>
      </c>
      <c r="BM23" s="10">
        <f t="shared" si="5"/>
        <v>1</v>
      </c>
      <c r="BN23" s="10">
        <f t="shared" si="5"/>
        <v>0.7308603241979638</v>
      </c>
      <c r="BO23" s="11">
        <f t="shared" si="6"/>
        <v>0</v>
      </c>
      <c r="BP23" s="11">
        <f t="shared" si="6"/>
        <v>350000</v>
      </c>
      <c r="BQ23" s="12">
        <f t="shared" si="19"/>
        <v>0</v>
      </c>
      <c r="BR23" s="12">
        <f t="shared" si="20"/>
        <v>802960</v>
      </c>
      <c r="BT23" s="14">
        <f t="shared" si="21"/>
        <v>36363.63636363636</v>
      </c>
      <c r="BU23" s="14">
        <f t="shared" si="22"/>
        <v>60606.06060606061</v>
      </c>
      <c r="BV23" s="15">
        <f t="shared" si="23"/>
        <v>50000</v>
      </c>
      <c r="BW23" s="244">
        <f t="shared" si="24"/>
        <v>90909.0909090909</v>
      </c>
      <c r="BX23" s="223">
        <v>0.08</v>
      </c>
      <c r="BY23" s="74">
        <f t="shared" si="9"/>
        <v>41614.08</v>
      </c>
      <c r="BZ23" s="224"/>
      <c r="CA23" s="226">
        <v>41000</v>
      </c>
      <c r="CB23" s="225"/>
      <c r="CC23" s="198"/>
      <c r="CD23" s="199"/>
      <c r="CE23" s="198"/>
      <c r="CF23" s="198"/>
      <c r="CG23" s="198"/>
      <c r="CH23" s="200" t="s">
        <v>46</v>
      </c>
      <c r="CI23" s="200" t="s">
        <v>56</v>
      </c>
      <c r="CJ23" s="4">
        <f t="shared" si="25"/>
        <v>1.5110953167329553</v>
      </c>
      <c r="CK23" s="4">
        <f t="shared" si="26"/>
        <v>1.0233831413254248</v>
      </c>
      <c r="CL23" s="4"/>
      <c r="CM23" s="198">
        <f t="shared" si="10"/>
        <v>41000</v>
      </c>
      <c r="CN23" s="198"/>
      <c r="CO23" s="198">
        <f t="shared" si="27"/>
        <v>358000</v>
      </c>
      <c r="CP23" s="198">
        <f t="shared" si="28"/>
        <v>241000</v>
      </c>
      <c r="CQ23" s="201">
        <f t="shared" si="11"/>
        <v>-0.3268156424581006</v>
      </c>
      <c r="CR23" s="74"/>
      <c r="CS23" s="74">
        <f t="shared" si="35"/>
        <v>720000</v>
      </c>
      <c r="CT23" s="74">
        <f t="shared" si="12"/>
        <v>1300440</v>
      </c>
      <c r="CU23" s="202">
        <v>0.36</v>
      </c>
      <c r="CV23" s="74">
        <f t="shared" si="29"/>
        <v>350000</v>
      </c>
      <c r="CW23" s="74">
        <f t="shared" si="14"/>
        <v>150000</v>
      </c>
      <c r="CX23" s="74">
        <f t="shared" si="13"/>
        <v>1.4765685066649374</v>
      </c>
      <c r="CY23" s="74"/>
      <c r="CZ23" s="74"/>
    </row>
    <row r="24" spans="1:104" ht="48.75" thickBot="1">
      <c r="A24" s="149">
        <v>60419148</v>
      </c>
      <c r="B24" s="49" t="s">
        <v>167</v>
      </c>
      <c r="C24" s="49" t="s">
        <v>55</v>
      </c>
      <c r="D24" s="248" t="s">
        <v>59</v>
      </c>
      <c r="E24" s="49" t="s">
        <v>168</v>
      </c>
      <c r="F24" s="74">
        <v>6333498</v>
      </c>
      <c r="G24" s="74"/>
      <c r="H24" s="73">
        <v>29</v>
      </c>
      <c r="I24" s="73">
        <v>1</v>
      </c>
      <c r="J24" s="73">
        <v>5</v>
      </c>
      <c r="K24" s="73">
        <v>12</v>
      </c>
      <c r="L24" s="73">
        <v>8</v>
      </c>
      <c r="M24" s="73">
        <v>3</v>
      </c>
      <c r="N24" s="73">
        <v>17.4</v>
      </c>
      <c r="O24" s="73">
        <v>16</v>
      </c>
      <c r="P24" s="73">
        <v>12.8</v>
      </c>
      <c r="Q24" s="73">
        <v>11.4</v>
      </c>
      <c r="R24" s="2">
        <v>603000</v>
      </c>
      <c r="S24" s="2">
        <v>2295600</v>
      </c>
      <c r="T24" s="2">
        <v>3086715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  <c r="Z24" s="2">
        <v>0</v>
      </c>
      <c r="AA24" s="2">
        <v>120000</v>
      </c>
      <c r="AB24" s="2">
        <v>0</v>
      </c>
      <c r="AC24" s="2">
        <v>120000</v>
      </c>
      <c r="AD24" s="2">
        <v>6200</v>
      </c>
      <c r="AE24" s="2">
        <v>0</v>
      </c>
      <c r="AF24" s="2">
        <v>0</v>
      </c>
      <c r="AG24" s="2">
        <v>4023000</v>
      </c>
      <c r="AH24" s="2">
        <v>4060000</v>
      </c>
      <c r="AI24" s="2">
        <v>2687675</v>
      </c>
      <c r="AJ24" s="2">
        <v>35790</v>
      </c>
      <c r="AK24" s="2">
        <v>55000</v>
      </c>
      <c r="AL24" s="2">
        <v>200000</v>
      </c>
      <c r="AM24" s="2">
        <v>1218067</v>
      </c>
      <c r="AN24" s="2">
        <v>1400000</v>
      </c>
      <c r="AO24" s="2">
        <v>350000</v>
      </c>
      <c r="AP24" s="2">
        <v>0</v>
      </c>
      <c r="AQ24" s="2">
        <v>0</v>
      </c>
      <c r="AR24" s="2">
        <v>0</v>
      </c>
      <c r="AS24" s="2">
        <v>0</v>
      </c>
      <c r="AT24" s="2">
        <v>0</v>
      </c>
      <c r="AU24" s="2">
        <v>0</v>
      </c>
      <c r="AV24" s="2">
        <v>6006057</v>
      </c>
      <c r="AW24" s="50">
        <v>7810600</v>
      </c>
      <c r="AX24" s="50">
        <v>6444390</v>
      </c>
      <c r="AY24" s="3"/>
      <c r="AZ24" s="48">
        <v>2295600</v>
      </c>
      <c r="BA24" s="48"/>
      <c r="BB24" s="4">
        <f t="shared" si="15"/>
        <v>1</v>
      </c>
      <c r="BC24" s="4">
        <f t="shared" si="16"/>
        <v>0</v>
      </c>
      <c r="BD24" s="5">
        <f t="shared" si="36"/>
        <v>2.806965174129353</v>
      </c>
      <c r="BE24" s="5">
        <f t="shared" si="37"/>
        <v>-1</v>
      </c>
      <c r="BF24" s="6"/>
      <c r="BG24" s="7">
        <f t="shared" si="17"/>
        <v>7810600</v>
      </c>
      <c r="BH24" s="7">
        <f t="shared" si="18"/>
        <v>3237675</v>
      </c>
      <c r="BI24" s="8">
        <f t="shared" si="31"/>
        <v>1.3004538584965144</v>
      </c>
      <c r="BJ24" s="8">
        <f t="shared" si="32"/>
        <v>0.4145232120451694</v>
      </c>
      <c r="BK24" s="12">
        <f t="shared" si="33"/>
        <v>0</v>
      </c>
      <c r="BL24" s="12">
        <f t="shared" si="34"/>
        <v>4572925</v>
      </c>
      <c r="BM24" s="92">
        <f t="shared" si="5"/>
        <v>1</v>
      </c>
      <c r="BN24" s="92">
        <f t="shared" si="5"/>
        <v>0.50240208925903</v>
      </c>
      <c r="BO24" s="11">
        <f t="shared" si="6"/>
        <v>0</v>
      </c>
      <c r="BP24" s="11">
        <f t="shared" si="6"/>
        <v>3206715</v>
      </c>
      <c r="BQ24" s="12">
        <f t="shared" si="19"/>
        <v>0</v>
      </c>
      <c r="BR24" s="12">
        <f t="shared" si="20"/>
        <v>4572925</v>
      </c>
      <c r="BT24" s="42">
        <f t="shared" si="21"/>
        <v>131931.03448275864</v>
      </c>
      <c r="BU24" s="42">
        <f t="shared" si="22"/>
        <v>143475</v>
      </c>
      <c r="BV24" s="80">
        <f t="shared" si="23"/>
        <v>179343.75</v>
      </c>
      <c r="BW24" s="247">
        <f t="shared" si="24"/>
        <v>201368.42105263157</v>
      </c>
      <c r="BX24" s="223">
        <v>0.08</v>
      </c>
      <c r="BY24" s="74">
        <f t="shared" si="9"/>
        <v>206220.48</v>
      </c>
      <c r="BZ24" s="224"/>
      <c r="CA24" s="226">
        <v>206000</v>
      </c>
      <c r="CB24" s="225"/>
      <c r="CC24" s="198"/>
      <c r="CD24" s="199"/>
      <c r="CE24" s="198"/>
      <c r="CF24" s="198"/>
      <c r="CG24" s="198"/>
      <c r="CH24" s="200" t="s">
        <v>46</v>
      </c>
      <c r="CI24" s="200" t="s">
        <v>56</v>
      </c>
      <c r="CJ24" s="4">
        <f t="shared" si="25"/>
        <v>1.3347525672833276</v>
      </c>
      <c r="CK24" s="4">
        <f t="shared" si="26"/>
        <v>1.0263744142575475</v>
      </c>
      <c r="CL24" s="4"/>
      <c r="CM24" s="198">
        <f t="shared" si="10"/>
        <v>206000</v>
      </c>
      <c r="CN24" s="198"/>
      <c r="CO24" s="198">
        <f t="shared" si="27"/>
        <v>723000</v>
      </c>
      <c r="CP24" s="198">
        <f t="shared" si="28"/>
        <v>2501600</v>
      </c>
      <c r="CQ24" s="201">
        <f t="shared" si="11"/>
        <v>2.460027662517289</v>
      </c>
      <c r="CR24" s="74"/>
      <c r="CS24" s="74">
        <f t="shared" si="35"/>
        <v>1044000</v>
      </c>
      <c r="CT24" s="74">
        <f t="shared" si="12"/>
        <v>6444390</v>
      </c>
      <c r="CU24" s="202">
        <v>0.36</v>
      </c>
      <c r="CV24" s="74">
        <f t="shared" si="29"/>
        <v>2319980.4</v>
      </c>
      <c r="CW24" s="74">
        <f t="shared" si="14"/>
        <v>1721700</v>
      </c>
      <c r="CX24" s="74">
        <f t="shared" si="13"/>
        <v>1.3004538584965144</v>
      </c>
      <c r="CY24" s="74"/>
      <c r="CZ24" s="74"/>
    </row>
    <row r="25" spans="1:104" ht="24.75" thickBot="1">
      <c r="A25" s="151">
        <v>75051630</v>
      </c>
      <c r="B25" s="93" t="s">
        <v>77</v>
      </c>
      <c r="C25" s="93" t="s">
        <v>43</v>
      </c>
      <c r="D25" s="93" t="s">
        <v>59</v>
      </c>
      <c r="E25" s="93" t="s">
        <v>77</v>
      </c>
      <c r="F25" s="94">
        <v>1153271</v>
      </c>
      <c r="G25" s="95"/>
      <c r="H25" s="94">
        <v>25</v>
      </c>
      <c r="I25" s="94">
        <v>1</v>
      </c>
      <c r="J25" s="94">
        <v>11</v>
      </c>
      <c r="K25" s="94">
        <v>9</v>
      </c>
      <c r="L25" s="94">
        <v>2</v>
      </c>
      <c r="M25" s="94">
        <v>2</v>
      </c>
      <c r="N25" s="94">
        <v>7.8</v>
      </c>
      <c r="O25" s="94">
        <v>7.7</v>
      </c>
      <c r="P25" s="94">
        <v>4.9</v>
      </c>
      <c r="Q25" s="94">
        <v>6</v>
      </c>
      <c r="R25" s="33">
        <v>1109000</v>
      </c>
      <c r="S25" s="33">
        <v>1350000</v>
      </c>
      <c r="T25" s="33">
        <v>2140884</v>
      </c>
      <c r="U25" s="33">
        <v>0</v>
      </c>
      <c r="V25" s="33">
        <v>0</v>
      </c>
      <c r="W25" s="33">
        <v>0</v>
      </c>
      <c r="X25" s="33">
        <v>0</v>
      </c>
      <c r="Y25" s="33">
        <v>40000</v>
      </c>
      <c r="Z25" s="33">
        <v>0</v>
      </c>
      <c r="AA25" s="33">
        <v>149065</v>
      </c>
      <c r="AB25" s="33">
        <v>75000</v>
      </c>
      <c r="AC25" s="33">
        <v>100000</v>
      </c>
      <c r="AD25" s="33">
        <v>25000</v>
      </c>
      <c r="AE25" s="33">
        <v>140000</v>
      </c>
      <c r="AF25" s="33">
        <v>100000</v>
      </c>
      <c r="AG25" s="33">
        <v>0</v>
      </c>
      <c r="AH25" s="33">
        <v>50000</v>
      </c>
      <c r="AI25" s="33">
        <v>30000</v>
      </c>
      <c r="AJ25" s="33">
        <v>215865</v>
      </c>
      <c r="AK25" s="33">
        <v>356000</v>
      </c>
      <c r="AL25" s="33">
        <v>360000</v>
      </c>
      <c r="AM25" s="33">
        <v>0</v>
      </c>
      <c r="AN25" s="33">
        <v>0</v>
      </c>
      <c r="AO25" s="33">
        <v>0</v>
      </c>
      <c r="AP25" s="33">
        <v>0</v>
      </c>
      <c r="AQ25" s="33">
        <v>0</v>
      </c>
      <c r="AR25" s="33">
        <v>0</v>
      </c>
      <c r="AS25" s="33">
        <v>477267</v>
      </c>
      <c r="AT25" s="33">
        <v>689963</v>
      </c>
      <c r="AU25" s="33">
        <v>172002</v>
      </c>
      <c r="AV25" s="33">
        <v>1976197</v>
      </c>
      <c r="AW25" s="96">
        <v>2700963</v>
      </c>
      <c r="AX25" s="96">
        <v>2902886</v>
      </c>
      <c r="AY25" s="3"/>
      <c r="AZ25" s="97">
        <v>1307000</v>
      </c>
      <c r="BA25" s="97"/>
      <c r="BB25" s="98">
        <f t="shared" si="15"/>
        <v>0.9681481481481482</v>
      </c>
      <c r="BC25" s="98">
        <f t="shared" si="16"/>
        <v>0</v>
      </c>
      <c r="BD25" s="99">
        <f t="shared" si="36"/>
        <v>0.17853922452660065</v>
      </c>
      <c r="BE25" s="99">
        <f t="shared" si="37"/>
        <v>-1</v>
      </c>
      <c r="BF25" s="6"/>
      <c r="BG25" s="100">
        <f t="shared" si="17"/>
        <v>2582963</v>
      </c>
      <c r="BH25" s="100">
        <f t="shared" si="18"/>
        <v>662002</v>
      </c>
      <c r="BI25" s="101">
        <f t="shared" si="31"/>
        <v>1.3070372032747748</v>
      </c>
      <c r="BJ25" s="101">
        <f t="shared" si="32"/>
        <v>0.2450985074582658</v>
      </c>
      <c r="BK25" s="78">
        <f t="shared" si="33"/>
        <v>0</v>
      </c>
      <c r="BL25" s="78">
        <f t="shared" si="34"/>
        <v>2038961</v>
      </c>
      <c r="BM25" s="102">
        <f t="shared" si="5"/>
        <v>0.9563118783930028</v>
      </c>
      <c r="BN25" s="102">
        <f t="shared" si="5"/>
        <v>0.2280496030502059</v>
      </c>
      <c r="BO25" s="103">
        <f t="shared" si="6"/>
        <v>118000</v>
      </c>
      <c r="BP25" s="103">
        <f t="shared" si="6"/>
        <v>2240884</v>
      </c>
      <c r="BQ25" s="104">
        <f t="shared" si="19"/>
        <v>0</v>
      </c>
      <c r="BR25" s="104">
        <f t="shared" si="20"/>
        <v>1963961</v>
      </c>
      <c r="BT25" s="42">
        <f t="shared" si="21"/>
        <v>167564.10256410256</v>
      </c>
      <c r="BU25" s="42">
        <f t="shared" si="22"/>
        <v>169740.25974025973</v>
      </c>
      <c r="BV25" s="80">
        <f t="shared" si="23"/>
        <v>266734.693877551</v>
      </c>
      <c r="BW25" s="247">
        <f t="shared" si="24"/>
        <v>217833.33333333334</v>
      </c>
      <c r="BX25" s="209">
        <v>0.08</v>
      </c>
      <c r="BY25" s="121">
        <f t="shared" si="9"/>
        <v>86430.816</v>
      </c>
      <c r="BZ25" s="216"/>
      <c r="CA25" s="219">
        <v>86000</v>
      </c>
      <c r="CB25" s="218"/>
      <c r="CC25" s="210"/>
      <c r="CD25" s="211"/>
      <c r="CE25" s="210"/>
      <c r="CF25" s="210"/>
      <c r="CG25" s="210"/>
      <c r="CH25" s="212" t="s">
        <v>46</v>
      </c>
      <c r="CI25" s="212" t="s">
        <v>52</v>
      </c>
      <c r="CJ25" s="56">
        <f t="shared" si="25"/>
        <v>1.3505551319023357</v>
      </c>
      <c r="CK25" s="56">
        <f t="shared" si="26"/>
        <v>0.9881523738014922</v>
      </c>
      <c r="CL25" s="56"/>
      <c r="CM25" s="210">
        <f t="shared" si="10"/>
        <v>86000</v>
      </c>
      <c r="CN25" s="210"/>
      <c r="CO25" s="210">
        <f t="shared" si="27"/>
        <v>1258065</v>
      </c>
      <c r="CP25" s="210">
        <f t="shared" si="28"/>
        <v>1393000</v>
      </c>
      <c r="CQ25" s="213">
        <f t="shared" si="11"/>
        <v>0.10725598438872397</v>
      </c>
      <c r="CR25" s="121"/>
      <c r="CS25" s="121">
        <f t="shared" si="35"/>
        <v>900000</v>
      </c>
      <c r="CT25" s="121">
        <f t="shared" si="12"/>
        <v>2025722.25</v>
      </c>
      <c r="CU25" s="214">
        <v>0.36</v>
      </c>
      <c r="CV25" s="121">
        <f t="shared" si="29"/>
        <v>729260.01</v>
      </c>
      <c r="CW25" s="121">
        <f t="shared" si="14"/>
        <v>1012500</v>
      </c>
      <c r="CX25" s="121">
        <f t="shared" si="13"/>
        <v>1.3667478495311955</v>
      </c>
      <c r="CY25" s="121"/>
      <c r="CZ25" s="121"/>
    </row>
    <row r="26" spans="1:98" ht="10.5" customHeight="1" thickBot="1">
      <c r="A26" s="150"/>
      <c r="B26" s="86"/>
      <c r="C26" s="86"/>
      <c r="D26" s="86"/>
      <c r="E26" s="86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34"/>
      <c r="BC26" s="34"/>
      <c r="BD26" s="34"/>
      <c r="BE26" s="34"/>
      <c r="BF26" s="34"/>
      <c r="BI26" s="6"/>
      <c r="BJ26" s="6"/>
      <c r="BK26" s="87"/>
      <c r="BL26" s="87"/>
      <c r="BM26" s="105"/>
      <c r="BN26" s="105"/>
      <c r="BQ26" s="87"/>
      <c r="BR26" s="87"/>
      <c r="BT26" s="43"/>
      <c r="BU26" s="43"/>
      <c r="BV26" s="43"/>
      <c r="BW26" s="43"/>
      <c r="BX26" s="13"/>
      <c r="BY26" s="13">
        <f t="shared" si="9"/>
        <v>0</v>
      </c>
      <c r="BZ26" s="13"/>
      <c r="CJ26" s="6"/>
      <c r="CK26" s="6"/>
      <c r="CL26" s="6"/>
      <c r="CT26" s="13">
        <f t="shared" si="12"/>
        <v>0</v>
      </c>
    </row>
    <row r="27" spans="1:104" ht="24">
      <c r="A27" s="241">
        <v>25918974</v>
      </c>
      <c r="B27" s="242" t="s">
        <v>78</v>
      </c>
      <c r="C27" s="242" t="s">
        <v>43</v>
      </c>
      <c r="D27" s="242" t="s">
        <v>79</v>
      </c>
      <c r="E27" s="242" t="s">
        <v>80</v>
      </c>
      <c r="F27" s="67">
        <v>5387515</v>
      </c>
      <c r="G27" s="67">
        <v>8</v>
      </c>
      <c r="H27" s="67">
        <v>15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7">
        <v>1.8</v>
      </c>
      <c r="O27" s="67">
        <v>2.4</v>
      </c>
      <c r="P27" s="67">
        <v>1.5</v>
      </c>
      <c r="Q27" s="67">
        <v>2</v>
      </c>
      <c r="R27" s="19">
        <v>575000</v>
      </c>
      <c r="S27" s="19">
        <v>733000</v>
      </c>
      <c r="T27" s="19">
        <v>1143384</v>
      </c>
      <c r="U27" s="19">
        <v>0</v>
      </c>
      <c r="V27" s="19">
        <v>0</v>
      </c>
      <c r="W27" s="19">
        <v>0</v>
      </c>
      <c r="X27" s="19">
        <v>0</v>
      </c>
      <c r="Y27" s="19">
        <v>0</v>
      </c>
      <c r="Z27" s="19">
        <v>0</v>
      </c>
      <c r="AA27" s="19">
        <v>42854</v>
      </c>
      <c r="AB27" s="19">
        <v>50000</v>
      </c>
      <c r="AC27" s="19">
        <v>150000</v>
      </c>
      <c r="AD27" s="19">
        <v>0</v>
      </c>
      <c r="AE27" s="19">
        <v>0</v>
      </c>
      <c r="AF27" s="19">
        <v>50000</v>
      </c>
      <c r="AG27" s="19">
        <v>0</v>
      </c>
      <c r="AH27" s="19">
        <v>0</v>
      </c>
      <c r="AI27" s="19">
        <v>0</v>
      </c>
      <c r="AJ27" s="19">
        <v>80000</v>
      </c>
      <c r="AK27" s="19">
        <v>50000</v>
      </c>
      <c r="AL27" s="19">
        <v>80000</v>
      </c>
      <c r="AM27" s="19">
        <v>0</v>
      </c>
      <c r="AN27" s="19">
        <v>0</v>
      </c>
      <c r="AO27" s="19">
        <v>0</v>
      </c>
      <c r="AP27" s="19">
        <v>0</v>
      </c>
      <c r="AQ27" s="19">
        <v>0</v>
      </c>
      <c r="AR27" s="19">
        <v>0</v>
      </c>
      <c r="AS27" s="19">
        <v>0</v>
      </c>
      <c r="AT27" s="19">
        <v>90494</v>
      </c>
      <c r="AU27" s="19">
        <v>312520</v>
      </c>
      <c r="AV27" s="19">
        <v>697854</v>
      </c>
      <c r="AW27" s="51">
        <v>923494</v>
      </c>
      <c r="AX27" s="51">
        <v>1735904</v>
      </c>
      <c r="AY27" s="3"/>
      <c r="AZ27" s="52">
        <v>576000</v>
      </c>
      <c r="BA27" s="52"/>
      <c r="BB27" s="53">
        <f>AZ27/S27</f>
        <v>0.7858117326057299</v>
      </c>
      <c r="BC27" s="53">
        <f>BA27/T27</f>
        <v>0</v>
      </c>
      <c r="BD27" s="46">
        <f>-1+AZ27/R27</f>
        <v>0.0017391304347826875</v>
      </c>
      <c r="BE27" s="46">
        <f>-1+BA27/S27</f>
        <v>-1</v>
      </c>
      <c r="BF27" s="6"/>
      <c r="BG27" s="70">
        <f>V27+Y27+AE27+AH27+AK27+AN27+AQ27+AT27+AZ27</f>
        <v>716494</v>
      </c>
      <c r="BH27" s="70">
        <f>W27+Z27+AF27+AI27+AL27+AO27+AR27+AU27+BA27</f>
        <v>442520</v>
      </c>
      <c r="BI27" s="44">
        <f>BG27/(R27+U27+X27+AA27+AD27+AG27+AJ27+AM27+AP27+AS27)</f>
        <v>1.0267104580614284</v>
      </c>
      <c r="BJ27" s="44">
        <f>BH27/(S27+V27+Y27+AB27+AE27+AH27+AK27+AN27+AQ27+AT27)</f>
        <v>0.4791801570990174</v>
      </c>
      <c r="BK27" s="70">
        <f>IF(BI27&gt;=100%,0,(R27+U27+X27+AA27+AD27+AG27+AJ27+AM27+AP27+AS27)-(V27+Y27+AE27+AH27+AK27+AN27+AQ27+AT27+AZ27))</f>
        <v>0</v>
      </c>
      <c r="BL27" s="70">
        <f>IF(BJ27&gt;=100%,0,(S27+V27+Y27+AB27+AE27+AH27+AK27+AN27+AQ27+AT27)-(W27+Z27+AF27+AI27+AL27+AO27+AR27+AU27+BA27))</f>
        <v>480974</v>
      </c>
      <c r="BM27" s="106">
        <f>BG27/AW27</f>
        <v>0.775851277864285</v>
      </c>
      <c r="BN27" s="106">
        <f>BH27/AX27</f>
        <v>0.2549219311667005</v>
      </c>
      <c r="BO27" s="71">
        <f>IF(BG27&lt;AW27,AW27-BG27,0)</f>
        <v>207000</v>
      </c>
      <c r="BP27" s="71">
        <f>IF(BH27&lt;AX27,AX27-BH27,0)</f>
        <v>1293384</v>
      </c>
      <c r="BQ27" s="70">
        <f>IF(AA27&gt;BK27,0,BK27-AA27)</f>
        <v>0</v>
      </c>
      <c r="BR27" s="70">
        <f>IF(AB27&gt;BL27,0,BL27-AB27)</f>
        <v>430974</v>
      </c>
      <c r="BS27" s="37"/>
      <c r="BT27" s="41">
        <f aca="true" t="shared" si="38" ref="BT27:BW28">$AZ27/N27</f>
        <v>320000</v>
      </c>
      <c r="BU27" s="41">
        <f t="shared" si="38"/>
        <v>240000</v>
      </c>
      <c r="BV27" s="72">
        <f t="shared" si="38"/>
        <v>384000</v>
      </c>
      <c r="BW27" s="243">
        <f t="shared" si="38"/>
        <v>288000</v>
      </c>
      <c r="BX27" s="203">
        <v>0.093</v>
      </c>
      <c r="BY27" s="114">
        <f t="shared" si="9"/>
        <v>34353.9768</v>
      </c>
      <c r="BZ27" s="215"/>
      <c r="CA27" s="195">
        <v>34000</v>
      </c>
      <c r="CB27" s="217"/>
      <c r="CC27" s="204"/>
      <c r="CD27" s="205"/>
      <c r="CE27" s="204"/>
      <c r="CF27" s="204"/>
      <c r="CG27" s="204"/>
      <c r="CH27" s="206" t="s">
        <v>231</v>
      </c>
      <c r="CI27" s="206" t="s">
        <v>50</v>
      </c>
      <c r="CJ27" s="53">
        <f>($CG27+$CA27+$AZ27+$AT27+$AQ27+$AN27+$AK27+$AH27+$AE27+$Y27+$V27)/$AV27</f>
        <v>1.0754312506627461</v>
      </c>
      <c r="CK27" s="53">
        <f>($CG27+$CA27+$AZ27+$AT27+$AQ27+$AN27+$AK27+$AH27+$AE27+$Y27+$V27)/$AW27</f>
        <v>0.8126679761860932</v>
      </c>
      <c r="CL27" s="53"/>
      <c r="CM27" s="204">
        <f t="shared" si="10"/>
        <v>34000</v>
      </c>
      <c r="CN27" s="204"/>
      <c r="CO27" s="204">
        <f>R27+AA27</f>
        <v>617854</v>
      </c>
      <c r="CP27" s="204">
        <f>AZ27+CM27</f>
        <v>610000</v>
      </c>
      <c r="CQ27" s="207">
        <f t="shared" si="11"/>
        <v>-0.012711740961456885</v>
      </c>
      <c r="CR27" s="114"/>
      <c r="CS27" s="114"/>
      <c r="CT27" s="114">
        <f t="shared" si="12"/>
        <v>692620.5</v>
      </c>
      <c r="CU27" s="208">
        <v>0.63</v>
      </c>
      <c r="CV27" s="114">
        <f>IF(CT27*CU27&lt;T27,CT27*CU27,T27)</f>
        <v>436350.915</v>
      </c>
      <c r="CW27" s="114">
        <f t="shared" si="14"/>
        <v>549750</v>
      </c>
      <c r="CX27" s="114">
        <f t="shared" si="13"/>
        <v>1.3233341071341571</v>
      </c>
      <c r="CY27" s="114"/>
      <c r="CZ27" s="114"/>
    </row>
    <row r="28" spans="1:104" ht="36.75" thickBot="1">
      <c r="A28" s="151">
        <v>60554665</v>
      </c>
      <c r="B28" s="107" t="s">
        <v>227</v>
      </c>
      <c r="C28" s="93" t="s">
        <v>43</v>
      </c>
      <c r="D28" s="93" t="s">
        <v>79</v>
      </c>
      <c r="E28" s="107" t="s">
        <v>229</v>
      </c>
      <c r="F28" s="94">
        <v>9944950</v>
      </c>
      <c r="G28" s="94">
        <v>4</v>
      </c>
      <c r="H28" s="94">
        <v>5</v>
      </c>
      <c r="I28" s="94">
        <v>0</v>
      </c>
      <c r="J28" s="94">
        <v>0</v>
      </c>
      <c r="K28" s="94">
        <v>0</v>
      </c>
      <c r="L28" s="94">
        <v>0</v>
      </c>
      <c r="M28" s="94">
        <v>0</v>
      </c>
      <c r="N28" s="94">
        <v>2.8</v>
      </c>
      <c r="O28" s="94"/>
      <c r="P28" s="94">
        <v>2.1</v>
      </c>
      <c r="Q28" s="94"/>
      <c r="R28" s="33">
        <v>410000</v>
      </c>
      <c r="S28" s="33">
        <v>684891</v>
      </c>
      <c r="T28" s="33"/>
      <c r="U28" s="33">
        <v>0</v>
      </c>
      <c r="V28" s="33">
        <v>0</v>
      </c>
      <c r="W28" s="33"/>
      <c r="X28" s="33">
        <v>0</v>
      </c>
      <c r="Y28" s="33">
        <v>0</v>
      </c>
      <c r="Z28" s="33"/>
      <c r="AA28" s="33">
        <v>198104</v>
      </c>
      <c r="AB28" s="33">
        <v>260140</v>
      </c>
      <c r="AC28" s="33"/>
      <c r="AD28" s="33">
        <v>0</v>
      </c>
      <c r="AE28" s="33">
        <v>0</v>
      </c>
      <c r="AF28" s="33"/>
      <c r="AG28" s="33">
        <v>0</v>
      </c>
      <c r="AH28" s="33">
        <v>0</v>
      </c>
      <c r="AI28" s="33"/>
      <c r="AJ28" s="33">
        <v>120000</v>
      </c>
      <c r="AK28" s="33">
        <v>100769</v>
      </c>
      <c r="AL28" s="33"/>
      <c r="AM28" s="33">
        <v>0</v>
      </c>
      <c r="AN28" s="33">
        <v>0</v>
      </c>
      <c r="AO28" s="33"/>
      <c r="AP28" s="33">
        <v>0</v>
      </c>
      <c r="AQ28" s="33">
        <v>0</v>
      </c>
      <c r="AR28" s="33"/>
      <c r="AS28" s="33">
        <v>121896</v>
      </c>
      <c r="AT28" s="33">
        <v>0</v>
      </c>
      <c r="AU28" s="33"/>
      <c r="AV28" s="33">
        <v>850000</v>
      </c>
      <c r="AW28" s="96">
        <v>1045800</v>
      </c>
      <c r="AX28" s="96"/>
      <c r="AY28" s="3"/>
      <c r="AZ28" s="97">
        <v>384000</v>
      </c>
      <c r="BA28" s="97"/>
      <c r="BB28" s="98">
        <f>AZ28/S28</f>
        <v>0.5606731582105766</v>
      </c>
      <c r="BC28" s="98" t="e">
        <f>BA28/T28</f>
        <v>#DIV/0!</v>
      </c>
      <c r="BD28" s="99">
        <f>-1+AZ28/R28</f>
        <v>-0.06341463414634141</v>
      </c>
      <c r="BE28" s="99">
        <f>-1+BA28/S28</f>
        <v>-1</v>
      </c>
      <c r="BF28" s="6"/>
      <c r="BG28" s="104">
        <f>V28+Y28+AE28+AH28+AK28+AN28+AQ28+AT28+AZ28</f>
        <v>484769</v>
      </c>
      <c r="BH28" s="104">
        <f>W28+Z28+AF28+AI28+AL28+AO28+AR28+AU28+BA28</f>
        <v>0</v>
      </c>
      <c r="BI28" s="101">
        <f>BG28/(R28+U28+X28+AA28+AD28+AG28+AJ28+AM28+AP28+AS28)</f>
        <v>0.5703164705882353</v>
      </c>
      <c r="BJ28" s="101">
        <f>BH28/(S28+V28+Y28+AB28+AE28+AH28+AK28+AN28+AQ28+AT28)</f>
        <v>0</v>
      </c>
      <c r="BK28" s="104">
        <f>IF(BI28&gt;=100%,0,(R28+U28+X28+AA28+AD28+AG28+AJ28+AM28+AP28+AS28)-(V28+Y28+AE28+AH28+AK28+AN28+AQ28+AT28+AZ28))</f>
        <v>365231</v>
      </c>
      <c r="BL28" s="104">
        <f>IF(BJ28&gt;=100%,0,(S28+V28+Y28+AB28+AE28+AH28+AK28+AN28+AQ28+AT28)-(W28+Z28+AF28+AI28+AL28+AO28+AR28+AU28+BA28))</f>
        <v>1045800</v>
      </c>
      <c r="BM28" s="102">
        <f>BG28/AW28</f>
        <v>0.46353891757506216</v>
      </c>
      <c r="BN28" s="102" t="e">
        <f>BH28/AX28</f>
        <v>#DIV/0!</v>
      </c>
      <c r="BO28" s="108">
        <f>IF(BG28&lt;AW28,AW28-BG28,0)</f>
        <v>561031</v>
      </c>
      <c r="BP28" s="108">
        <f>IF(BH28&lt;AX28,AX28-BH28,0)</f>
        <v>0</v>
      </c>
      <c r="BQ28" s="104">
        <f>IF(AA28&gt;BK28,0,BK28-AA28)</f>
        <v>167127</v>
      </c>
      <c r="BR28" s="104">
        <f>IF(AB28&gt;BL28,0,BL28-AB28)</f>
        <v>785660</v>
      </c>
      <c r="BS28" s="37"/>
      <c r="BT28" s="42">
        <f t="shared" si="38"/>
        <v>137142.85714285716</v>
      </c>
      <c r="BU28" s="42" t="e">
        <f t="shared" si="38"/>
        <v>#DIV/0!</v>
      </c>
      <c r="BV28" s="80">
        <f t="shared" si="38"/>
        <v>182857.14285714284</v>
      </c>
      <c r="BW28" s="247" t="e">
        <f t="shared" si="38"/>
        <v>#DIV/0!</v>
      </c>
      <c r="BX28" s="209">
        <v>0.093</v>
      </c>
      <c r="BY28" s="121">
        <f t="shared" si="9"/>
        <v>0</v>
      </c>
      <c r="BZ28" s="216"/>
      <c r="CA28" s="219">
        <v>39000</v>
      </c>
      <c r="CB28" s="218"/>
      <c r="CC28" s="210"/>
      <c r="CD28" s="211"/>
      <c r="CE28" s="210"/>
      <c r="CF28" s="210"/>
      <c r="CG28" s="210"/>
      <c r="CH28" s="212" t="s">
        <v>231</v>
      </c>
      <c r="CI28" s="212" t="s">
        <v>52</v>
      </c>
      <c r="CJ28" s="56">
        <f>($CG28+$CA28+$AZ28+$AT28+$AQ28+$AN28+$AK28+$AH28+$AE28+$Y28+$V28)/$AV28</f>
        <v>0.6161988235294118</v>
      </c>
      <c r="CK28" s="56">
        <f>($CG28+$CA28+$AZ28+$AT28+$AQ28+$AN28+$AK28+$AH28+$AE28+$Y28+$V28)/$AW28</f>
        <v>0.5008309428188946</v>
      </c>
      <c r="CL28" s="56"/>
      <c r="CM28" s="210">
        <f t="shared" si="10"/>
        <v>39000</v>
      </c>
      <c r="CN28" s="210"/>
      <c r="CO28" s="210">
        <f>R28+AA28</f>
        <v>608104</v>
      </c>
      <c r="CP28" s="210">
        <f>AZ28+CM28</f>
        <v>423000</v>
      </c>
      <c r="CQ28" s="213">
        <f t="shared" si="11"/>
        <v>-0.30439530080380983</v>
      </c>
      <c r="CR28" s="121"/>
      <c r="CS28" s="121"/>
      <c r="CT28" s="121">
        <f t="shared" si="12"/>
        <v>0</v>
      </c>
      <c r="CU28" s="214">
        <v>0.63</v>
      </c>
      <c r="CV28" s="121">
        <f>IF(CT28*CU28&lt;T28,CT28*CU28,T28)</f>
        <v>0</v>
      </c>
      <c r="CW28" s="121">
        <f t="shared" si="14"/>
        <v>513668.25</v>
      </c>
      <c r="CX28" s="121">
        <f t="shared" si="13"/>
        <v>1.2303529411764706</v>
      </c>
      <c r="CY28" s="121"/>
      <c r="CZ28" s="121"/>
    </row>
    <row r="29" spans="1:102" s="37" customFormat="1" ht="12.75" thickBot="1">
      <c r="A29" s="109"/>
      <c r="B29" s="109"/>
      <c r="C29" s="109"/>
      <c r="D29" s="109"/>
      <c r="E29" s="109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6"/>
      <c r="BC29" s="6"/>
      <c r="BD29" s="6"/>
      <c r="BE29" s="6"/>
      <c r="BF29" s="6"/>
      <c r="BG29" s="18"/>
      <c r="BH29" s="18"/>
      <c r="BI29" s="6"/>
      <c r="BJ29" s="6"/>
      <c r="BK29" s="87"/>
      <c r="BL29" s="87"/>
      <c r="BM29" s="88"/>
      <c r="BN29" s="88"/>
      <c r="BO29" s="18"/>
      <c r="BP29" s="18"/>
      <c r="BQ29" s="87"/>
      <c r="BR29" s="87"/>
      <c r="BT29" s="43"/>
      <c r="BU29" s="43"/>
      <c r="BV29" s="43"/>
      <c r="BW29" s="43"/>
      <c r="BY29" s="13">
        <f t="shared" si="9"/>
        <v>0</v>
      </c>
      <c r="CA29" s="24"/>
      <c r="CB29" s="24"/>
      <c r="CC29" s="29"/>
      <c r="CD29" s="25"/>
      <c r="CE29" s="29"/>
      <c r="CF29" s="29"/>
      <c r="CG29" s="29"/>
      <c r="CH29" s="85"/>
      <c r="CI29" s="85"/>
      <c r="CJ29" s="6"/>
      <c r="CK29" s="6"/>
      <c r="CL29" s="6"/>
      <c r="CM29" s="29"/>
      <c r="CN29" s="29"/>
      <c r="CO29" s="29"/>
      <c r="CP29" s="29"/>
      <c r="CQ29" s="152"/>
      <c r="CT29" s="13">
        <f t="shared" si="12"/>
        <v>0</v>
      </c>
      <c r="CU29" s="189"/>
      <c r="CV29" s="13"/>
      <c r="CW29" s="13"/>
      <c r="CX29" s="13"/>
    </row>
    <row r="30" spans="1:104" ht="24">
      <c r="A30" s="241">
        <v>15060306</v>
      </c>
      <c r="B30" s="242" t="s">
        <v>64</v>
      </c>
      <c r="C30" s="242" t="s">
        <v>43</v>
      </c>
      <c r="D30" s="242" t="s">
        <v>81</v>
      </c>
      <c r="E30" s="242" t="s">
        <v>82</v>
      </c>
      <c r="F30" s="67">
        <v>5646012</v>
      </c>
      <c r="G30" s="67">
        <v>2</v>
      </c>
      <c r="H30" s="67">
        <v>4</v>
      </c>
      <c r="I30" s="67">
        <v>1</v>
      </c>
      <c r="J30" s="67">
        <v>0</v>
      </c>
      <c r="K30" s="67">
        <v>0</v>
      </c>
      <c r="L30" s="67">
        <v>0</v>
      </c>
      <c r="M30" s="67">
        <v>3</v>
      </c>
      <c r="N30" s="67">
        <v>1.1</v>
      </c>
      <c r="O30" s="67">
        <v>1.2</v>
      </c>
      <c r="P30" s="67">
        <v>1</v>
      </c>
      <c r="Q30" s="67">
        <v>1</v>
      </c>
      <c r="R30" s="19">
        <v>169100</v>
      </c>
      <c r="S30" s="19">
        <v>54500</v>
      </c>
      <c r="T30" s="19">
        <v>255000</v>
      </c>
      <c r="U30" s="19">
        <v>0</v>
      </c>
      <c r="V30" s="19">
        <v>0</v>
      </c>
      <c r="W30" s="19">
        <v>0</v>
      </c>
      <c r="X30" s="19">
        <v>6050</v>
      </c>
      <c r="Y30" s="19">
        <v>0</v>
      </c>
      <c r="Z30" s="19">
        <v>0</v>
      </c>
      <c r="AA30" s="19">
        <v>129600</v>
      </c>
      <c r="AB30" s="19">
        <v>90000</v>
      </c>
      <c r="AC30" s="19">
        <v>210000</v>
      </c>
      <c r="AD30" s="19">
        <v>13750</v>
      </c>
      <c r="AE30" s="19">
        <v>65000</v>
      </c>
      <c r="AF30" s="19">
        <v>46000</v>
      </c>
      <c r="AG30" s="19">
        <v>0</v>
      </c>
      <c r="AH30" s="19">
        <v>0</v>
      </c>
      <c r="AI30" s="19">
        <v>0</v>
      </c>
      <c r="AJ30" s="19">
        <v>0</v>
      </c>
      <c r="AK30" s="19">
        <v>25000</v>
      </c>
      <c r="AL30" s="19">
        <v>32000</v>
      </c>
      <c r="AM30" s="19">
        <v>0</v>
      </c>
      <c r="AN30" s="19">
        <v>0</v>
      </c>
      <c r="AO30" s="19">
        <v>0</v>
      </c>
      <c r="AP30" s="19">
        <v>0</v>
      </c>
      <c r="AQ30" s="19">
        <v>0</v>
      </c>
      <c r="AR30" s="19">
        <v>0</v>
      </c>
      <c r="AS30" s="19">
        <v>20000</v>
      </c>
      <c r="AT30" s="19">
        <v>15000</v>
      </c>
      <c r="AU30" s="19">
        <v>15738</v>
      </c>
      <c r="AV30" s="19">
        <v>338500</v>
      </c>
      <c r="AW30" s="51">
        <v>249500</v>
      </c>
      <c r="AX30" s="51">
        <v>558738</v>
      </c>
      <c r="AY30" s="3"/>
      <c r="AZ30" s="52">
        <v>54500</v>
      </c>
      <c r="BA30" s="52"/>
      <c r="BB30" s="53">
        <f aca="true" t="shared" si="39" ref="BB30:BC33">AZ30/S30</f>
        <v>1</v>
      </c>
      <c r="BC30" s="53">
        <f t="shared" si="39"/>
        <v>0</v>
      </c>
      <c r="BD30" s="46">
        <f>-1+AZ30/R30</f>
        <v>-0.677705499704317</v>
      </c>
      <c r="BE30" s="46">
        <f>-1+BA30/S30</f>
        <v>-1</v>
      </c>
      <c r="BF30" s="6"/>
      <c r="BG30" s="89">
        <f aca="true" t="shared" si="40" ref="BG30:BH34">V30+Y30+AE30+AH30+AK30+AN30+AQ30+AT30+AZ30</f>
        <v>159500</v>
      </c>
      <c r="BH30" s="89">
        <f t="shared" si="40"/>
        <v>93738</v>
      </c>
      <c r="BI30" s="44">
        <f>BG30/(R30+U30+X30+AA30+AD30+AG30+AJ30+AM30+AP30+AS30)</f>
        <v>0.4711964549483013</v>
      </c>
      <c r="BJ30" s="44">
        <f>BH30/(S30+V30+Y30+AB30+AE30+AH30+AK30+AN30+AQ30+AT30)</f>
        <v>0.37570340681362724</v>
      </c>
      <c r="BK30" s="70">
        <f>IF(BI30&gt;=100%,0,(R30+U30+X30+AA30+AD30+AG30+AJ30+AM30+AP30+AS30)-(V30+Y30+AE30+AH30+AK30+AN30+AQ30+AT30+AZ30))</f>
        <v>179000</v>
      </c>
      <c r="BL30" s="70">
        <f>IF(BJ30&gt;=100%,0,(S30+V30+Y30+AB30+AE30+AH30+AK30+AN30+AQ30+AT30)-(W30+Z30+AF30+AI30+AL30+AO30+AR30+AU30+BA30))</f>
        <v>155762</v>
      </c>
      <c r="BM30" s="10">
        <f aca="true" t="shared" si="41" ref="BM30:BN71">BG30/AW30</f>
        <v>0.6392785571142284</v>
      </c>
      <c r="BN30" s="10">
        <f t="shared" si="41"/>
        <v>0.1677673614466888</v>
      </c>
      <c r="BO30" s="71">
        <f aca="true" t="shared" si="42" ref="BO30:BP71">IF(BG30&lt;AW30,AW30-BG30,0)</f>
        <v>90000</v>
      </c>
      <c r="BP30" s="71">
        <f t="shared" si="42"/>
        <v>465000</v>
      </c>
      <c r="BQ30" s="70">
        <f aca="true" t="shared" si="43" ref="BQ30:BR34">IF(AA30&gt;BK30,0,BK30-AA30)</f>
        <v>49400</v>
      </c>
      <c r="BR30" s="70">
        <f t="shared" si="43"/>
        <v>65762</v>
      </c>
      <c r="BT30" s="41">
        <f aca="true" t="shared" si="44" ref="BT30:BW34">$AZ30/N30</f>
        <v>49545.454545454544</v>
      </c>
      <c r="BU30" s="41">
        <f t="shared" si="44"/>
        <v>45416.66666666667</v>
      </c>
      <c r="BV30" s="72">
        <f t="shared" si="44"/>
        <v>54500</v>
      </c>
      <c r="BW30" s="243">
        <f t="shared" si="44"/>
        <v>54500</v>
      </c>
      <c r="BX30" s="203">
        <v>0.05</v>
      </c>
      <c r="BY30" s="114">
        <f t="shared" si="9"/>
        <v>4990</v>
      </c>
      <c r="BZ30" s="215"/>
      <c r="CA30" s="195">
        <v>12500</v>
      </c>
      <c r="CB30" s="217"/>
      <c r="CC30" s="204"/>
      <c r="CD30" s="205"/>
      <c r="CE30" s="204"/>
      <c r="CF30" s="204"/>
      <c r="CG30" s="204"/>
      <c r="CH30" s="206" t="s">
        <v>83</v>
      </c>
      <c r="CI30" s="206" t="s">
        <v>52</v>
      </c>
      <c r="CJ30" s="53">
        <f>($CG30+$CA30+$AZ30+$AT30+$AQ30+$AN30+$AK30+$AH30+$AE30+$Y30+$V30)/$AV30</f>
        <v>0.5081240768094535</v>
      </c>
      <c r="CK30" s="53">
        <f>($CG30+$CA30+$AZ30+$AT30+$AQ30+$AN30+$AK30+$AH30+$AE30+$Y30+$V30)/$AW30</f>
        <v>0.6893787575150301</v>
      </c>
      <c r="CL30" s="53"/>
      <c r="CM30" s="204">
        <f t="shared" si="10"/>
        <v>12500</v>
      </c>
      <c r="CN30" s="204"/>
      <c r="CO30" s="204">
        <f>R30+AA30</f>
        <v>298700</v>
      </c>
      <c r="CP30" s="204">
        <f>AZ30+CM30</f>
        <v>67000</v>
      </c>
      <c r="CQ30" s="207">
        <f t="shared" si="11"/>
        <v>-0.7756946769333779</v>
      </c>
      <c r="CR30" s="114"/>
      <c r="CS30" s="114">
        <f>7000*12*H30</f>
        <v>336000</v>
      </c>
      <c r="CT30" s="114">
        <f t="shared" si="12"/>
        <v>187125</v>
      </c>
      <c r="CU30" s="208">
        <v>0.31</v>
      </c>
      <c r="CV30" s="114">
        <f>IF(CT30*CU30&lt;T30,CT30*CU30,T30)</f>
        <v>58008.75</v>
      </c>
      <c r="CW30" s="114">
        <f t="shared" si="14"/>
        <v>40875</v>
      </c>
      <c r="CX30" s="114">
        <f t="shared" si="13"/>
        <v>0.7370753323485968</v>
      </c>
      <c r="CY30" s="114"/>
      <c r="CZ30" s="114"/>
    </row>
    <row r="31" spans="1:104" ht="24">
      <c r="A31" s="149">
        <v>15060306</v>
      </c>
      <c r="B31" s="49" t="s">
        <v>64</v>
      </c>
      <c r="C31" s="49" t="s">
        <v>43</v>
      </c>
      <c r="D31" s="49" t="s">
        <v>81</v>
      </c>
      <c r="E31" s="49" t="s">
        <v>84</v>
      </c>
      <c r="F31" s="73">
        <v>9737086</v>
      </c>
      <c r="G31" s="73">
        <v>2</v>
      </c>
      <c r="H31" s="73">
        <v>4</v>
      </c>
      <c r="I31" s="73">
        <v>1</v>
      </c>
      <c r="J31" s="73">
        <v>0</v>
      </c>
      <c r="K31" s="73">
        <v>0</v>
      </c>
      <c r="L31" s="73">
        <v>0</v>
      </c>
      <c r="M31" s="73">
        <v>3</v>
      </c>
      <c r="N31" s="73">
        <v>1</v>
      </c>
      <c r="O31" s="73">
        <v>1.2</v>
      </c>
      <c r="P31" s="73">
        <v>0.8</v>
      </c>
      <c r="Q31" s="73">
        <v>1</v>
      </c>
      <c r="R31" s="2">
        <v>105700</v>
      </c>
      <c r="S31" s="2">
        <v>206000</v>
      </c>
      <c r="T31" s="2">
        <v>290000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170400</v>
      </c>
      <c r="AB31" s="2">
        <v>78601</v>
      </c>
      <c r="AC31" s="2">
        <v>215000</v>
      </c>
      <c r="AD31" s="2">
        <v>8400</v>
      </c>
      <c r="AE31" s="2">
        <v>10000</v>
      </c>
      <c r="AF31" s="2">
        <v>15000</v>
      </c>
      <c r="AG31" s="2">
        <v>0</v>
      </c>
      <c r="AH31" s="2">
        <v>0</v>
      </c>
      <c r="AI31" s="2">
        <v>0</v>
      </c>
      <c r="AJ31" s="2">
        <v>15454</v>
      </c>
      <c r="AK31" s="2">
        <v>20000</v>
      </c>
      <c r="AL31" s="2">
        <v>35000</v>
      </c>
      <c r="AM31" s="2">
        <v>0</v>
      </c>
      <c r="AN31" s="2">
        <v>0</v>
      </c>
      <c r="AO31" s="2">
        <v>0</v>
      </c>
      <c r="AP31" s="2">
        <v>0</v>
      </c>
      <c r="AQ31" s="2">
        <v>0</v>
      </c>
      <c r="AR31" s="2">
        <v>0</v>
      </c>
      <c r="AS31" s="2">
        <v>3000</v>
      </c>
      <c r="AT31" s="2">
        <v>5000</v>
      </c>
      <c r="AU31" s="2">
        <v>5959</v>
      </c>
      <c r="AV31" s="2">
        <v>302954</v>
      </c>
      <c r="AW31" s="50">
        <v>319601</v>
      </c>
      <c r="AX31" s="50">
        <v>560959</v>
      </c>
      <c r="AY31" s="3"/>
      <c r="AZ31" s="48">
        <v>49000</v>
      </c>
      <c r="BA31" s="48"/>
      <c r="BB31" s="4">
        <f t="shared" si="39"/>
        <v>0.23786407766990292</v>
      </c>
      <c r="BC31" s="4">
        <f t="shared" si="39"/>
        <v>0</v>
      </c>
      <c r="BD31" s="5">
        <f>-1+AZ31/R31</f>
        <v>-0.5364238410596027</v>
      </c>
      <c r="BE31" s="5">
        <f>-1+BA31/S31</f>
        <v>-1</v>
      </c>
      <c r="BF31" s="6"/>
      <c r="BG31" s="7">
        <f t="shared" si="40"/>
        <v>84000</v>
      </c>
      <c r="BH31" s="7">
        <f t="shared" si="40"/>
        <v>55959</v>
      </c>
      <c r="BI31" s="8">
        <f>BG31/(R31+U31+X31+AA31+AD31+AG31+AJ31+AM31+AP31+AS31)</f>
        <v>0.2772698165398047</v>
      </c>
      <c r="BJ31" s="8">
        <f>BH31/(S31+V31+Y31+AB31+AE31+AH31+AK31+AN31+AQ31+AT31)</f>
        <v>0.17509019058138117</v>
      </c>
      <c r="BK31" s="9">
        <f>IF(BI31&gt;=100%,0,(R31+U31+X31+AA31+AD31+AG31+AJ31+AM31+AP31+AS31)-(V31+Y31+AE31+AH31+AK31+AN31+AQ31+AT31+AZ31))</f>
        <v>218954</v>
      </c>
      <c r="BL31" s="9">
        <f>IF(BJ31&gt;=100%,0,(S31+V31+Y31+AB31+AE31+AH31+AK31+AN31+AQ31+AT31)-(W31+Z31+AF31+AI31+AL31+AO31+AR31+AU31+BA31))</f>
        <v>263642</v>
      </c>
      <c r="BM31" s="10">
        <f t="shared" si="41"/>
        <v>0.2628277133050272</v>
      </c>
      <c r="BN31" s="10">
        <f t="shared" si="41"/>
        <v>0.09975595364367093</v>
      </c>
      <c r="BO31" s="75">
        <f t="shared" si="42"/>
        <v>235601</v>
      </c>
      <c r="BP31" s="75">
        <f t="shared" si="42"/>
        <v>505000</v>
      </c>
      <c r="BQ31" s="12">
        <f t="shared" si="43"/>
        <v>48554</v>
      </c>
      <c r="BR31" s="12">
        <f t="shared" si="43"/>
        <v>185041</v>
      </c>
      <c r="BT31" s="14">
        <f t="shared" si="44"/>
        <v>49000</v>
      </c>
      <c r="BU31" s="14">
        <f t="shared" si="44"/>
        <v>40833.333333333336</v>
      </c>
      <c r="BV31" s="15">
        <f t="shared" si="44"/>
        <v>61250</v>
      </c>
      <c r="BW31" s="244">
        <f t="shared" si="44"/>
        <v>49000</v>
      </c>
      <c r="BX31" s="223">
        <v>0.05</v>
      </c>
      <c r="BY31" s="74">
        <f t="shared" si="9"/>
        <v>6392.02</v>
      </c>
      <c r="BZ31" s="224"/>
      <c r="CA31" s="226">
        <v>16000</v>
      </c>
      <c r="CB31" s="225"/>
      <c r="CC31" s="198"/>
      <c r="CD31" s="199"/>
      <c r="CE31" s="198"/>
      <c r="CF31" s="198"/>
      <c r="CG31" s="198"/>
      <c r="CH31" s="200" t="s">
        <v>83</v>
      </c>
      <c r="CI31" s="200" t="s">
        <v>52</v>
      </c>
      <c r="CJ31" s="4">
        <f>($CG31+$CA31+$AZ31+$AT31+$AQ31+$AN31+$AK31+$AH31+$AE31+$Y31+$V31)/$AV31</f>
        <v>0.33008311492833897</v>
      </c>
      <c r="CK31" s="4">
        <f>($CG31+$CA31+$AZ31+$AT31+$AQ31+$AN31+$AK31+$AH31+$AE31+$Y31+$V31)/$AW31</f>
        <v>0.3128901348869372</v>
      </c>
      <c r="CL31" s="4"/>
      <c r="CM31" s="198">
        <f t="shared" si="10"/>
        <v>16000</v>
      </c>
      <c r="CN31" s="198"/>
      <c r="CO31" s="198">
        <f>R31+AA31</f>
        <v>276100</v>
      </c>
      <c r="CP31" s="198">
        <f>AZ31+CM31</f>
        <v>65000</v>
      </c>
      <c r="CQ31" s="201">
        <f t="shared" si="11"/>
        <v>-0.7645780514306411</v>
      </c>
      <c r="CR31" s="74"/>
      <c r="CS31" s="74">
        <f>7000*12*H31</f>
        <v>336000</v>
      </c>
      <c r="CT31" s="74">
        <f t="shared" si="12"/>
        <v>239700.75</v>
      </c>
      <c r="CU31" s="202">
        <v>0.31</v>
      </c>
      <c r="CV31" s="74">
        <f>IF(CT31*CU31&lt;T31,CT31*CU31,T31)</f>
        <v>74307.2325</v>
      </c>
      <c r="CW31" s="74">
        <f t="shared" si="14"/>
        <v>154500</v>
      </c>
      <c r="CX31" s="74">
        <f t="shared" si="13"/>
        <v>1.0549489361421205</v>
      </c>
      <c r="CY31" s="74"/>
      <c r="CZ31" s="74"/>
    </row>
    <row r="32" spans="1:104" ht="24">
      <c r="A32" s="149">
        <v>28555597</v>
      </c>
      <c r="B32" s="49" t="s">
        <v>85</v>
      </c>
      <c r="C32" s="49" t="s">
        <v>43</v>
      </c>
      <c r="D32" s="49" t="s">
        <v>81</v>
      </c>
      <c r="E32" s="49" t="s">
        <v>86</v>
      </c>
      <c r="F32" s="74"/>
      <c r="G32" s="73">
        <v>15</v>
      </c>
      <c r="H32" s="73">
        <v>15</v>
      </c>
      <c r="I32" s="73">
        <v>0</v>
      </c>
      <c r="J32" s="73">
        <v>0</v>
      </c>
      <c r="K32" s="73">
        <v>0</v>
      </c>
      <c r="L32" s="73">
        <v>0</v>
      </c>
      <c r="M32" s="73">
        <v>15</v>
      </c>
      <c r="N32" s="73">
        <v>4</v>
      </c>
      <c r="O32" s="73">
        <v>4</v>
      </c>
      <c r="P32" s="73">
        <v>4</v>
      </c>
      <c r="Q32" s="73">
        <v>4</v>
      </c>
      <c r="R32" s="2">
        <v>0</v>
      </c>
      <c r="S32" s="2">
        <v>819000</v>
      </c>
      <c r="T32" s="2">
        <v>1383674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36000</v>
      </c>
      <c r="AK32" s="2">
        <v>584000</v>
      </c>
      <c r="AL32" s="2">
        <v>730000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100000</v>
      </c>
      <c r="AU32" s="2">
        <v>184000</v>
      </c>
      <c r="AV32" s="2">
        <v>36000</v>
      </c>
      <c r="AW32" s="50">
        <v>1503000</v>
      </c>
      <c r="AX32" s="50">
        <v>2297674</v>
      </c>
      <c r="AY32" s="3"/>
      <c r="AZ32" s="48">
        <v>819000</v>
      </c>
      <c r="BA32" s="48"/>
      <c r="BB32" s="4">
        <f t="shared" si="39"/>
        <v>1</v>
      </c>
      <c r="BC32" s="4">
        <f t="shared" si="39"/>
        <v>0</v>
      </c>
      <c r="BD32" s="5"/>
      <c r="BE32" s="5"/>
      <c r="BF32" s="6"/>
      <c r="BG32" s="7">
        <f t="shared" si="40"/>
        <v>1503000</v>
      </c>
      <c r="BH32" s="7">
        <f t="shared" si="40"/>
        <v>914000</v>
      </c>
      <c r="BI32" s="8"/>
      <c r="BJ32" s="8"/>
      <c r="BK32" s="9"/>
      <c r="BL32" s="9"/>
      <c r="BM32" s="10">
        <f t="shared" si="41"/>
        <v>1</v>
      </c>
      <c r="BN32" s="10">
        <f t="shared" si="41"/>
        <v>0.39779359473972375</v>
      </c>
      <c r="BO32" s="75">
        <f t="shared" si="42"/>
        <v>0</v>
      </c>
      <c r="BP32" s="75">
        <f t="shared" si="42"/>
        <v>1383674</v>
      </c>
      <c r="BQ32" s="12">
        <f t="shared" si="43"/>
        <v>0</v>
      </c>
      <c r="BR32" s="12">
        <f t="shared" si="43"/>
        <v>0</v>
      </c>
      <c r="BT32" s="14">
        <f t="shared" si="44"/>
        <v>204750</v>
      </c>
      <c r="BU32" s="14">
        <f t="shared" si="44"/>
        <v>204750</v>
      </c>
      <c r="BV32" s="15">
        <f t="shared" si="44"/>
        <v>204750</v>
      </c>
      <c r="BW32" s="244">
        <f t="shared" si="44"/>
        <v>204750</v>
      </c>
      <c r="BX32" s="223">
        <v>0.05</v>
      </c>
      <c r="BY32" s="74">
        <f t="shared" si="9"/>
        <v>30060</v>
      </c>
      <c r="BZ32" s="224"/>
      <c r="CA32" s="226">
        <v>75200</v>
      </c>
      <c r="CB32" s="225"/>
      <c r="CC32" s="198"/>
      <c r="CD32" s="199"/>
      <c r="CE32" s="198"/>
      <c r="CF32" s="198"/>
      <c r="CG32" s="198"/>
      <c r="CH32" s="200" t="s">
        <v>83</v>
      </c>
      <c r="CI32" s="200" t="s">
        <v>52</v>
      </c>
      <c r="CJ32" s="4">
        <f>($CG32+$CA32+$AZ32+$AT32+$AQ32+$AN32+$AK32+$AH32+$AE32+$Y32+$V32)/$AV32</f>
        <v>43.83888888888889</v>
      </c>
      <c r="CK32" s="4">
        <f>($CG32+$CA32+$AZ32+$AT32+$AQ32+$AN32+$AK32+$AH32+$AE32+$Y32+$V32)/$AW32</f>
        <v>1.0500332667997339</v>
      </c>
      <c r="CL32" s="4"/>
      <c r="CM32" s="198">
        <f t="shared" si="10"/>
        <v>75200</v>
      </c>
      <c r="CN32" s="198"/>
      <c r="CO32" s="198">
        <f>R32+AA32</f>
        <v>0</v>
      </c>
      <c r="CP32" s="198">
        <f>AZ32+CM32</f>
        <v>894200</v>
      </c>
      <c r="CQ32" s="201"/>
      <c r="CR32" s="74"/>
      <c r="CS32" s="74">
        <f>7000*12*H32</f>
        <v>1260000</v>
      </c>
      <c r="CT32" s="74">
        <f t="shared" si="12"/>
        <v>1127250</v>
      </c>
      <c r="CU32" s="202">
        <v>0.31</v>
      </c>
      <c r="CV32" s="74">
        <f>IF(CT32*CU32&lt;T32,CT32*CU32,T32)</f>
        <v>349447.5</v>
      </c>
      <c r="CW32" s="74">
        <f t="shared" si="14"/>
        <v>614250</v>
      </c>
      <c r="CX32" s="74">
        <f t="shared" si="13"/>
        <v>41.75</v>
      </c>
      <c r="CY32" s="74"/>
      <c r="CZ32" s="74"/>
    </row>
    <row r="33" spans="1:104" ht="24">
      <c r="A33" s="149">
        <v>60128640</v>
      </c>
      <c r="B33" s="49" t="s">
        <v>75</v>
      </c>
      <c r="C33" s="49" t="s">
        <v>43</v>
      </c>
      <c r="D33" s="49" t="s">
        <v>81</v>
      </c>
      <c r="E33" s="49" t="s">
        <v>86</v>
      </c>
      <c r="F33" s="73">
        <v>4640855</v>
      </c>
      <c r="G33" s="73">
        <v>2</v>
      </c>
      <c r="H33" s="73">
        <v>2</v>
      </c>
      <c r="I33" s="73">
        <v>0</v>
      </c>
      <c r="J33" s="73">
        <v>0</v>
      </c>
      <c r="K33" s="73">
        <v>1</v>
      </c>
      <c r="L33" s="73">
        <v>1</v>
      </c>
      <c r="M33" s="73">
        <v>0</v>
      </c>
      <c r="N33" s="73">
        <v>0.5</v>
      </c>
      <c r="O33" s="73">
        <v>0.5</v>
      </c>
      <c r="P33" s="73">
        <v>0.5</v>
      </c>
      <c r="Q33" s="73">
        <v>0.5</v>
      </c>
      <c r="R33" s="2">
        <v>48000</v>
      </c>
      <c r="S33" s="2">
        <v>48000</v>
      </c>
      <c r="T33" s="2">
        <v>96300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27000</v>
      </c>
      <c r="AB33" s="2">
        <v>18900</v>
      </c>
      <c r="AC33" s="2">
        <v>20000</v>
      </c>
      <c r="AD33" s="2">
        <v>0</v>
      </c>
      <c r="AE33" s="2">
        <v>0</v>
      </c>
      <c r="AF33" s="2">
        <v>20000</v>
      </c>
      <c r="AG33" s="2">
        <v>0</v>
      </c>
      <c r="AH33" s="2">
        <v>0</v>
      </c>
      <c r="AI33" s="2">
        <v>0</v>
      </c>
      <c r="AJ33" s="2">
        <v>15925</v>
      </c>
      <c r="AK33" s="2">
        <v>25000</v>
      </c>
      <c r="AL33" s="2">
        <v>25000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2">
        <v>0</v>
      </c>
      <c r="AS33" s="2">
        <v>0</v>
      </c>
      <c r="AT33" s="2">
        <v>40000</v>
      </c>
      <c r="AU33" s="2">
        <v>13500</v>
      </c>
      <c r="AV33" s="2">
        <v>90925</v>
      </c>
      <c r="AW33" s="50">
        <v>131900</v>
      </c>
      <c r="AX33" s="50">
        <v>174800</v>
      </c>
      <c r="AY33" s="3"/>
      <c r="AZ33" s="48">
        <v>48000</v>
      </c>
      <c r="BA33" s="48"/>
      <c r="BB33" s="4">
        <f t="shared" si="39"/>
        <v>1</v>
      </c>
      <c r="BC33" s="4">
        <f t="shared" si="39"/>
        <v>0</v>
      </c>
      <c r="BD33" s="5">
        <f>-1+AZ33/R33</f>
        <v>0</v>
      </c>
      <c r="BE33" s="5">
        <f>-1+BA33/S33</f>
        <v>-1</v>
      </c>
      <c r="BF33" s="6"/>
      <c r="BG33" s="7">
        <f t="shared" si="40"/>
        <v>113000</v>
      </c>
      <c r="BH33" s="7">
        <f t="shared" si="40"/>
        <v>58500</v>
      </c>
      <c r="BI33" s="8">
        <f>BG33/(R33+U33+X33+AA33+AD33+AG33+AJ33+AM33+AP33+AS33)</f>
        <v>1.2427825130602144</v>
      </c>
      <c r="BJ33" s="8">
        <f>BH33/(S33+V33+Y33+AB33+AE33+AH33+AK33+AN33+AQ33+AT33)</f>
        <v>0.44351781652767247</v>
      </c>
      <c r="BK33" s="9">
        <f>IF(BI33&gt;=100%,0,(R33+U33+X33+AA33+AD33+AG33+AJ33+AM33+AP33+AS33)-(V33+Y33+AE33+AH33+AK33+AN33+AQ33+AT33+AZ33))</f>
        <v>0</v>
      </c>
      <c r="BL33" s="9">
        <f>IF(BJ33&gt;=100%,0,(S33+V33+Y33+AB33+AE33+AH33+AK33+AN33+AQ33+AT33)-(W33+Z33+AF33+AI33+AL33+AO33+AR33+AU33+BA33))</f>
        <v>73400</v>
      </c>
      <c r="BM33" s="10">
        <f t="shared" si="41"/>
        <v>0.8567096285064443</v>
      </c>
      <c r="BN33" s="10">
        <f t="shared" si="41"/>
        <v>0.33466819221967964</v>
      </c>
      <c r="BO33" s="75">
        <f t="shared" si="42"/>
        <v>18900</v>
      </c>
      <c r="BP33" s="75">
        <f t="shared" si="42"/>
        <v>116300</v>
      </c>
      <c r="BQ33" s="12">
        <f t="shared" si="43"/>
        <v>0</v>
      </c>
      <c r="BR33" s="12">
        <f t="shared" si="43"/>
        <v>54500</v>
      </c>
      <c r="BT33" s="14">
        <f t="shared" si="44"/>
        <v>96000</v>
      </c>
      <c r="BU33" s="14">
        <f t="shared" si="44"/>
        <v>96000</v>
      </c>
      <c r="BV33" s="15">
        <f t="shared" si="44"/>
        <v>96000</v>
      </c>
      <c r="BW33" s="244">
        <f t="shared" si="44"/>
        <v>96000</v>
      </c>
      <c r="BX33" s="223">
        <v>0.05</v>
      </c>
      <c r="BY33" s="74">
        <f t="shared" si="9"/>
        <v>2638</v>
      </c>
      <c r="BZ33" s="224"/>
      <c r="CA33" s="226">
        <v>6600</v>
      </c>
      <c r="CB33" s="225"/>
      <c r="CC33" s="198"/>
      <c r="CD33" s="199"/>
      <c r="CE33" s="198"/>
      <c r="CF33" s="198"/>
      <c r="CG33" s="198"/>
      <c r="CH33" s="200" t="s">
        <v>83</v>
      </c>
      <c r="CI33" s="200" t="s">
        <v>52</v>
      </c>
      <c r="CJ33" s="4">
        <f>($CG33+$CA33+$AZ33+$AT33+$AQ33+$AN33+$AK33+$AH33+$AE33+$Y33+$V33)/$AV33</f>
        <v>1.3153698102832005</v>
      </c>
      <c r="CK33" s="4">
        <f>($CG33+$CA33+$AZ33+$AT33+$AQ33+$AN33+$AK33+$AH33+$AE33+$Y33+$V33)/$AW33</f>
        <v>0.9067475360121304</v>
      </c>
      <c r="CL33" s="4"/>
      <c r="CM33" s="198">
        <f t="shared" si="10"/>
        <v>6600</v>
      </c>
      <c r="CN33" s="198"/>
      <c r="CO33" s="198">
        <f>R33+AA33</f>
        <v>75000</v>
      </c>
      <c r="CP33" s="198">
        <f>AZ33+CM33</f>
        <v>54600</v>
      </c>
      <c r="CQ33" s="201">
        <f t="shared" si="11"/>
        <v>-0.272</v>
      </c>
      <c r="CR33" s="74"/>
      <c r="CS33" s="74">
        <f>7000*12*H33</f>
        <v>168000</v>
      </c>
      <c r="CT33" s="74">
        <f t="shared" si="12"/>
        <v>98925</v>
      </c>
      <c r="CU33" s="202">
        <v>0.31</v>
      </c>
      <c r="CV33" s="74">
        <f>IF(CT33*CU33&lt;T33,CT33*CU33,T33)</f>
        <v>30666.75</v>
      </c>
      <c r="CW33" s="74">
        <f t="shared" si="14"/>
        <v>36000</v>
      </c>
      <c r="CX33" s="74">
        <f t="shared" si="13"/>
        <v>1.450646136926038</v>
      </c>
      <c r="CY33" s="74"/>
      <c r="CZ33" s="74"/>
    </row>
    <row r="34" spans="1:104" ht="48.75" thickBot="1">
      <c r="A34" s="245">
        <v>65761979</v>
      </c>
      <c r="B34" s="246" t="s">
        <v>53</v>
      </c>
      <c r="C34" s="246" t="s">
        <v>43</v>
      </c>
      <c r="D34" s="246" t="s">
        <v>81</v>
      </c>
      <c r="E34" s="246" t="s">
        <v>86</v>
      </c>
      <c r="F34" s="76">
        <v>2328357</v>
      </c>
      <c r="G34" s="76">
        <v>3</v>
      </c>
      <c r="H34" s="76">
        <v>5</v>
      </c>
      <c r="I34" s="76">
        <v>0</v>
      </c>
      <c r="J34" s="76">
        <v>0</v>
      </c>
      <c r="K34" s="76">
        <v>0</v>
      </c>
      <c r="L34" s="76">
        <v>0</v>
      </c>
      <c r="M34" s="76">
        <v>5</v>
      </c>
      <c r="N34" s="76">
        <v>1</v>
      </c>
      <c r="O34" s="76">
        <v>1</v>
      </c>
      <c r="P34" s="76">
        <v>0.8</v>
      </c>
      <c r="Q34" s="76">
        <v>0.8</v>
      </c>
      <c r="R34" s="17">
        <v>0</v>
      </c>
      <c r="S34" s="17">
        <v>178200</v>
      </c>
      <c r="T34" s="17">
        <v>300000</v>
      </c>
      <c r="U34" s="17">
        <v>0</v>
      </c>
      <c r="V34" s="17">
        <v>0</v>
      </c>
      <c r="W34" s="17">
        <v>0</v>
      </c>
      <c r="X34" s="17">
        <v>0</v>
      </c>
      <c r="Y34" s="17">
        <v>0</v>
      </c>
      <c r="Z34" s="17">
        <v>0</v>
      </c>
      <c r="AA34" s="17">
        <v>15000</v>
      </c>
      <c r="AB34" s="17">
        <v>0</v>
      </c>
      <c r="AC34" s="17">
        <v>38099</v>
      </c>
      <c r="AD34" s="17">
        <v>0</v>
      </c>
      <c r="AE34" s="17">
        <v>0</v>
      </c>
      <c r="AF34" s="17">
        <v>50000</v>
      </c>
      <c r="AG34" s="17">
        <v>0</v>
      </c>
      <c r="AH34" s="17">
        <v>0</v>
      </c>
      <c r="AI34" s="17">
        <v>0</v>
      </c>
      <c r="AJ34" s="17">
        <v>0</v>
      </c>
      <c r="AK34" s="17">
        <v>0</v>
      </c>
      <c r="AL34" s="17">
        <v>0</v>
      </c>
      <c r="AM34" s="17">
        <v>0</v>
      </c>
      <c r="AN34" s="17">
        <v>0</v>
      </c>
      <c r="AO34" s="17">
        <v>0</v>
      </c>
      <c r="AP34" s="17">
        <v>571914</v>
      </c>
      <c r="AQ34" s="17">
        <v>168237</v>
      </c>
      <c r="AR34" s="17">
        <v>0</v>
      </c>
      <c r="AS34" s="17">
        <v>25570</v>
      </c>
      <c r="AT34" s="17">
        <v>205387</v>
      </c>
      <c r="AU34" s="17">
        <v>186400</v>
      </c>
      <c r="AV34" s="17">
        <v>612484</v>
      </c>
      <c r="AW34" s="54">
        <v>551824</v>
      </c>
      <c r="AX34" s="54">
        <v>574499</v>
      </c>
      <c r="AY34" s="3"/>
      <c r="AZ34" s="48">
        <v>0</v>
      </c>
      <c r="BA34" s="48"/>
      <c r="BB34" s="4"/>
      <c r="BC34" s="4"/>
      <c r="BD34" s="5"/>
      <c r="BE34" s="5"/>
      <c r="BF34" s="6"/>
      <c r="BG34" s="7">
        <f t="shared" si="40"/>
        <v>373624</v>
      </c>
      <c r="BH34" s="7">
        <f t="shared" si="40"/>
        <v>236400</v>
      </c>
      <c r="BI34" s="8">
        <f>BG34/(R34+U34+X34+AA34+AD34+AG34+AJ34+AM34+AP34+AS34)</f>
        <v>0.6100143024144304</v>
      </c>
      <c r="BJ34" s="8">
        <f>BH34/(S34+V34+Y34+AB34+AE34+AH34+AK34+AN34+AQ34+AT34)</f>
        <v>0.4283974600597292</v>
      </c>
      <c r="BK34" s="9">
        <f>IF(BI34&gt;=100%,0,(R34+U34+X34+AA34+AD34+AG34+AJ34+AM34+AP34+AS34)-(V34+Y34+AE34+AH34+AK34+AN34+AQ34+AT34+AZ34))</f>
        <v>238860</v>
      </c>
      <c r="BL34" s="9">
        <f>IF(BJ34&gt;=100%,0,(S34+V34+Y34+AB34+AE34+AH34+AK34+AN34+AQ34+AT34)-(W34+Z34+AF34+AI34+AL34+AO34+AR34+AU34+BA34))</f>
        <v>315424</v>
      </c>
      <c r="BM34" s="10">
        <f t="shared" si="41"/>
        <v>0.6770709501580214</v>
      </c>
      <c r="BN34" s="10">
        <f t="shared" si="41"/>
        <v>0.4114889669085586</v>
      </c>
      <c r="BO34" s="75">
        <f t="shared" si="42"/>
        <v>178200</v>
      </c>
      <c r="BP34" s="75">
        <f t="shared" si="42"/>
        <v>338099</v>
      </c>
      <c r="BQ34" s="12">
        <f t="shared" si="43"/>
        <v>223860</v>
      </c>
      <c r="BR34" s="12">
        <f t="shared" si="43"/>
        <v>315424</v>
      </c>
      <c r="BT34" s="14">
        <f t="shared" si="44"/>
        <v>0</v>
      </c>
      <c r="BU34" s="14">
        <f t="shared" si="44"/>
        <v>0</v>
      </c>
      <c r="BV34" s="15">
        <f t="shared" si="44"/>
        <v>0</v>
      </c>
      <c r="BW34" s="244">
        <f t="shared" si="44"/>
        <v>0</v>
      </c>
      <c r="BX34" s="223">
        <v>0.05</v>
      </c>
      <c r="BY34" s="74">
        <f t="shared" si="9"/>
        <v>11036.480000000001</v>
      </c>
      <c r="BZ34" s="224"/>
      <c r="CA34" s="226">
        <v>27600</v>
      </c>
      <c r="CB34" s="225"/>
      <c r="CC34" s="198"/>
      <c r="CD34" s="199"/>
      <c r="CE34" s="198"/>
      <c r="CF34" s="198"/>
      <c r="CG34" s="198"/>
      <c r="CH34" s="200" t="s">
        <v>83</v>
      </c>
      <c r="CI34" s="200" t="s">
        <v>52</v>
      </c>
      <c r="CJ34" s="4">
        <f>($CG34+$CA34+$AZ34+$AT34+$AQ34+$AN34+$AK34+$AH34+$AE34+$Y34+$V34)/$AV34</f>
        <v>0.6550767040445138</v>
      </c>
      <c r="CK34" s="4">
        <f>($CG34+$CA34+$AZ34+$AT34+$AQ34+$AN34+$AK34+$AH34+$AE34+$Y34+$V34)/$AW34</f>
        <v>0.7270868972715938</v>
      </c>
      <c r="CL34" s="4"/>
      <c r="CM34" s="198">
        <f t="shared" si="10"/>
        <v>27600</v>
      </c>
      <c r="CN34" s="198"/>
      <c r="CO34" s="198">
        <f>R34+AA34</f>
        <v>15000</v>
      </c>
      <c r="CP34" s="198">
        <f>AZ34+CM34</f>
        <v>27600</v>
      </c>
      <c r="CQ34" s="201"/>
      <c r="CR34" s="74"/>
      <c r="CS34" s="74">
        <f>7000*12*H34</f>
        <v>420000</v>
      </c>
      <c r="CT34" s="74">
        <f t="shared" si="12"/>
        <v>413868</v>
      </c>
      <c r="CU34" s="202">
        <v>0.31</v>
      </c>
      <c r="CV34" s="74">
        <f>IF(CT34*CU34&lt;T34,CT34*CU34,T34)</f>
        <v>128299.08</v>
      </c>
      <c r="CW34" s="74">
        <f t="shared" si="14"/>
        <v>133650</v>
      </c>
      <c r="CX34" s="74">
        <f t="shared" si="13"/>
        <v>0.9009606781564906</v>
      </c>
      <c r="CY34" s="74"/>
      <c r="CZ34" s="74"/>
    </row>
    <row r="35" spans="1:98" ht="7.5" customHeight="1" thickBot="1">
      <c r="A35" s="150"/>
      <c r="B35" s="86"/>
      <c r="C35" s="86"/>
      <c r="D35" s="86"/>
      <c r="E35" s="86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34"/>
      <c r="BC35" s="34"/>
      <c r="BD35" s="34"/>
      <c r="BE35" s="34"/>
      <c r="BF35" s="34"/>
      <c r="BI35" s="6"/>
      <c r="BJ35" s="6"/>
      <c r="BK35" s="87"/>
      <c r="BL35" s="87"/>
      <c r="BM35" s="88"/>
      <c r="BN35" s="88"/>
      <c r="BQ35" s="87"/>
      <c r="BR35" s="87"/>
      <c r="BT35" s="43"/>
      <c r="BU35" s="43"/>
      <c r="BV35" s="43"/>
      <c r="BW35" s="43"/>
      <c r="BX35" s="13"/>
      <c r="BY35" s="13">
        <f t="shared" si="9"/>
        <v>0</v>
      </c>
      <c r="BZ35" s="13"/>
      <c r="CJ35" s="6"/>
      <c r="CK35" s="6"/>
      <c r="CL35" s="6"/>
      <c r="CT35" s="13">
        <f t="shared" si="12"/>
        <v>0</v>
      </c>
    </row>
    <row r="36" spans="1:104" ht="24">
      <c r="A36" s="241">
        <v>43379729</v>
      </c>
      <c r="B36" s="242" t="s">
        <v>87</v>
      </c>
      <c r="C36" s="242" t="s">
        <v>43</v>
      </c>
      <c r="D36" s="242" t="s">
        <v>88</v>
      </c>
      <c r="E36" s="242" t="s">
        <v>89</v>
      </c>
      <c r="F36" s="67">
        <v>2496890</v>
      </c>
      <c r="G36" s="114"/>
      <c r="H36" s="67">
        <v>90</v>
      </c>
      <c r="I36" s="67">
        <v>0</v>
      </c>
      <c r="J36" s="67">
        <v>0</v>
      </c>
      <c r="K36" s="67">
        <v>0</v>
      </c>
      <c r="L36" s="67">
        <v>0</v>
      </c>
      <c r="M36" s="67">
        <v>0</v>
      </c>
      <c r="N36" s="67">
        <v>5.6</v>
      </c>
      <c r="O36" s="67">
        <v>7.5</v>
      </c>
      <c r="P36" s="67">
        <v>4.5</v>
      </c>
      <c r="Q36" s="67">
        <v>6</v>
      </c>
      <c r="R36" s="19">
        <v>393000</v>
      </c>
      <c r="S36" s="19">
        <v>425000</v>
      </c>
      <c r="T36" s="19">
        <v>529000</v>
      </c>
      <c r="U36" s="19">
        <v>478000</v>
      </c>
      <c r="V36" s="19">
        <v>430000</v>
      </c>
      <c r="W36" s="19">
        <v>791500</v>
      </c>
      <c r="X36" s="19">
        <v>0</v>
      </c>
      <c r="Y36" s="19">
        <v>173000</v>
      </c>
      <c r="Z36" s="19">
        <v>200000</v>
      </c>
      <c r="AA36" s="19">
        <v>449074</v>
      </c>
      <c r="AB36" s="19">
        <v>828500</v>
      </c>
      <c r="AC36" s="19">
        <v>750000</v>
      </c>
      <c r="AD36" s="19">
        <v>100000</v>
      </c>
      <c r="AE36" s="19">
        <v>100000</v>
      </c>
      <c r="AF36" s="19">
        <v>160000</v>
      </c>
      <c r="AG36" s="19">
        <v>29180</v>
      </c>
      <c r="AH36" s="19">
        <v>316610</v>
      </c>
      <c r="AI36" s="19">
        <v>521469</v>
      </c>
      <c r="AJ36" s="19">
        <v>0</v>
      </c>
      <c r="AK36" s="19">
        <v>40000</v>
      </c>
      <c r="AL36" s="19">
        <v>70000</v>
      </c>
      <c r="AM36" s="19">
        <v>0</v>
      </c>
      <c r="AN36" s="19">
        <v>0</v>
      </c>
      <c r="AO36" s="19">
        <v>0</v>
      </c>
      <c r="AP36" s="19">
        <v>366784</v>
      </c>
      <c r="AQ36" s="19">
        <v>100000</v>
      </c>
      <c r="AR36" s="19">
        <v>0</v>
      </c>
      <c r="AS36" s="19">
        <v>15582</v>
      </c>
      <c r="AT36" s="19">
        <v>0</v>
      </c>
      <c r="AU36" s="19">
        <v>40000</v>
      </c>
      <c r="AV36" s="19">
        <v>1831620</v>
      </c>
      <c r="AW36" s="51">
        <v>2413110</v>
      </c>
      <c r="AX36" s="51">
        <v>3061969</v>
      </c>
      <c r="AY36" s="3"/>
      <c r="AZ36" s="52">
        <v>425000</v>
      </c>
      <c r="BA36" s="52"/>
      <c r="BB36" s="53">
        <f aca="true" t="shared" si="45" ref="BB36:BC38">AZ36/S36</f>
        <v>1</v>
      </c>
      <c r="BC36" s="53">
        <f t="shared" si="45"/>
        <v>0</v>
      </c>
      <c r="BD36" s="46">
        <f aca="true" t="shared" si="46" ref="BD36:BE38">-1+AZ36/R36</f>
        <v>0.08142493638676851</v>
      </c>
      <c r="BE36" s="46">
        <f t="shared" si="46"/>
        <v>-1</v>
      </c>
      <c r="BF36" s="6"/>
      <c r="BG36" s="89">
        <f aca="true" t="shared" si="47" ref="BG36:BH38">V36+Y36+AE36+AH36+AK36+AN36+AQ36+AT36+AZ36</f>
        <v>1584610</v>
      </c>
      <c r="BH36" s="89">
        <f t="shared" si="47"/>
        <v>1782969</v>
      </c>
      <c r="BI36" s="44">
        <f aca="true" t="shared" si="48" ref="BI36:BJ38">BG36/(R36+U36+X36+AA36+AD36+AG36+AJ36+AM36+AP36+AS36)</f>
        <v>0.8651412410871251</v>
      </c>
      <c r="BJ36" s="44">
        <f t="shared" si="48"/>
        <v>0.7388676852692169</v>
      </c>
      <c r="BK36" s="70">
        <f aca="true" t="shared" si="49" ref="BK36:BL38">IF(BI36&gt;=100%,0,(R36+U36+X36+AA36+AD36+AG36+AJ36+AM36+AP36+AS36)-(V36+Y36+AE36+AH36+AK36+AN36+AQ36+AT36+AZ36))</f>
        <v>247010</v>
      </c>
      <c r="BL36" s="70">
        <f t="shared" si="49"/>
        <v>630141</v>
      </c>
      <c r="BM36" s="10">
        <f t="shared" si="41"/>
        <v>0.6566671225099561</v>
      </c>
      <c r="BN36" s="10">
        <f t="shared" si="41"/>
        <v>0.5822949219930051</v>
      </c>
      <c r="BO36" s="90">
        <f t="shared" si="42"/>
        <v>828500</v>
      </c>
      <c r="BP36" s="90">
        <f t="shared" si="42"/>
        <v>1279000</v>
      </c>
      <c r="BQ36" s="70">
        <f aca="true" t="shared" si="50" ref="BQ36:BR38">IF(AA36&gt;BK36,0,BK36-AA36)</f>
        <v>0</v>
      </c>
      <c r="BR36" s="70">
        <f t="shared" si="50"/>
        <v>0</v>
      </c>
      <c r="BT36" s="41">
        <f aca="true" t="shared" si="51" ref="BT36:BW38">$AZ36/N36</f>
        <v>75892.85714285714</v>
      </c>
      <c r="BU36" s="41">
        <f t="shared" si="51"/>
        <v>56666.666666666664</v>
      </c>
      <c r="BV36" s="72">
        <f t="shared" si="51"/>
        <v>94444.44444444444</v>
      </c>
      <c r="BW36" s="243">
        <f t="shared" si="51"/>
        <v>70833.33333333333</v>
      </c>
      <c r="BX36" s="203">
        <v>0.24</v>
      </c>
      <c r="BY36" s="114">
        <f t="shared" si="9"/>
        <v>231658.56000000003</v>
      </c>
      <c r="BZ36" s="215"/>
      <c r="CA36" s="195">
        <v>231000</v>
      </c>
      <c r="CB36" s="217"/>
      <c r="CC36" s="204"/>
      <c r="CD36" s="205"/>
      <c r="CE36" s="204"/>
      <c r="CF36" s="204"/>
      <c r="CG36" s="204"/>
      <c r="CH36" s="206" t="s">
        <v>91</v>
      </c>
      <c r="CI36" s="206" t="s">
        <v>52</v>
      </c>
      <c r="CJ36" s="53">
        <f>($CG36+$CA36+$AZ36+$AT36+$AQ36+$AN36+$AK36+$AH36+$AE36+$Y36+$V36)/$AV36</f>
        <v>0.9912591039626123</v>
      </c>
      <c r="CK36" s="53">
        <f>($CG36+$CA36+$AZ36+$AT36+$AQ36+$AN36+$AK36+$AH36+$AE36+$Y36+$V36)/$AW36</f>
        <v>0.752394213276643</v>
      </c>
      <c r="CL36" s="53"/>
      <c r="CM36" s="204">
        <f t="shared" si="10"/>
        <v>231000</v>
      </c>
      <c r="CN36" s="204"/>
      <c r="CO36" s="204">
        <f>R36+AA36</f>
        <v>842074</v>
      </c>
      <c r="CP36" s="204">
        <f>AZ36+CM36</f>
        <v>656000</v>
      </c>
      <c r="CQ36" s="207">
        <f t="shared" si="11"/>
        <v>-0.22097107855129117</v>
      </c>
      <c r="CR36" s="114"/>
      <c r="CS36" s="114"/>
      <c r="CT36" s="114">
        <f t="shared" si="12"/>
        <v>1809832.5</v>
      </c>
      <c r="CU36" s="208">
        <v>0.247</v>
      </c>
      <c r="CV36" s="114">
        <f>IF(CT36*CU36&lt;T36,CT36*CU36,T36)</f>
        <v>447028.6275</v>
      </c>
      <c r="CW36" s="114">
        <f t="shared" si="14"/>
        <v>318750</v>
      </c>
      <c r="CX36" s="114">
        <f t="shared" si="13"/>
        <v>1.3174730566383857</v>
      </c>
      <c r="CY36" s="114"/>
      <c r="CZ36" s="114"/>
    </row>
    <row r="37" spans="1:104" ht="24">
      <c r="A37" s="149">
        <v>44990260</v>
      </c>
      <c r="B37" s="49" t="s">
        <v>71</v>
      </c>
      <c r="C37" s="49" t="s">
        <v>43</v>
      </c>
      <c r="D37" s="49" t="s">
        <v>88</v>
      </c>
      <c r="E37" s="49" t="s">
        <v>90</v>
      </c>
      <c r="F37" s="73">
        <v>7117099</v>
      </c>
      <c r="G37" s="73">
        <v>0</v>
      </c>
      <c r="H37" s="73">
        <v>215</v>
      </c>
      <c r="I37" s="73">
        <v>0</v>
      </c>
      <c r="J37" s="73">
        <v>0</v>
      </c>
      <c r="K37" s="73">
        <v>0</v>
      </c>
      <c r="L37" s="73">
        <v>0</v>
      </c>
      <c r="M37" s="73">
        <v>0</v>
      </c>
      <c r="N37" s="73">
        <v>6.1</v>
      </c>
      <c r="O37" s="73">
        <v>5.7</v>
      </c>
      <c r="P37" s="73">
        <v>4.9</v>
      </c>
      <c r="Q37" s="73">
        <v>3.5</v>
      </c>
      <c r="R37" s="2">
        <v>584000</v>
      </c>
      <c r="S37" s="2">
        <v>600000</v>
      </c>
      <c r="T37" s="2">
        <v>800000</v>
      </c>
      <c r="U37" s="2">
        <v>576000</v>
      </c>
      <c r="V37" s="2">
        <v>660000</v>
      </c>
      <c r="W37" s="2">
        <v>870000</v>
      </c>
      <c r="X37" s="2">
        <v>186534</v>
      </c>
      <c r="Y37" s="2">
        <v>30000</v>
      </c>
      <c r="Z37" s="2">
        <v>0</v>
      </c>
      <c r="AA37" s="2">
        <v>426937</v>
      </c>
      <c r="AB37" s="2">
        <v>578000</v>
      </c>
      <c r="AC37" s="2">
        <v>555000</v>
      </c>
      <c r="AD37" s="2">
        <v>175000</v>
      </c>
      <c r="AE37" s="2">
        <v>175000</v>
      </c>
      <c r="AF37" s="2">
        <v>175000</v>
      </c>
      <c r="AG37" s="2">
        <v>0</v>
      </c>
      <c r="AH37" s="2">
        <v>0</v>
      </c>
      <c r="AI37" s="2">
        <v>0</v>
      </c>
      <c r="AJ37" s="2">
        <v>14562</v>
      </c>
      <c r="AK37" s="2">
        <v>12700</v>
      </c>
      <c r="AL37" s="2">
        <v>0</v>
      </c>
      <c r="AM37" s="91">
        <v>0</v>
      </c>
      <c r="AN37" s="2">
        <v>0</v>
      </c>
      <c r="AO37" s="2">
        <v>0</v>
      </c>
      <c r="AP37" s="91">
        <v>0</v>
      </c>
      <c r="AQ37" s="91">
        <v>0</v>
      </c>
      <c r="AR37" s="91">
        <v>0</v>
      </c>
      <c r="AS37" s="2">
        <v>418151</v>
      </c>
      <c r="AT37" s="2">
        <v>214300</v>
      </c>
      <c r="AU37" s="2">
        <v>0</v>
      </c>
      <c r="AV37" s="2">
        <v>2381183</v>
      </c>
      <c r="AW37" s="50">
        <v>2320000</v>
      </c>
      <c r="AX37" s="50">
        <v>2400000</v>
      </c>
      <c r="AY37" s="3"/>
      <c r="AZ37" s="48">
        <v>600000</v>
      </c>
      <c r="BA37" s="48"/>
      <c r="BB37" s="4">
        <f t="shared" si="45"/>
        <v>1</v>
      </c>
      <c r="BC37" s="4">
        <f t="shared" si="45"/>
        <v>0</v>
      </c>
      <c r="BD37" s="5">
        <f t="shared" si="46"/>
        <v>0.027397260273972712</v>
      </c>
      <c r="BE37" s="5">
        <f t="shared" si="46"/>
        <v>-1</v>
      </c>
      <c r="BF37" s="6"/>
      <c r="BG37" s="7">
        <f t="shared" si="47"/>
        <v>1692000</v>
      </c>
      <c r="BH37" s="7">
        <f t="shared" si="47"/>
        <v>1045000</v>
      </c>
      <c r="BI37" s="8">
        <f t="shared" si="48"/>
        <v>0.7105708756652153</v>
      </c>
      <c r="BJ37" s="8">
        <f t="shared" si="48"/>
        <v>0.460352422907489</v>
      </c>
      <c r="BK37" s="9">
        <f t="shared" si="49"/>
        <v>689184</v>
      </c>
      <c r="BL37" s="9">
        <f t="shared" si="49"/>
        <v>1225000</v>
      </c>
      <c r="BM37" s="10">
        <f t="shared" si="41"/>
        <v>0.7293103448275862</v>
      </c>
      <c r="BN37" s="10">
        <f t="shared" si="41"/>
        <v>0.4354166666666667</v>
      </c>
      <c r="BO37" s="11">
        <f t="shared" si="42"/>
        <v>628000</v>
      </c>
      <c r="BP37" s="11">
        <f t="shared" si="42"/>
        <v>1355000</v>
      </c>
      <c r="BQ37" s="12">
        <f t="shared" si="50"/>
        <v>262247</v>
      </c>
      <c r="BR37" s="12">
        <f t="shared" si="50"/>
        <v>647000</v>
      </c>
      <c r="BT37" s="14">
        <f t="shared" si="51"/>
        <v>98360.65573770492</v>
      </c>
      <c r="BU37" s="14">
        <f t="shared" si="51"/>
        <v>105263.15789473684</v>
      </c>
      <c r="BV37" s="15">
        <f t="shared" si="51"/>
        <v>122448.97959183673</v>
      </c>
      <c r="BW37" s="244">
        <f t="shared" si="51"/>
        <v>171428.57142857142</v>
      </c>
      <c r="BX37" s="223">
        <v>0.24</v>
      </c>
      <c r="BY37" s="74">
        <f t="shared" si="9"/>
        <v>222720</v>
      </c>
      <c r="BZ37" s="224"/>
      <c r="CA37" s="226">
        <v>222000</v>
      </c>
      <c r="CB37" s="225"/>
      <c r="CC37" s="198"/>
      <c r="CD37" s="199"/>
      <c r="CE37" s="198"/>
      <c r="CF37" s="198"/>
      <c r="CG37" s="198"/>
      <c r="CH37" s="200" t="s">
        <v>91</v>
      </c>
      <c r="CI37" s="200" t="s">
        <v>47</v>
      </c>
      <c r="CJ37" s="4">
        <f>($CG37+$CA37+$AZ37+$AT37+$AQ37+$AN37+$AK37+$AH37+$AE37+$Y37+$V37)/$AV37</f>
        <v>0.8038021437243589</v>
      </c>
      <c r="CK37" s="4">
        <f>($CG37+$CA37+$AZ37+$AT37+$AQ37+$AN37+$AK37+$AH37+$AE37+$Y37+$V37)/$AW37</f>
        <v>0.825</v>
      </c>
      <c r="CL37" s="4"/>
      <c r="CM37" s="198">
        <f t="shared" si="10"/>
        <v>222000</v>
      </c>
      <c r="CN37" s="198"/>
      <c r="CO37" s="198">
        <f>R37+AA37</f>
        <v>1010937</v>
      </c>
      <c r="CP37" s="198">
        <f>AZ37+CM37</f>
        <v>822000</v>
      </c>
      <c r="CQ37" s="201">
        <f t="shared" si="11"/>
        <v>-0.18689295178631304</v>
      </c>
      <c r="CR37" s="74"/>
      <c r="CS37" s="74"/>
      <c r="CT37" s="74">
        <f t="shared" si="12"/>
        <v>1740000</v>
      </c>
      <c r="CU37" s="202">
        <v>0.247</v>
      </c>
      <c r="CV37" s="74">
        <f>IF(CT37*CU37&lt;T37,CT37*CU37,T37)</f>
        <v>429780</v>
      </c>
      <c r="CW37" s="74">
        <f t="shared" si="14"/>
        <v>450000</v>
      </c>
      <c r="CX37" s="74">
        <f t="shared" si="13"/>
        <v>0.9743056287567986</v>
      </c>
      <c r="CY37" s="74"/>
      <c r="CZ37" s="74"/>
    </row>
    <row r="38" spans="1:104" ht="18" customHeight="1" thickBot="1">
      <c r="A38" s="245">
        <v>44990260</v>
      </c>
      <c r="B38" s="246" t="s">
        <v>71</v>
      </c>
      <c r="C38" s="246" t="s">
        <v>43</v>
      </c>
      <c r="D38" s="246" t="s">
        <v>88</v>
      </c>
      <c r="E38" s="246" t="s">
        <v>92</v>
      </c>
      <c r="F38" s="76">
        <v>7736193</v>
      </c>
      <c r="G38" s="76">
        <v>0</v>
      </c>
      <c r="H38" s="76">
        <v>230</v>
      </c>
      <c r="I38" s="76">
        <v>0</v>
      </c>
      <c r="J38" s="76">
        <v>0</v>
      </c>
      <c r="K38" s="76">
        <v>0</v>
      </c>
      <c r="L38" s="76">
        <v>0</v>
      </c>
      <c r="M38" s="76">
        <v>0</v>
      </c>
      <c r="N38" s="76">
        <v>4.4</v>
      </c>
      <c r="O38" s="76">
        <v>4.5</v>
      </c>
      <c r="P38" s="76">
        <v>3.3</v>
      </c>
      <c r="Q38" s="76">
        <v>3.6</v>
      </c>
      <c r="R38" s="17">
        <v>797000</v>
      </c>
      <c r="S38" s="17">
        <v>793800</v>
      </c>
      <c r="T38" s="17">
        <v>1015400</v>
      </c>
      <c r="U38" s="17">
        <v>526000</v>
      </c>
      <c r="V38" s="17">
        <v>470000</v>
      </c>
      <c r="W38" s="17">
        <v>677700</v>
      </c>
      <c r="X38" s="111">
        <v>0</v>
      </c>
      <c r="Y38" s="17">
        <v>0</v>
      </c>
      <c r="Z38" s="17">
        <v>0</v>
      </c>
      <c r="AA38" s="17">
        <v>406191</v>
      </c>
      <c r="AB38" s="17">
        <v>464340</v>
      </c>
      <c r="AC38" s="17">
        <v>412000</v>
      </c>
      <c r="AD38" s="17">
        <v>365847</v>
      </c>
      <c r="AE38" s="17">
        <v>278650</v>
      </c>
      <c r="AF38" s="17">
        <v>260000</v>
      </c>
      <c r="AG38" s="17">
        <v>0</v>
      </c>
      <c r="AH38" s="17">
        <v>0</v>
      </c>
      <c r="AI38" s="17">
        <v>0</v>
      </c>
      <c r="AJ38" s="17">
        <v>0</v>
      </c>
      <c r="AK38" s="17">
        <v>0</v>
      </c>
      <c r="AL38" s="17">
        <v>0</v>
      </c>
      <c r="AM38" s="17">
        <v>0</v>
      </c>
      <c r="AN38" s="17">
        <v>0</v>
      </c>
      <c r="AO38" s="17">
        <v>0</v>
      </c>
      <c r="AP38" s="17">
        <v>0</v>
      </c>
      <c r="AQ38" s="17">
        <v>0</v>
      </c>
      <c r="AR38" s="17">
        <v>0</v>
      </c>
      <c r="AS38" s="17">
        <v>84154</v>
      </c>
      <c r="AT38" s="17">
        <v>60180</v>
      </c>
      <c r="AU38" s="17">
        <v>53700</v>
      </c>
      <c r="AV38" s="17">
        <v>2179192</v>
      </c>
      <c r="AW38" s="54">
        <v>2066970</v>
      </c>
      <c r="AX38" s="54">
        <v>2418800</v>
      </c>
      <c r="AY38" s="3"/>
      <c r="AZ38" s="55">
        <v>600000</v>
      </c>
      <c r="BA38" s="55"/>
      <c r="BB38" s="56">
        <f t="shared" si="45"/>
        <v>0.7558578987150416</v>
      </c>
      <c r="BC38" s="56">
        <f t="shared" si="45"/>
        <v>0</v>
      </c>
      <c r="BD38" s="47">
        <f t="shared" si="46"/>
        <v>-0.2471769134253451</v>
      </c>
      <c r="BE38" s="47">
        <f t="shared" si="46"/>
        <v>-1</v>
      </c>
      <c r="BF38" s="6"/>
      <c r="BG38" s="77">
        <f t="shared" si="47"/>
        <v>1408830</v>
      </c>
      <c r="BH38" s="77">
        <f t="shared" si="47"/>
        <v>991400</v>
      </c>
      <c r="BI38" s="45">
        <f t="shared" si="48"/>
        <v>0.6464919107632554</v>
      </c>
      <c r="BJ38" s="45">
        <f t="shared" si="48"/>
        <v>0.479639278751022</v>
      </c>
      <c r="BK38" s="78">
        <f t="shared" si="49"/>
        <v>770362</v>
      </c>
      <c r="BL38" s="78">
        <f t="shared" si="49"/>
        <v>1075570</v>
      </c>
      <c r="BM38" s="79">
        <f t="shared" si="41"/>
        <v>0.681591895383097</v>
      </c>
      <c r="BN38" s="79">
        <f t="shared" si="41"/>
        <v>0.40987266413097406</v>
      </c>
      <c r="BO38" s="115">
        <f t="shared" si="42"/>
        <v>658140</v>
      </c>
      <c r="BP38" s="115">
        <f t="shared" si="42"/>
        <v>1427400</v>
      </c>
      <c r="BQ38" s="116">
        <f t="shared" si="50"/>
        <v>364171</v>
      </c>
      <c r="BR38" s="116">
        <f t="shared" si="50"/>
        <v>611230</v>
      </c>
      <c r="BT38" s="42">
        <f t="shared" si="51"/>
        <v>136363.63636363635</v>
      </c>
      <c r="BU38" s="42">
        <f t="shared" si="51"/>
        <v>133333.33333333334</v>
      </c>
      <c r="BV38" s="80">
        <f t="shared" si="51"/>
        <v>181818.18181818182</v>
      </c>
      <c r="BW38" s="247">
        <f t="shared" si="51"/>
        <v>166666.66666666666</v>
      </c>
      <c r="BX38" s="209">
        <v>0.24</v>
      </c>
      <c r="BY38" s="121">
        <f t="shared" si="9"/>
        <v>198429.12</v>
      </c>
      <c r="BZ38" s="216"/>
      <c r="CA38" s="219">
        <v>198000</v>
      </c>
      <c r="CB38" s="218"/>
      <c r="CC38" s="210"/>
      <c r="CD38" s="211"/>
      <c r="CE38" s="210"/>
      <c r="CF38" s="210"/>
      <c r="CG38" s="210"/>
      <c r="CH38" s="212" t="s">
        <v>91</v>
      </c>
      <c r="CI38" s="212" t="s">
        <v>47</v>
      </c>
      <c r="CJ38" s="56">
        <f>($CG38+$CA38+$AZ38+$AT38+$AQ38+$AN38+$AK38+$AH38+$AE38+$Y38+$V38)/$AV38</f>
        <v>0.7373512751515241</v>
      </c>
      <c r="CK38" s="56">
        <f>($CG38+$CA38+$AZ38+$AT38+$AQ38+$AN38+$AK38+$AH38+$AE38+$Y38+$V38)/$AW38</f>
        <v>0.7773842871449513</v>
      </c>
      <c r="CL38" s="56"/>
      <c r="CM38" s="210">
        <f t="shared" si="10"/>
        <v>198000</v>
      </c>
      <c r="CN38" s="210"/>
      <c r="CO38" s="210">
        <f>R38+AA38</f>
        <v>1203191</v>
      </c>
      <c r="CP38" s="210">
        <f>AZ38+CM38</f>
        <v>798000</v>
      </c>
      <c r="CQ38" s="213">
        <f t="shared" si="11"/>
        <v>-0.33676365597814484</v>
      </c>
      <c r="CR38" s="121"/>
      <c r="CS38" s="121"/>
      <c r="CT38" s="121">
        <f t="shared" si="12"/>
        <v>1550227.5</v>
      </c>
      <c r="CU38" s="214">
        <v>0.247</v>
      </c>
      <c r="CV38" s="121">
        <f>IF(CT38*CU38&lt;T38,CT38*CU38,T38)</f>
        <v>382906.1925</v>
      </c>
      <c r="CW38" s="121">
        <f t="shared" si="14"/>
        <v>595350</v>
      </c>
      <c r="CX38" s="121">
        <f t="shared" si="13"/>
        <v>0.9485029313617157</v>
      </c>
      <c r="CY38" s="121"/>
      <c r="CZ38" s="121"/>
    </row>
    <row r="39" spans="1:98" ht="7.5" customHeight="1" thickBot="1">
      <c r="A39" s="120"/>
      <c r="B39" s="120"/>
      <c r="C39" s="120"/>
      <c r="D39" s="120"/>
      <c r="E39" s="120"/>
      <c r="F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4"/>
      <c r="BC39" s="34"/>
      <c r="BD39" s="34"/>
      <c r="BE39" s="34"/>
      <c r="BF39" s="34"/>
      <c r="BI39" s="6"/>
      <c r="BJ39" s="6"/>
      <c r="BK39" s="87"/>
      <c r="BL39" s="87"/>
      <c r="BM39" s="38"/>
      <c r="BN39" s="38"/>
      <c r="BQ39" s="87"/>
      <c r="BR39" s="87"/>
      <c r="BT39" s="43"/>
      <c r="BU39" s="43"/>
      <c r="BV39" s="43"/>
      <c r="BW39" s="43"/>
      <c r="BX39" s="13"/>
      <c r="BY39" s="13">
        <f t="shared" si="9"/>
        <v>0</v>
      </c>
      <c r="BZ39" s="13"/>
      <c r="CB39" s="196"/>
      <c r="CC39" s="32"/>
      <c r="CD39" s="197"/>
      <c r="CE39" s="32"/>
      <c r="CF39" s="32"/>
      <c r="CG39" s="32"/>
      <c r="CH39" s="233"/>
      <c r="CJ39" s="6"/>
      <c r="CK39" s="6"/>
      <c r="CL39" s="6"/>
      <c r="CM39" s="32"/>
      <c r="CO39" s="32"/>
      <c r="CP39" s="32"/>
      <c r="CQ39" s="154"/>
      <c r="CT39" s="13">
        <f t="shared" si="12"/>
        <v>0</v>
      </c>
    </row>
    <row r="40" spans="1:104" ht="48">
      <c r="A40" s="241">
        <v>15060233</v>
      </c>
      <c r="B40" s="242" t="s">
        <v>42</v>
      </c>
      <c r="C40" s="242" t="s">
        <v>43</v>
      </c>
      <c r="D40" s="242" t="s">
        <v>93</v>
      </c>
      <c r="E40" s="242" t="s">
        <v>94</v>
      </c>
      <c r="F40" s="67">
        <v>1758665</v>
      </c>
      <c r="G40" s="67">
        <v>0</v>
      </c>
      <c r="H40" s="67">
        <v>120</v>
      </c>
      <c r="I40" s="67">
        <v>0</v>
      </c>
      <c r="J40" s="67">
        <v>0</v>
      </c>
      <c r="K40" s="67">
        <v>0</v>
      </c>
      <c r="L40" s="67">
        <v>0</v>
      </c>
      <c r="M40" s="67">
        <v>0</v>
      </c>
      <c r="N40" s="67">
        <v>4.6</v>
      </c>
      <c r="O40" s="67">
        <v>3.1</v>
      </c>
      <c r="P40" s="67">
        <v>3.5</v>
      </c>
      <c r="Q40" s="67">
        <v>2</v>
      </c>
      <c r="R40" s="19">
        <v>575000</v>
      </c>
      <c r="S40" s="19">
        <v>900000</v>
      </c>
      <c r="T40" s="19">
        <v>893875</v>
      </c>
      <c r="U40" s="19">
        <v>0</v>
      </c>
      <c r="V40" s="19">
        <v>0</v>
      </c>
      <c r="W40" s="19">
        <v>0</v>
      </c>
      <c r="X40" s="19">
        <v>0</v>
      </c>
      <c r="Y40" s="19">
        <v>0</v>
      </c>
      <c r="Z40" s="19">
        <v>0</v>
      </c>
      <c r="AA40" s="19">
        <v>0</v>
      </c>
      <c r="AB40" s="19">
        <v>0</v>
      </c>
      <c r="AC40" s="19">
        <v>69670</v>
      </c>
      <c r="AD40" s="19">
        <v>330000</v>
      </c>
      <c r="AE40" s="19">
        <v>330000</v>
      </c>
      <c r="AF40" s="19">
        <v>330000</v>
      </c>
      <c r="AG40" s="19">
        <v>0</v>
      </c>
      <c r="AH40" s="19">
        <v>0</v>
      </c>
      <c r="AI40" s="19">
        <v>0</v>
      </c>
      <c r="AJ40" s="19">
        <v>2341</v>
      </c>
      <c r="AK40" s="19">
        <v>3600</v>
      </c>
      <c r="AL40" s="19">
        <v>0</v>
      </c>
      <c r="AM40" s="19">
        <v>0</v>
      </c>
      <c r="AN40" s="19">
        <v>0</v>
      </c>
      <c r="AO40" s="19">
        <v>0</v>
      </c>
      <c r="AP40" s="19">
        <v>0</v>
      </c>
      <c r="AQ40" s="19">
        <v>0</v>
      </c>
      <c r="AR40" s="19">
        <v>0</v>
      </c>
      <c r="AS40" s="19">
        <v>0</v>
      </c>
      <c r="AT40" s="19">
        <v>1000</v>
      </c>
      <c r="AU40" s="19">
        <v>12000</v>
      </c>
      <c r="AV40" s="19">
        <v>907341</v>
      </c>
      <c r="AW40" s="51">
        <v>1234600</v>
      </c>
      <c r="AX40" s="51">
        <v>1305545</v>
      </c>
      <c r="AY40" s="3"/>
      <c r="AZ40" s="52">
        <v>900000</v>
      </c>
      <c r="BA40" s="52"/>
      <c r="BB40" s="53">
        <f aca="true" t="shared" si="52" ref="BB40:BB50">AZ40/S40</f>
        <v>1</v>
      </c>
      <c r="BC40" s="53">
        <f aca="true" t="shared" si="53" ref="BC40:BC50">BA40/T40</f>
        <v>0</v>
      </c>
      <c r="BD40" s="46">
        <f>-1+AZ40/R40</f>
        <v>0.5652173913043479</v>
      </c>
      <c r="BE40" s="46">
        <f>-1+BA40/S40</f>
        <v>-1</v>
      </c>
      <c r="BF40" s="6"/>
      <c r="BG40" s="89">
        <f aca="true" t="shared" si="54" ref="BG40:BG50">V40+Y40+AE40+AH40+AK40+AN40+AQ40+AT40+AZ40</f>
        <v>1234600</v>
      </c>
      <c r="BH40" s="89">
        <f aca="true" t="shared" si="55" ref="BH40:BH50">W40+Z40+AF40+AI40+AL40+AO40+AR40+AU40+BA40</f>
        <v>342000</v>
      </c>
      <c r="BI40" s="44">
        <f>BG40/(R40+U40+X40+AA40+AD40+AG40+AJ40+AM40+AP40+AS40)</f>
        <v>1.3606791713369064</v>
      </c>
      <c r="BJ40" s="44">
        <f>BH40/(S40+V40+Y40+AB40+AE40+AH40+AK40+AN40+AQ40+AT40)</f>
        <v>0.27701279766726067</v>
      </c>
      <c r="BK40" s="70">
        <f>IF(BI40&gt;=100%,0,(R40+U40+X40+AA40+AD40+AG40+AJ40+AM40+AP40+AS40)-(V40+Y40+AE40+AH40+AK40+AN40+AQ40+AT40+AZ40))</f>
        <v>0</v>
      </c>
      <c r="BL40" s="70">
        <f>IF(BJ40&gt;=100%,0,(S40+V40+Y40+AB40+AE40+AH40+AK40+AN40+AQ40+AT40)-(W40+Z40+AF40+AI40+AL40+AO40+AR40+AU40+BA40))</f>
        <v>892600</v>
      </c>
      <c r="BM40" s="10">
        <f t="shared" si="41"/>
        <v>1</v>
      </c>
      <c r="BN40" s="10">
        <f t="shared" si="41"/>
        <v>0.2619595647794599</v>
      </c>
      <c r="BO40" s="90">
        <f t="shared" si="42"/>
        <v>0</v>
      </c>
      <c r="BP40" s="90">
        <f t="shared" si="42"/>
        <v>963545</v>
      </c>
      <c r="BQ40" s="70">
        <f aca="true" t="shared" si="56" ref="BQ40:BQ50">IF(AA40&gt;BK40,0,BK40-AA40)</f>
        <v>0</v>
      </c>
      <c r="BR40" s="70">
        <f aca="true" t="shared" si="57" ref="BR40:BR50">IF(AB40&gt;BL40,0,BL40-AB40)</f>
        <v>892600</v>
      </c>
      <c r="BT40" s="41">
        <f aca="true" t="shared" si="58" ref="BT40:BT50">$AZ40/N40</f>
        <v>195652.1739130435</v>
      </c>
      <c r="BU40" s="41">
        <f aca="true" t="shared" si="59" ref="BU40:BU50">$AZ40/O40</f>
        <v>290322.5806451613</v>
      </c>
      <c r="BV40" s="72">
        <f aca="true" t="shared" si="60" ref="BV40:BV50">$AZ40/P40</f>
        <v>257142.85714285713</v>
      </c>
      <c r="BW40" s="243">
        <f aca="true" t="shared" si="61" ref="BW40:BW50">$AZ40/Q40</f>
        <v>450000</v>
      </c>
      <c r="BX40" s="203">
        <v>0.12</v>
      </c>
      <c r="BY40" s="114">
        <f t="shared" si="9"/>
        <v>59260.8</v>
      </c>
      <c r="BZ40" s="215"/>
      <c r="CA40" s="195">
        <v>59000</v>
      </c>
      <c r="CB40" s="217"/>
      <c r="CC40" s="204"/>
      <c r="CD40" s="205"/>
      <c r="CE40" s="204"/>
      <c r="CF40" s="204"/>
      <c r="CG40" s="204"/>
      <c r="CH40" s="206" t="s">
        <v>97</v>
      </c>
      <c r="CI40" s="206" t="s">
        <v>47</v>
      </c>
      <c r="CJ40" s="53">
        <f aca="true" t="shared" si="62" ref="CJ40:CJ50">($CG40+$CA40+$AZ40+$AT40+$AQ40+$AN40+$AK40+$AH40+$AE40+$Y40+$V40)/$AV40</f>
        <v>1.4257043382807566</v>
      </c>
      <c r="CK40" s="53">
        <f aca="true" t="shared" si="63" ref="CK40:CK50">($CG40+$CA40+$AZ40+$AT40+$AQ40+$AN40+$AK40+$AH40+$AE40+$Y40+$V40)/$AW40</f>
        <v>1.0477887574923053</v>
      </c>
      <c r="CL40" s="53"/>
      <c r="CM40" s="204">
        <f t="shared" si="10"/>
        <v>59000</v>
      </c>
      <c r="CN40" s="204"/>
      <c r="CO40" s="204">
        <f aca="true" t="shared" si="64" ref="CO40:CO50">R40+AA40</f>
        <v>575000</v>
      </c>
      <c r="CP40" s="204">
        <f aca="true" t="shared" si="65" ref="CP40:CP50">AZ40+CM40</f>
        <v>959000</v>
      </c>
      <c r="CQ40" s="207">
        <f t="shared" si="11"/>
        <v>0.6678260869565218</v>
      </c>
      <c r="CR40" s="114"/>
      <c r="CS40" s="114"/>
      <c r="CT40" s="114">
        <f t="shared" si="12"/>
        <v>925950</v>
      </c>
      <c r="CU40" s="208">
        <v>0.48</v>
      </c>
      <c r="CV40" s="114">
        <f aca="true" t="shared" si="66" ref="CV40:CV50">IF(CT40*CU40&lt;T40,CT40*CU40,T40)</f>
        <v>444456</v>
      </c>
      <c r="CW40" s="114">
        <f t="shared" si="14"/>
        <v>675000</v>
      </c>
      <c r="CX40" s="114">
        <f t="shared" si="13"/>
        <v>1.3606791713369064</v>
      </c>
      <c r="CY40" s="114"/>
      <c r="CZ40" s="114"/>
    </row>
    <row r="41" spans="1:104" ht="48">
      <c r="A41" s="149">
        <v>43379168</v>
      </c>
      <c r="B41" s="49" t="s">
        <v>69</v>
      </c>
      <c r="C41" s="49" t="s">
        <v>55</v>
      </c>
      <c r="D41" s="49" t="s">
        <v>93</v>
      </c>
      <c r="E41" s="49" t="s">
        <v>95</v>
      </c>
      <c r="F41" s="73">
        <v>7029718</v>
      </c>
      <c r="G41" s="74"/>
      <c r="H41" s="73">
        <v>30</v>
      </c>
      <c r="I41" s="73">
        <v>0</v>
      </c>
      <c r="J41" s="73">
        <v>0</v>
      </c>
      <c r="K41" s="73">
        <v>0</v>
      </c>
      <c r="L41" s="73">
        <v>0</v>
      </c>
      <c r="M41" s="73">
        <v>0</v>
      </c>
      <c r="N41" s="73">
        <v>3.7</v>
      </c>
      <c r="O41" s="73">
        <v>2.9</v>
      </c>
      <c r="P41" s="73">
        <v>3.3</v>
      </c>
      <c r="Q41" s="73">
        <v>2.6</v>
      </c>
      <c r="R41" s="2">
        <v>0</v>
      </c>
      <c r="S41" s="2">
        <v>90000</v>
      </c>
      <c r="T41" s="2">
        <v>150000</v>
      </c>
      <c r="U41" s="2">
        <v>0</v>
      </c>
      <c r="V41" s="2">
        <v>0</v>
      </c>
      <c r="W41" s="2">
        <v>0</v>
      </c>
      <c r="X41" s="2">
        <v>0</v>
      </c>
      <c r="Y41" s="2">
        <v>0</v>
      </c>
      <c r="Z41" s="2">
        <v>0</v>
      </c>
      <c r="AA41" s="2">
        <v>0</v>
      </c>
      <c r="AB41" s="2">
        <v>0</v>
      </c>
      <c r="AC41" s="2">
        <v>0</v>
      </c>
      <c r="AD41" s="2">
        <v>0</v>
      </c>
      <c r="AE41" s="2">
        <v>0</v>
      </c>
      <c r="AF41" s="2">
        <v>0</v>
      </c>
      <c r="AG41" s="2">
        <v>604000</v>
      </c>
      <c r="AH41" s="2">
        <v>811000</v>
      </c>
      <c r="AI41" s="2">
        <v>847000</v>
      </c>
      <c r="AJ41" s="2">
        <v>0</v>
      </c>
      <c r="AK41" s="2">
        <v>0</v>
      </c>
      <c r="AL41" s="2">
        <v>0</v>
      </c>
      <c r="AM41" s="2">
        <v>0</v>
      </c>
      <c r="AN41" s="2">
        <v>0</v>
      </c>
      <c r="AO41" s="2">
        <v>0</v>
      </c>
      <c r="AP41" s="2">
        <v>1031000</v>
      </c>
      <c r="AQ41" s="2">
        <v>480000</v>
      </c>
      <c r="AR41" s="2">
        <v>0</v>
      </c>
      <c r="AS41" s="2">
        <v>0</v>
      </c>
      <c r="AT41" s="2">
        <v>10000</v>
      </c>
      <c r="AU41" s="2">
        <v>10000</v>
      </c>
      <c r="AV41" s="2">
        <v>1635000</v>
      </c>
      <c r="AW41" s="50">
        <v>1391000</v>
      </c>
      <c r="AX41" s="50">
        <v>1007000</v>
      </c>
      <c r="AY41" s="3"/>
      <c r="AZ41" s="48">
        <v>90000</v>
      </c>
      <c r="BA41" s="48"/>
      <c r="BB41" s="4">
        <f t="shared" si="52"/>
        <v>1</v>
      </c>
      <c r="BC41" s="4">
        <f t="shared" si="53"/>
        <v>0</v>
      </c>
      <c r="BD41" s="5"/>
      <c r="BE41" s="5"/>
      <c r="BF41" s="6"/>
      <c r="BG41" s="7">
        <f t="shared" si="54"/>
        <v>1391000</v>
      </c>
      <c r="BH41" s="7">
        <f t="shared" si="55"/>
        <v>857000</v>
      </c>
      <c r="BI41" s="8">
        <f aca="true" t="shared" si="67" ref="BI41:BI50">BG41/(R41+U41+X41+AA41+AD41+AG41+AJ41+AM41+AP41+AS41)</f>
        <v>0.8507645259938837</v>
      </c>
      <c r="BJ41" s="8">
        <f aca="true" t="shared" si="68" ref="BJ41:BJ50">BH41/(S41+V41+Y41+AB41+AE41+AH41+AK41+AN41+AQ41+AT41)</f>
        <v>0.6161035226455788</v>
      </c>
      <c r="BK41" s="9">
        <f aca="true" t="shared" si="69" ref="BK41:BK50">IF(BI41&gt;=100%,0,(R41+U41+X41+AA41+AD41+AG41+AJ41+AM41+AP41+AS41)-(V41+Y41+AE41+AH41+AK41+AN41+AQ41+AT41+AZ41))</f>
        <v>244000</v>
      </c>
      <c r="BL41" s="9">
        <f aca="true" t="shared" si="70" ref="BL41:BL50">IF(BJ41&gt;=100%,0,(S41+V41+Y41+AB41+AE41+AH41+AK41+AN41+AQ41+AT41)-(W41+Z41+AF41+AI41+AL41+AO41+AR41+AU41+BA41))</f>
        <v>534000</v>
      </c>
      <c r="BM41" s="10">
        <f t="shared" si="41"/>
        <v>1</v>
      </c>
      <c r="BN41" s="10">
        <f t="shared" si="41"/>
        <v>0.8510427010923535</v>
      </c>
      <c r="BO41" s="11">
        <f t="shared" si="42"/>
        <v>0</v>
      </c>
      <c r="BP41" s="11">
        <f t="shared" si="42"/>
        <v>150000</v>
      </c>
      <c r="BQ41" s="12">
        <f t="shared" si="56"/>
        <v>244000</v>
      </c>
      <c r="BR41" s="12">
        <f t="shared" si="57"/>
        <v>534000</v>
      </c>
      <c r="BT41" s="14">
        <f t="shared" si="58"/>
        <v>24324.324324324323</v>
      </c>
      <c r="BU41" s="14">
        <f t="shared" si="59"/>
        <v>31034.482758620692</v>
      </c>
      <c r="BV41" s="15">
        <f t="shared" si="60"/>
        <v>27272.727272727276</v>
      </c>
      <c r="BW41" s="244">
        <f t="shared" si="61"/>
        <v>34615.38461538462</v>
      </c>
      <c r="BX41" s="223">
        <v>0.12</v>
      </c>
      <c r="BY41" s="74">
        <f t="shared" si="9"/>
        <v>48336</v>
      </c>
      <c r="BZ41" s="224"/>
      <c r="CA41" s="226">
        <v>48000</v>
      </c>
      <c r="CB41" s="225"/>
      <c r="CC41" s="198"/>
      <c r="CD41" s="199"/>
      <c r="CE41" s="198"/>
      <c r="CF41" s="198"/>
      <c r="CG41" s="198"/>
      <c r="CH41" s="200" t="s">
        <v>97</v>
      </c>
      <c r="CI41" s="200" t="s">
        <v>56</v>
      </c>
      <c r="CJ41" s="4">
        <f t="shared" si="62"/>
        <v>0.8801223241590214</v>
      </c>
      <c r="CK41" s="4">
        <f t="shared" si="63"/>
        <v>1.03450754852624</v>
      </c>
      <c r="CL41" s="4"/>
      <c r="CM41" s="198">
        <f t="shared" si="10"/>
        <v>48000</v>
      </c>
      <c r="CN41" s="198"/>
      <c r="CO41" s="198">
        <f t="shared" si="64"/>
        <v>0</v>
      </c>
      <c r="CP41" s="198">
        <f t="shared" si="65"/>
        <v>138000</v>
      </c>
      <c r="CQ41" s="201"/>
      <c r="CR41" s="74"/>
      <c r="CS41" s="74"/>
      <c r="CT41" s="74">
        <f t="shared" si="12"/>
        <v>1007000</v>
      </c>
      <c r="CU41" s="202">
        <v>0.48</v>
      </c>
      <c r="CV41" s="74">
        <f t="shared" si="66"/>
        <v>150000</v>
      </c>
      <c r="CW41" s="74">
        <f t="shared" si="14"/>
        <v>67500</v>
      </c>
      <c r="CX41" s="74">
        <f t="shared" si="13"/>
        <v>0.8507645259938837</v>
      </c>
      <c r="CY41" s="74"/>
      <c r="CZ41" s="74"/>
    </row>
    <row r="42" spans="1:104" ht="48">
      <c r="A42" s="149">
        <v>44990260</v>
      </c>
      <c r="B42" s="49" t="s">
        <v>71</v>
      </c>
      <c r="C42" s="49" t="s">
        <v>43</v>
      </c>
      <c r="D42" s="49" t="s">
        <v>93</v>
      </c>
      <c r="E42" s="49" t="s">
        <v>96</v>
      </c>
      <c r="F42" s="73">
        <v>7732889</v>
      </c>
      <c r="G42" s="74"/>
      <c r="H42" s="73">
        <v>210</v>
      </c>
      <c r="I42" s="73">
        <v>0</v>
      </c>
      <c r="J42" s="73">
        <v>0</v>
      </c>
      <c r="K42" s="73">
        <v>0</v>
      </c>
      <c r="L42" s="73">
        <v>0</v>
      </c>
      <c r="M42" s="73">
        <v>0</v>
      </c>
      <c r="N42" s="73">
        <v>2.6</v>
      </c>
      <c r="O42" s="73">
        <v>4.4</v>
      </c>
      <c r="P42" s="73">
        <v>2.2</v>
      </c>
      <c r="Q42" s="73">
        <v>3.8</v>
      </c>
      <c r="R42" s="2">
        <v>787845</v>
      </c>
      <c r="S42" s="2">
        <v>837000</v>
      </c>
      <c r="T42" s="2">
        <v>928000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v>0</v>
      </c>
      <c r="AB42" s="2">
        <v>125500</v>
      </c>
      <c r="AC42" s="2">
        <v>350000</v>
      </c>
      <c r="AD42" s="2">
        <v>180261</v>
      </c>
      <c r="AE42" s="2">
        <v>209000</v>
      </c>
      <c r="AF42" s="2">
        <v>280000</v>
      </c>
      <c r="AG42" s="2">
        <v>0</v>
      </c>
      <c r="AH42" s="2">
        <v>0</v>
      </c>
      <c r="AI42" s="2">
        <v>0</v>
      </c>
      <c r="AJ42" s="2">
        <v>0</v>
      </c>
      <c r="AK42" s="2">
        <v>0</v>
      </c>
      <c r="AL42" s="2">
        <v>0</v>
      </c>
      <c r="AM42" s="2">
        <v>0</v>
      </c>
      <c r="AN42" s="2">
        <v>0</v>
      </c>
      <c r="AO42" s="2">
        <v>0</v>
      </c>
      <c r="AP42" s="2">
        <v>0</v>
      </c>
      <c r="AQ42" s="2">
        <v>0</v>
      </c>
      <c r="AR42" s="2">
        <v>0</v>
      </c>
      <c r="AS42" s="2">
        <v>136768</v>
      </c>
      <c r="AT42" s="2">
        <v>121000</v>
      </c>
      <c r="AU42" s="2">
        <v>158750</v>
      </c>
      <c r="AV42" s="2">
        <v>1104874</v>
      </c>
      <c r="AW42" s="50">
        <v>1292500</v>
      </c>
      <c r="AX42" s="50">
        <v>1716750</v>
      </c>
      <c r="AY42" s="3"/>
      <c r="AZ42" s="48">
        <v>800000</v>
      </c>
      <c r="BA42" s="48"/>
      <c r="BB42" s="4">
        <f t="shared" si="52"/>
        <v>0.955794504181601</v>
      </c>
      <c r="BC42" s="4">
        <f t="shared" si="53"/>
        <v>0</v>
      </c>
      <c r="BD42" s="5">
        <f aca="true" t="shared" si="71" ref="BD42:BD50">-1+AZ42/R42</f>
        <v>0.015428161630777648</v>
      </c>
      <c r="BE42" s="5">
        <f aca="true" t="shared" si="72" ref="BE42:BE50">-1+BA42/S42</f>
        <v>-1</v>
      </c>
      <c r="BF42" s="6"/>
      <c r="BG42" s="7">
        <f t="shared" si="54"/>
        <v>1130000</v>
      </c>
      <c r="BH42" s="7">
        <f t="shared" si="55"/>
        <v>438750</v>
      </c>
      <c r="BI42" s="8">
        <f t="shared" si="67"/>
        <v>1.0227410546360942</v>
      </c>
      <c r="BJ42" s="8">
        <f t="shared" si="68"/>
        <v>0.33945841392649906</v>
      </c>
      <c r="BK42" s="9">
        <f t="shared" si="69"/>
        <v>0</v>
      </c>
      <c r="BL42" s="9">
        <f t="shared" si="70"/>
        <v>853750</v>
      </c>
      <c r="BM42" s="10">
        <f t="shared" si="41"/>
        <v>0.874274661508704</v>
      </c>
      <c r="BN42" s="10">
        <f t="shared" si="41"/>
        <v>0.25557011795543905</v>
      </c>
      <c r="BO42" s="11">
        <f t="shared" si="42"/>
        <v>162500</v>
      </c>
      <c r="BP42" s="11">
        <f t="shared" si="42"/>
        <v>1278000</v>
      </c>
      <c r="BQ42" s="12">
        <f t="shared" si="56"/>
        <v>0</v>
      </c>
      <c r="BR42" s="12">
        <f t="shared" si="57"/>
        <v>728250</v>
      </c>
      <c r="BT42" s="14">
        <f t="shared" si="58"/>
        <v>307692.3076923077</v>
      </c>
      <c r="BU42" s="14">
        <f t="shared" si="59"/>
        <v>181818.1818181818</v>
      </c>
      <c r="BV42" s="15">
        <f t="shared" si="60"/>
        <v>363636.3636363636</v>
      </c>
      <c r="BW42" s="244">
        <f t="shared" si="61"/>
        <v>210526.31578947368</v>
      </c>
      <c r="BX42" s="223">
        <v>0.12</v>
      </c>
      <c r="BY42" s="74">
        <f t="shared" si="9"/>
        <v>62040</v>
      </c>
      <c r="BZ42" s="224"/>
      <c r="CA42" s="226">
        <v>62000</v>
      </c>
      <c r="CB42" s="225"/>
      <c r="CC42" s="198"/>
      <c r="CD42" s="199"/>
      <c r="CE42" s="198"/>
      <c r="CF42" s="198"/>
      <c r="CG42" s="198"/>
      <c r="CH42" s="200" t="s">
        <v>97</v>
      </c>
      <c r="CI42" s="200" t="s">
        <v>47</v>
      </c>
      <c r="CJ42" s="4">
        <f t="shared" si="62"/>
        <v>1.0788560505541809</v>
      </c>
      <c r="CK42" s="4">
        <f t="shared" si="63"/>
        <v>0.9222437137330755</v>
      </c>
      <c r="CL42" s="4"/>
      <c r="CM42" s="198">
        <f t="shared" si="10"/>
        <v>62000</v>
      </c>
      <c r="CN42" s="198"/>
      <c r="CO42" s="198">
        <f t="shared" si="64"/>
        <v>787845</v>
      </c>
      <c r="CP42" s="198">
        <f t="shared" si="65"/>
        <v>862000</v>
      </c>
      <c r="CQ42" s="201">
        <f t="shared" si="11"/>
        <v>0.0941238441571628</v>
      </c>
      <c r="CR42" s="74"/>
      <c r="CS42" s="74"/>
      <c r="CT42" s="74">
        <f t="shared" si="12"/>
        <v>969375</v>
      </c>
      <c r="CU42" s="202">
        <v>0.48</v>
      </c>
      <c r="CV42" s="74">
        <f t="shared" si="66"/>
        <v>465300</v>
      </c>
      <c r="CW42" s="74">
        <f t="shared" si="14"/>
        <v>627750</v>
      </c>
      <c r="CX42" s="74">
        <f t="shared" si="13"/>
        <v>1.1698166487762405</v>
      </c>
      <c r="CY42" s="74"/>
      <c r="CZ42" s="74"/>
    </row>
    <row r="43" spans="1:104" ht="48">
      <c r="A43" s="149">
        <v>44990260</v>
      </c>
      <c r="B43" s="49" t="s">
        <v>71</v>
      </c>
      <c r="C43" s="49" t="s">
        <v>43</v>
      </c>
      <c r="D43" s="49" t="s">
        <v>93</v>
      </c>
      <c r="E43" s="49" t="s">
        <v>98</v>
      </c>
      <c r="F43" s="73">
        <v>7018288</v>
      </c>
      <c r="G43" s="74"/>
      <c r="H43" s="73">
        <v>150</v>
      </c>
      <c r="I43" s="73">
        <v>0</v>
      </c>
      <c r="J43" s="73">
        <v>0</v>
      </c>
      <c r="K43" s="73">
        <v>0</v>
      </c>
      <c r="L43" s="73">
        <v>0</v>
      </c>
      <c r="M43" s="73">
        <v>0</v>
      </c>
      <c r="N43" s="73">
        <v>6.8</v>
      </c>
      <c r="O43" s="73">
        <v>6.3</v>
      </c>
      <c r="P43" s="73">
        <v>5.5</v>
      </c>
      <c r="Q43" s="73">
        <v>5</v>
      </c>
      <c r="R43" s="2">
        <v>924000</v>
      </c>
      <c r="S43" s="2">
        <v>700000</v>
      </c>
      <c r="T43" s="2">
        <v>1100000</v>
      </c>
      <c r="U43" s="2">
        <v>150000</v>
      </c>
      <c r="V43" s="2">
        <v>286000</v>
      </c>
      <c r="W43" s="2">
        <v>350000</v>
      </c>
      <c r="X43" s="2">
        <v>269517</v>
      </c>
      <c r="Y43" s="2">
        <v>113600</v>
      </c>
      <c r="Z43" s="2">
        <v>0</v>
      </c>
      <c r="AA43" s="2">
        <v>581523</v>
      </c>
      <c r="AB43" s="2">
        <v>507066</v>
      </c>
      <c r="AC43" s="2">
        <v>600000</v>
      </c>
      <c r="AD43" s="2">
        <v>175000</v>
      </c>
      <c r="AE43" s="2">
        <v>150000</v>
      </c>
      <c r="AF43" s="2">
        <v>150000</v>
      </c>
      <c r="AG43" s="2">
        <v>0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0</v>
      </c>
      <c r="AO43" s="2">
        <v>0</v>
      </c>
      <c r="AP43" s="2">
        <v>0</v>
      </c>
      <c r="AQ43" s="2">
        <v>0</v>
      </c>
      <c r="AR43" s="2">
        <v>0</v>
      </c>
      <c r="AS43" s="2">
        <v>446396</v>
      </c>
      <c r="AT43" s="2">
        <v>743334</v>
      </c>
      <c r="AU43" s="2">
        <v>556100</v>
      </c>
      <c r="AV43" s="2">
        <v>2546435</v>
      </c>
      <c r="AW43" s="50">
        <v>2500000</v>
      </c>
      <c r="AX43" s="50">
        <v>2756100</v>
      </c>
      <c r="AY43" s="3"/>
      <c r="AZ43" s="48">
        <v>700000</v>
      </c>
      <c r="BA43" s="48"/>
      <c r="BB43" s="4">
        <f t="shared" si="52"/>
        <v>1</v>
      </c>
      <c r="BC43" s="4">
        <f t="shared" si="53"/>
        <v>0</v>
      </c>
      <c r="BD43" s="5">
        <f t="shared" si="71"/>
        <v>-0.24242424242424243</v>
      </c>
      <c r="BE43" s="5">
        <f t="shared" si="72"/>
        <v>-1</v>
      </c>
      <c r="BF43" s="6"/>
      <c r="BG43" s="7">
        <f t="shared" si="54"/>
        <v>1992934</v>
      </c>
      <c r="BH43" s="7">
        <f t="shared" si="55"/>
        <v>1056100</v>
      </c>
      <c r="BI43" s="8">
        <f t="shared" si="67"/>
        <v>0.7826365948329351</v>
      </c>
      <c r="BJ43" s="8">
        <f t="shared" si="68"/>
        <v>0.42244</v>
      </c>
      <c r="BK43" s="9">
        <f t="shared" si="69"/>
        <v>553502</v>
      </c>
      <c r="BL43" s="9">
        <f t="shared" si="70"/>
        <v>1443900</v>
      </c>
      <c r="BM43" s="10">
        <f t="shared" si="41"/>
        <v>0.7971736</v>
      </c>
      <c r="BN43" s="10">
        <f t="shared" si="41"/>
        <v>0.38318638656071985</v>
      </c>
      <c r="BO43" s="11">
        <f t="shared" si="42"/>
        <v>507066</v>
      </c>
      <c r="BP43" s="11">
        <f t="shared" si="42"/>
        <v>1700000</v>
      </c>
      <c r="BQ43" s="12">
        <f t="shared" si="56"/>
        <v>0</v>
      </c>
      <c r="BR43" s="12">
        <f t="shared" si="57"/>
        <v>936834</v>
      </c>
      <c r="BT43" s="14">
        <f t="shared" si="58"/>
        <v>102941.17647058824</v>
      </c>
      <c r="BU43" s="14">
        <f t="shared" si="59"/>
        <v>111111.11111111111</v>
      </c>
      <c r="BV43" s="15">
        <f t="shared" si="60"/>
        <v>127272.72727272728</v>
      </c>
      <c r="BW43" s="244">
        <f t="shared" si="61"/>
        <v>140000</v>
      </c>
      <c r="BX43" s="223">
        <v>0.12</v>
      </c>
      <c r="BY43" s="74">
        <f t="shared" si="9"/>
        <v>120000</v>
      </c>
      <c r="BZ43" s="224"/>
      <c r="CA43" s="226">
        <v>120000</v>
      </c>
      <c r="CB43" s="225"/>
      <c r="CC43" s="198"/>
      <c r="CD43" s="199"/>
      <c r="CE43" s="198"/>
      <c r="CF43" s="198"/>
      <c r="CG43" s="198"/>
      <c r="CH43" s="200" t="s">
        <v>97</v>
      </c>
      <c r="CI43" s="200" t="s">
        <v>47</v>
      </c>
      <c r="CJ43" s="4">
        <f t="shared" si="62"/>
        <v>0.829761607894959</v>
      </c>
      <c r="CK43" s="4">
        <f t="shared" si="63"/>
        <v>0.8451736</v>
      </c>
      <c r="CL43" s="4"/>
      <c r="CM43" s="198">
        <f t="shared" si="10"/>
        <v>120000</v>
      </c>
      <c r="CN43" s="198"/>
      <c r="CO43" s="198">
        <f t="shared" si="64"/>
        <v>1505523</v>
      </c>
      <c r="CP43" s="198">
        <f t="shared" si="65"/>
        <v>820000</v>
      </c>
      <c r="CQ43" s="201">
        <f t="shared" si="11"/>
        <v>-0.45533877596024774</v>
      </c>
      <c r="CR43" s="74"/>
      <c r="CS43" s="74"/>
      <c r="CT43" s="74">
        <f t="shared" si="12"/>
        <v>1875000</v>
      </c>
      <c r="CU43" s="202">
        <v>0.48</v>
      </c>
      <c r="CV43" s="74">
        <f t="shared" si="66"/>
        <v>900000</v>
      </c>
      <c r="CW43" s="74">
        <f t="shared" si="14"/>
        <v>525000</v>
      </c>
      <c r="CX43" s="74">
        <f t="shared" si="13"/>
        <v>0.9817647024173011</v>
      </c>
      <c r="CY43" s="74"/>
      <c r="CZ43" s="74"/>
    </row>
    <row r="44" spans="1:104" ht="48">
      <c r="A44" s="149">
        <v>44990260</v>
      </c>
      <c r="B44" s="49" t="s">
        <v>71</v>
      </c>
      <c r="C44" s="49" t="s">
        <v>43</v>
      </c>
      <c r="D44" s="49" t="s">
        <v>93</v>
      </c>
      <c r="E44" s="248" t="s">
        <v>276</v>
      </c>
      <c r="F44" s="73">
        <v>1817641</v>
      </c>
      <c r="G44" s="73">
        <v>0</v>
      </c>
      <c r="H44" s="73">
        <v>120</v>
      </c>
      <c r="I44" s="73">
        <v>0</v>
      </c>
      <c r="J44" s="73">
        <v>0</v>
      </c>
      <c r="K44" s="73">
        <v>0</v>
      </c>
      <c r="L44" s="73">
        <v>0</v>
      </c>
      <c r="M44" s="73">
        <v>0</v>
      </c>
      <c r="N44" s="73">
        <v>3.9</v>
      </c>
      <c r="O44" s="73">
        <v>7.8</v>
      </c>
      <c r="P44" s="73">
        <v>3.3</v>
      </c>
      <c r="Q44" s="73">
        <v>6</v>
      </c>
      <c r="R44" s="2">
        <v>861600</v>
      </c>
      <c r="S44" s="2">
        <v>722000</v>
      </c>
      <c r="T44" s="2">
        <v>1450000</v>
      </c>
      <c r="U44" s="2">
        <v>0</v>
      </c>
      <c r="V44" s="2">
        <v>430000</v>
      </c>
      <c r="W44" s="2">
        <v>50000</v>
      </c>
      <c r="X44" s="2">
        <v>0</v>
      </c>
      <c r="Y44" s="2">
        <v>0</v>
      </c>
      <c r="Z44" s="2">
        <v>0</v>
      </c>
      <c r="AA44" s="2">
        <v>240000</v>
      </c>
      <c r="AB44" s="2">
        <v>382400</v>
      </c>
      <c r="AC44" s="2">
        <v>720000</v>
      </c>
      <c r="AD44" s="2">
        <v>90000</v>
      </c>
      <c r="AE44" s="2">
        <v>150000</v>
      </c>
      <c r="AF44" s="2">
        <v>480000</v>
      </c>
      <c r="AG44" s="2">
        <v>0</v>
      </c>
      <c r="AH44" s="2">
        <v>0</v>
      </c>
      <c r="AI44" s="2">
        <v>0</v>
      </c>
      <c r="AJ44" s="2">
        <v>0</v>
      </c>
      <c r="AK44" s="2">
        <v>0</v>
      </c>
      <c r="AL44" s="2">
        <v>0</v>
      </c>
      <c r="AM44" s="91">
        <v>0</v>
      </c>
      <c r="AN44" s="2">
        <v>0</v>
      </c>
      <c r="AO44" s="2">
        <v>0</v>
      </c>
      <c r="AP44" s="91">
        <v>0</v>
      </c>
      <c r="AQ44" s="91">
        <v>0</v>
      </c>
      <c r="AR44" s="91">
        <v>0</v>
      </c>
      <c r="AS44" s="2">
        <v>145000</v>
      </c>
      <c r="AT44" s="2">
        <v>0</v>
      </c>
      <c r="AU44" s="2">
        <v>100000</v>
      </c>
      <c r="AV44" s="2">
        <v>1336600</v>
      </c>
      <c r="AW44" s="50">
        <v>1684400</v>
      </c>
      <c r="AX44" s="50">
        <v>2800000</v>
      </c>
      <c r="AY44" s="3"/>
      <c r="AZ44" s="48">
        <v>422000</v>
      </c>
      <c r="BA44" s="48"/>
      <c r="BB44" s="4">
        <f t="shared" si="52"/>
        <v>0.5844875346260388</v>
      </c>
      <c r="BC44" s="4">
        <f t="shared" si="53"/>
        <v>0</v>
      </c>
      <c r="BD44" s="5">
        <f t="shared" si="71"/>
        <v>-0.5102135561745589</v>
      </c>
      <c r="BE44" s="5">
        <f t="shared" si="72"/>
        <v>-1</v>
      </c>
      <c r="BF44" s="6"/>
      <c r="BG44" s="7">
        <f t="shared" si="54"/>
        <v>1002000</v>
      </c>
      <c r="BH44" s="7">
        <f t="shared" si="55"/>
        <v>630000</v>
      </c>
      <c r="BI44" s="8">
        <f t="shared" si="67"/>
        <v>0.7496633248541075</v>
      </c>
      <c r="BJ44" s="8">
        <f t="shared" si="68"/>
        <v>0.37402042270244595</v>
      </c>
      <c r="BK44" s="9">
        <f t="shared" si="69"/>
        <v>334600</v>
      </c>
      <c r="BL44" s="9">
        <f t="shared" si="70"/>
        <v>1054400</v>
      </c>
      <c r="BM44" s="10">
        <f t="shared" si="41"/>
        <v>0.5948705770600807</v>
      </c>
      <c r="BN44" s="10">
        <f t="shared" si="41"/>
        <v>0.225</v>
      </c>
      <c r="BO44" s="11">
        <f t="shared" si="42"/>
        <v>682400</v>
      </c>
      <c r="BP44" s="11">
        <f t="shared" si="42"/>
        <v>2170000</v>
      </c>
      <c r="BQ44" s="12">
        <f t="shared" si="56"/>
        <v>94600</v>
      </c>
      <c r="BR44" s="12">
        <f t="shared" si="57"/>
        <v>672000</v>
      </c>
      <c r="BT44" s="14">
        <f t="shared" si="58"/>
        <v>108205.1282051282</v>
      </c>
      <c r="BU44" s="14">
        <f t="shared" si="59"/>
        <v>54102.5641025641</v>
      </c>
      <c r="BV44" s="15">
        <f t="shared" si="60"/>
        <v>127878.78787878789</v>
      </c>
      <c r="BW44" s="244">
        <f t="shared" si="61"/>
        <v>70333.33333333333</v>
      </c>
      <c r="BX44" s="223">
        <v>0.12</v>
      </c>
      <c r="BY44" s="74">
        <f t="shared" si="9"/>
        <v>80851.20000000001</v>
      </c>
      <c r="BZ44" s="224"/>
      <c r="CA44" s="226">
        <v>80000</v>
      </c>
      <c r="CB44" s="225"/>
      <c r="CC44" s="198"/>
      <c r="CD44" s="199"/>
      <c r="CE44" s="198"/>
      <c r="CF44" s="198"/>
      <c r="CG44" s="198"/>
      <c r="CH44" s="200" t="s">
        <v>97</v>
      </c>
      <c r="CI44" s="200" t="s">
        <v>47</v>
      </c>
      <c r="CJ44" s="4">
        <f t="shared" si="62"/>
        <v>0.8095166841238964</v>
      </c>
      <c r="CK44" s="4">
        <f t="shared" si="63"/>
        <v>0.6423652339111849</v>
      </c>
      <c r="CL44" s="4"/>
      <c r="CM44" s="198">
        <f t="shared" si="10"/>
        <v>80000</v>
      </c>
      <c r="CN44" s="198"/>
      <c r="CO44" s="198">
        <f t="shared" si="64"/>
        <v>1101600</v>
      </c>
      <c r="CP44" s="198">
        <f t="shared" si="65"/>
        <v>502000</v>
      </c>
      <c r="CQ44" s="201">
        <f t="shared" si="11"/>
        <v>-0.5442992011619463</v>
      </c>
      <c r="CR44" s="74"/>
      <c r="CS44" s="74"/>
      <c r="CT44" s="74">
        <f t="shared" si="12"/>
        <v>1263300</v>
      </c>
      <c r="CU44" s="202">
        <v>0.48</v>
      </c>
      <c r="CV44" s="74">
        <f t="shared" si="66"/>
        <v>606384</v>
      </c>
      <c r="CW44" s="74">
        <f t="shared" si="14"/>
        <v>541500</v>
      </c>
      <c r="CX44" s="74">
        <f t="shared" si="13"/>
        <v>1.2602124794254077</v>
      </c>
      <c r="CY44" s="74"/>
      <c r="CZ44" s="74"/>
    </row>
    <row r="45" spans="1:104" ht="48">
      <c r="A45" s="149">
        <v>44990260</v>
      </c>
      <c r="B45" s="49" t="s">
        <v>71</v>
      </c>
      <c r="C45" s="49" t="s">
        <v>43</v>
      </c>
      <c r="D45" s="49" t="s">
        <v>93</v>
      </c>
      <c r="E45" s="49" t="s">
        <v>99</v>
      </c>
      <c r="F45" s="73">
        <v>5434121</v>
      </c>
      <c r="G45" s="73">
        <v>0</v>
      </c>
      <c r="H45" s="73">
        <v>205</v>
      </c>
      <c r="I45" s="73">
        <v>0</v>
      </c>
      <c r="J45" s="73">
        <v>0</v>
      </c>
      <c r="K45" s="73">
        <v>0</v>
      </c>
      <c r="L45" s="73">
        <v>0</v>
      </c>
      <c r="M45" s="73">
        <v>0</v>
      </c>
      <c r="N45" s="73">
        <v>2.2</v>
      </c>
      <c r="O45" s="73">
        <v>2.9</v>
      </c>
      <c r="P45" s="73">
        <v>1.9</v>
      </c>
      <c r="Q45" s="73">
        <v>2.4</v>
      </c>
      <c r="R45" s="2">
        <v>359000</v>
      </c>
      <c r="S45" s="2">
        <v>450000</v>
      </c>
      <c r="T45" s="2">
        <v>739000</v>
      </c>
      <c r="U45" s="2">
        <v>0</v>
      </c>
      <c r="V45" s="2">
        <v>0</v>
      </c>
      <c r="W45" s="2">
        <v>0</v>
      </c>
      <c r="X45" s="2">
        <v>5000</v>
      </c>
      <c r="Y45" s="2">
        <v>773000</v>
      </c>
      <c r="Z45" s="2">
        <v>0</v>
      </c>
      <c r="AA45" s="2">
        <v>150000</v>
      </c>
      <c r="AB45" s="2">
        <v>110500</v>
      </c>
      <c r="AC45" s="2">
        <v>300000</v>
      </c>
      <c r="AD45" s="2">
        <v>158242</v>
      </c>
      <c r="AE45" s="2">
        <v>310500</v>
      </c>
      <c r="AF45" s="2">
        <v>190000</v>
      </c>
      <c r="AG45" s="2">
        <v>0</v>
      </c>
      <c r="AH45" s="2">
        <v>0</v>
      </c>
      <c r="AI45" s="2">
        <v>0</v>
      </c>
      <c r="AJ45" s="2">
        <v>0</v>
      </c>
      <c r="AK45" s="2">
        <v>0</v>
      </c>
      <c r="AL45" s="2">
        <v>0</v>
      </c>
      <c r="AM45" s="2">
        <v>0</v>
      </c>
      <c r="AN45" s="2">
        <v>0</v>
      </c>
      <c r="AO45" s="2">
        <v>0</v>
      </c>
      <c r="AP45" s="2">
        <v>0</v>
      </c>
      <c r="AQ45" s="91">
        <v>0</v>
      </c>
      <c r="AR45" s="91">
        <v>0</v>
      </c>
      <c r="AS45" s="2">
        <v>231759</v>
      </c>
      <c r="AT45" s="2">
        <v>52000</v>
      </c>
      <c r="AU45" s="2">
        <v>32000</v>
      </c>
      <c r="AV45" s="2">
        <v>904001</v>
      </c>
      <c r="AW45" s="50">
        <v>996000</v>
      </c>
      <c r="AX45" s="50">
        <v>1261000</v>
      </c>
      <c r="AY45" s="3"/>
      <c r="AZ45" s="48">
        <v>450000</v>
      </c>
      <c r="BA45" s="48"/>
      <c r="BB45" s="4">
        <f t="shared" si="52"/>
        <v>1</v>
      </c>
      <c r="BC45" s="4">
        <f t="shared" si="53"/>
        <v>0</v>
      </c>
      <c r="BD45" s="5">
        <f t="shared" si="71"/>
        <v>0.2534818941504178</v>
      </c>
      <c r="BE45" s="5">
        <f t="shared" si="72"/>
        <v>-1</v>
      </c>
      <c r="BF45" s="6"/>
      <c r="BG45" s="7">
        <f t="shared" si="54"/>
        <v>1585500</v>
      </c>
      <c r="BH45" s="7">
        <f t="shared" si="55"/>
        <v>222000</v>
      </c>
      <c r="BI45" s="8">
        <f t="shared" si="67"/>
        <v>1.7538697412945339</v>
      </c>
      <c r="BJ45" s="8">
        <f t="shared" si="68"/>
        <v>0.13089622641509435</v>
      </c>
      <c r="BK45" s="9">
        <f t="shared" si="69"/>
        <v>0</v>
      </c>
      <c r="BL45" s="9">
        <f t="shared" si="70"/>
        <v>1474000</v>
      </c>
      <c r="BM45" s="10">
        <f t="shared" si="41"/>
        <v>1.591867469879518</v>
      </c>
      <c r="BN45" s="10">
        <f t="shared" si="41"/>
        <v>0.176050753370341</v>
      </c>
      <c r="BO45" s="11">
        <f t="shared" si="42"/>
        <v>0</v>
      </c>
      <c r="BP45" s="11">
        <f t="shared" si="42"/>
        <v>1039000</v>
      </c>
      <c r="BQ45" s="12">
        <f t="shared" si="56"/>
        <v>0</v>
      </c>
      <c r="BR45" s="12">
        <f t="shared" si="57"/>
        <v>1363500</v>
      </c>
      <c r="BT45" s="14">
        <f t="shared" si="58"/>
        <v>204545.45454545453</v>
      </c>
      <c r="BU45" s="14">
        <f t="shared" si="59"/>
        <v>155172.41379310345</v>
      </c>
      <c r="BV45" s="15">
        <f t="shared" si="60"/>
        <v>236842.1052631579</v>
      </c>
      <c r="BW45" s="244">
        <f t="shared" si="61"/>
        <v>187500</v>
      </c>
      <c r="BX45" s="223">
        <v>0.12</v>
      </c>
      <c r="BY45" s="74">
        <f t="shared" si="9"/>
        <v>47808</v>
      </c>
      <c r="BZ45" s="224"/>
      <c r="CA45" s="226">
        <v>47000</v>
      </c>
      <c r="CB45" s="225"/>
      <c r="CC45" s="198"/>
      <c r="CD45" s="199"/>
      <c r="CE45" s="198"/>
      <c r="CF45" s="198"/>
      <c r="CG45" s="198"/>
      <c r="CH45" s="200" t="s">
        <v>97</v>
      </c>
      <c r="CI45" s="200" t="s">
        <v>47</v>
      </c>
      <c r="CJ45" s="4">
        <f t="shared" si="62"/>
        <v>1.8058608342247409</v>
      </c>
      <c r="CK45" s="4">
        <f t="shared" si="63"/>
        <v>1.6390562248995983</v>
      </c>
      <c r="CL45" s="4"/>
      <c r="CM45" s="198">
        <f t="shared" si="10"/>
        <v>47000</v>
      </c>
      <c r="CN45" s="198"/>
      <c r="CO45" s="198">
        <f t="shared" si="64"/>
        <v>509000</v>
      </c>
      <c r="CP45" s="198">
        <f t="shared" si="65"/>
        <v>497000</v>
      </c>
      <c r="CQ45" s="201">
        <f t="shared" si="11"/>
        <v>-0.023575638506876273</v>
      </c>
      <c r="CR45" s="74"/>
      <c r="CS45" s="74"/>
      <c r="CT45" s="74">
        <f t="shared" si="12"/>
        <v>747000</v>
      </c>
      <c r="CU45" s="202">
        <v>0.48</v>
      </c>
      <c r="CV45" s="74">
        <f t="shared" si="66"/>
        <v>358560</v>
      </c>
      <c r="CW45" s="74">
        <f t="shared" si="14"/>
        <v>337500</v>
      </c>
      <c r="CX45" s="74">
        <f t="shared" si="13"/>
        <v>1.101768692733747</v>
      </c>
      <c r="CY45" s="74"/>
      <c r="CZ45" s="74"/>
    </row>
    <row r="46" spans="1:104" ht="48">
      <c r="A46" s="149">
        <v>44990260</v>
      </c>
      <c r="B46" s="49" t="s">
        <v>71</v>
      </c>
      <c r="C46" s="49" t="s">
        <v>43</v>
      </c>
      <c r="D46" s="49" t="s">
        <v>93</v>
      </c>
      <c r="E46" s="49" t="s">
        <v>100</v>
      </c>
      <c r="F46" s="73">
        <v>1824210</v>
      </c>
      <c r="G46" s="73">
        <v>0</v>
      </c>
      <c r="H46" s="73">
        <v>270</v>
      </c>
      <c r="I46" s="73">
        <v>0</v>
      </c>
      <c r="J46" s="73">
        <v>0</v>
      </c>
      <c r="K46" s="73">
        <v>0</v>
      </c>
      <c r="L46" s="73">
        <v>0</v>
      </c>
      <c r="M46" s="73">
        <v>0</v>
      </c>
      <c r="N46" s="73">
        <v>6.5</v>
      </c>
      <c r="O46" s="73">
        <v>6.3</v>
      </c>
      <c r="P46" s="73">
        <v>5</v>
      </c>
      <c r="Q46" s="73">
        <v>5.1</v>
      </c>
      <c r="R46" s="2">
        <v>1473000</v>
      </c>
      <c r="S46" s="2">
        <v>1575000</v>
      </c>
      <c r="T46" s="2">
        <v>1825000</v>
      </c>
      <c r="U46" s="2">
        <v>0</v>
      </c>
      <c r="V46" s="2">
        <v>0</v>
      </c>
      <c r="W46" s="2">
        <v>0</v>
      </c>
      <c r="X46" s="91">
        <v>0</v>
      </c>
      <c r="Y46" s="2">
        <v>0</v>
      </c>
      <c r="Z46" s="2">
        <v>0</v>
      </c>
      <c r="AA46" s="2">
        <v>318131</v>
      </c>
      <c r="AB46" s="2">
        <v>341000</v>
      </c>
      <c r="AC46" s="2">
        <v>350000</v>
      </c>
      <c r="AD46" s="2">
        <v>610600</v>
      </c>
      <c r="AE46" s="2">
        <v>310000</v>
      </c>
      <c r="AF46" s="2">
        <v>350000</v>
      </c>
      <c r="AG46" s="2">
        <v>0</v>
      </c>
      <c r="AH46" s="2">
        <v>0</v>
      </c>
      <c r="AI46" s="2">
        <v>0</v>
      </c>
      <c r="AJ46" s="2">
        <v>46091</v>
      </c>
      <c r="AK46" s="2">
        <v>25000</v>
      </c>
      <c r="AL46" s="2">
        <v>0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355012</v>
      </c>
      <c r="AT46" s="2">
        <v>414600</v>
      </c>
      <c r="AU46" s="2">
        <v>122000</v>
      </c>
      <c r="AV46" s="2">
        <v>2802834</v>
      </c>
      <c r="AW46" s="50">
        <v>2665600</v>
      </c>
      <c r="AX46" s="50">
        <v>2647000</v>
      </c>
      <c r="AY46" s="3"/>
      <c r="AZ46" s="48">
        <v>1491000</v>
      </c>
      <c r="BA46" s="48"/>
      <c r="BB46" s="4">
        <f t="shared" si="52"/>
        <v>0.9466666666666667</v>
      </c>
      <c r="BC46" s="4">
        <f t="shared" si="53"/>
        <v>0</v>
      </c>
      <c r="BD46" s="5">
        <f t="shared" si="71"/>
        <v>0.012219959266802416</v>
      </c>
      <c r="BE46" s="5">
        <f t="shared" si="72"/>
        <v>-1</v>
      </c>
      <c r="BF46" s="6"/>
      <c r="BG46" s="7">
        <f t="shared" si="54"/>
        <v>2240600</v>
      </c>
      <c r="BH46" s="7">
        <f t="shared" si="55"/>
        <v>472000</v>
      </c>
      <c r="BI46" s="8">
        <f t="shared" si="67"/>
        <v>0.7994051734779869</v>
      </c>
      <c r="BJ46" s="8">
        <f t="shared" si="68"/>
        <v>0.17707082833133253</v>
      </c>
      <c r="BK46" s="9">
        <f t="shared" si="69"/>
        <v>562234</v>
      </c>
      <c r="BL46" s="9">
        <f t="shared" si="70"/>
        <v>2193600</v>
      </c>
      <c r="BM46" s="10">
        <f t="shared" si="41"/>
        <v>0.8405612244897959</v>
      </c>
      <c r="BN46" s="10">
        <f t="shared" si="41"/>
        <v>0.17831507366830374</v>
      </c>
      <c r="BO46" s="11">
        <f t="shared" si="42"/>
        <v>425000</v>
      </c>
      <c r="BP46" s="11">
        <f t="shared" si="42"/>
        <v>2175000</v>
      </c>
      <c r="BQ46" s="12">
        <f t="shared" si="56"/>
        <v>244103</v>
      </c>
      <c r="BR46" s="12">
        <f t="shared" si="57"/>
        <v>1852600</v>
      </c>
      <c r="BT46" s="14">
        <f t="shared" si="58"/>
        <v>229384.61538461538</v>
      </c>
      <c r="BU46" s="14">
        <f t="shared" si="59"/>
        <v>236666.6666666667</v>
      </c>
      <c r="BV46" s="15">
        <f t="shared" si="60"/>
        <v>298200</v>
      </c>
      <c r="BW46" s="244">
        <f t="shared" si="61"/>
        <v>292352.9411764706</v>
      </c>
      <c r="BX46" s="223">
        <v>0.12</v>
      </c>
      <c r="BY46" s="74">
        <f t="shared" si="9"/>
        <v>127056</v>
      </c>
      <c r="BZ46" s="224"/>
      <c r="CA46" s="226">
        <v>127000</v>
      </c>
      <c r="CB46" s="225"/>
      <c r="CC46" s="198"/>
      <c r="CD46" s="199"/>
      <c r="CE46" s="198"/>
      <c r="CF46" s="198"/>
      <c r="CG46" s="198"/>
      <c r="CH46" s="200" t="s">
        <v>97</v>
      </c>
      <c r="CI46" s="200" t="s">
        <v>47</v>
      </c>
      <c r="CJ46" s="4">
        <f t="shared" si="62"/>
        <v>0.8447164548453459</v>
      </c>
      <c r="CK46" s="4">
        <f t="shared" si="63"/>
        <v>0.8882052821128451</v>
      </c>
      <c r="CL46" s="4"/>
      <c r="CM46" s="198">
        <f t="shared" si="10"/>
        <v>127000</v>
      </c>
      <c r="CN46" s="198"/>
      <c r="CO46" s="198">
        <f t="shared" si="64"/>
        <v>1791131</v>
      </c>
      <c r="CP46" s="198">
        <f t="shared" si="65"/>
        <v>1618000</v>
      </c>
      <c r="CQ46" s="201">
        <f t="shared" si="11"/>
        <v>-0.09666015495237368</v>
      </c>
      <c r="CR46" s="74"/>
      <c r="CS46" s="74"/>
      <c r="CT46" s="74">
        <f t="shared" si="12"/>
        <v>2647000</v>
      </c>
      <c r="CU46" s="202">
        <v>0.48</v>
      </c>
      <c r="CV46" s="74">
        <f t="shared" si="66"/>
        <v>1270560</v>
      </c>
      <c r="CW46" s="74">
        <f t="shared" si="14"/>
        <v>1181250</v>
      </c>
      <c r="CX46" s="74">
        <f t="shared" si="13"/>
        <v>0.9510374142742667</v>
      </c>
      <c r="CY46" s="74"/>
      <c r="CZ46" s="74"/>
    </row>
    <row r="47" spans="1:104" ht="48">
      <c r="A47" s="149">
        <v>44990260</v>
      </c>
      <c r="B47" s="49" t="s">
        <v>71</v>
      </c>
      <c r="C47" s="49" t="s">
        <v>43</v>
      </c>
      <c r="D47" s="49" t="s">
        <v>93</v>
      </c>
      <c r="E47" s="49" t="s">
        <v>101</v>
      </c>
      <c r="F47" s="73">
        <v>6521044</v>
      </c>
      <c r="G47" s="73">
        <v>0</v>
      </c>
      <c r="H47" s="73">
        <v>80</v>
      </c>
      <c r="I47" s="73">
        <v>0</v>
      </c>
      <c r="J47" s="73">
        <v>0</v>
      </c>
      <c r="K47" s="73">
        <v>0</v>
      </c>
      <c r="L47" s="73">
        <v>0</v>
      </c>
      <c r="M47" s="73">
        <v>0</v>
      </c>
      <c r="N47" s="73">
        <v>4.6</v>
      </c>
      <c r="O47" s="73">
        <v>5</v>
      </c>
      <c r="P47" s="73">
        <v>3.8</v>
      </c>
      <c r="Q47" s="73">
        <v>4</v>
      </c>
      <c r="R47" s="2">
        <v>643000</v>
      </c>
      <c r="S47" s="2">
        <v>494000</v>
      </c>
      <c r="T47" s="2">
        <v>1311000</v>
      </c>
      <c r="U47" s="2">
        <v>160000</v>
      </c>
      <c r="V47" s="2">
        <v>161500</v>
      </c>
      <c r="W47" s="2">
        <v>0</v>
      </c>
      <c r="X47" s="91">
        <v>0</v>
      </c>
      <c r="Y47" s="2">
        <v>22700</v>
      </c>
      <c r="Z47" s="2">
        <v>0</v>
      </c>
      <c r="AA47" s="2">
        <v>169766</v>
      </c>
      <c r="AB47" s="2">
        <v>318860</v>
      </c>
      <c r="AC47" s="2">
        <v>270000</v>
      </c>
      <c r="AD47" s="2">
        <v>417000</v>
      </c>
      <c r="AE47" s="2">
        <v>563300</v>
      </c>
      <c r="AF47" s="2">
        <v>420000</v>
      </c>
      <c r="AG47" s="2">
        <v>0</v>
      </c>
      <c r="AH47" s="2">
        <v>0</v>
      </c>
      <c r="AI47" s="2">
        <v>0</v>
      </c>
      <c r="AJ47" s="2">
        <v>2130</v>
      </c>
      <c r="AK47" s="2">
        <v>2000</v>
      </c>
      <c r="AL47" s="2">
        <v>1000</v>
      </c>
      <c r="AM47" s="2">
        <v>0</v>
      </c>
      <c r="AN47" s="2">
        <v>0</v>
      </c>
      <c r="AO47" s="2">
        <v>0</v>
      </c>
      <c r="AP47" s="2">
        <v>0</v>
      </c>
      <c r="AQ47" s="2">
        <v>0</v>
      </c>
      <c r="AR47" s="2">
        <v>0</v>
      </c>
      <c r="AS47" s="2">
        <v>40062</v>
      </c>
      <c r="AT47" s="2">
        <v>29140</v>
      </c>
      <c r="AU47" s="2">
        <v>28600</v>
      </c>
      <c r="AV47" s="2">
        <v>1431958</v>
      </c>
      <c r="AW47" s="50">
        <v>1591500</v>
      </c>
      <c r="AX47" s="50">
        <v>2030600</v>
      </c>
      <c r="AY47" s="3"/>
      <c r="AZ47" s="48">
        <v>422000</v>
      </c>
      <c r="BA47" s="48"/>
      <c r="BB47" s="4">
        <f t="shared" si="52"/>
        <v>0.854251012145749</v>
      </c>
      <c r="BC47" s="4">
        <f t="shared" si="53"/>
        <v>0</v>
      </c>
      <c r="BD47" s="5">
        <f t="shared" si="71"/>
        <v>-0.34370139968895796</v>
      </c>
      <c r="BE47" s="5">
        <f t="shared" si="72"/>
        <v>-1</v>
      </c>
      <c r="BF47" s="6"/>
      <c r="BG47" s="7">
        <f t="shared" si="54"/>
        <v>1200640</v>
      </c>
      <c r="BH47" s="7">
        <f t="shared" si="55"/>
        <v>449600</v>
      </c>
      <c r="BI47" s="8">
        <f t="shared" si="67"/>
        <v>0.838460345904</v>
      </c>
      <c r="BJ47" s="8">
        <f t="shared" si="68"/>
        <v>0.28250078542255735</v>
      </c>
      <c r="BK47" s="9">
        <f t="shared" si="69"/>
        <v>231318</v>
      </c>
      <c r="BL47" s="9">
        <f t="shared" si="70"/>
        <v>1141900</v>
      </c>
      <c r="BM47" s="10">
        <f t="shared" si="41"/>
        <v>0.7544077913917687</v>
      </c>
      <c r="BN47" s="10">
        <f t="shared" si="41"/>
        <v>0.22141239042647493</v>
      </c>
      <c r="BO47" s="11">
        <f t="shared" si="42"/>
        <v>390860</v>
      </c>
      <c r="BP47" s="11">
        <f t="shared" si="42"/>
        <v>1581000</v>
      </c>
      <c r="BQ47" s="12">
        <f t="shared" si="56"/>
        <v>61552</v>
      </c>
      <c r="BR47" s="12">
        <f t="shared" si="57"/>
        <v>823040</v>
      </c>
      <c r="BT47" s="14">
        <f t="shared" si="58"/>
        <v>91739.13043478262</v>
      </c>
      <c r="BU47" s="14">
        <f t="shared" si="59"/>
        <v>84400</v>
      </c>
      <c r="BV47" s="15">
        <f t="shared" si="60"/>
        <v>111052.63157894737</v>
      </c>
      <c r="BW47" s="244">
        <f t="shared" si="61"/>
        <v>105500</v>
      </c>
      <c r="BX47" s="223">
        <v>0.12</v>
      </c>
      <c r="BY47" s="74">
        <f t="shared" si="9"/>
        <v>76392</v>
      </c>
      <c r="BZ47" s="224"/>
      <c r="CA47" s="226">
        <v>76000</v>
      </c>
      <c r="CB47" s="225"/>
      <c r="CC47" s="198"/>
      <c r="CD47" s="199"/>
      <c r="CE47" s="198"/>
      <c r="CF47" s="198"/>
      <c r="CG47" s="198"/>
      <c r="CH47" s="200" t="s">
        <v>97</v>
      </c>
      <c r="CI47" s="200" t="s">
        <v>47</v>
      </c>
      <c r="CJ47" s="4">
        <f t="shared" si="62"/>
        <v>0.8915345282473368</v>
      </c>
      <c r="CK47" s="4">
        <f t="shared" si="63"/>
        <v>0.8021614828777882</v>
      </c>
      <c r="CL47" s="4"/>
      <c r="CM47" s="198">
        <f t="shared" si="10"/>
        <v>76000</v>
      </c>
      <c r="CN47" s="198"/>
      <c r="CO47" s="198">
        <f t="shared" si="64"/>
        <v>812766</v>
      </c>
      <c r="CP47" s="198">
        <f t="shared" si="65"/>
        <v>498000</v>
      </c>
      <c r="CQ47" s="201">
        <f t="shared" si="11"/>
        <v>-0.38727751899070584</v>
      </c>
      <c r="CR47" s="74"/>
      <c r="CS47" s="74"/>
      <c r="CT47" s="74">
        <f t="shared" si="12"/>
        <v>1193625</v>
      </c>
      <c r="CU47" s="202">
        <v>0.48</v>
      </c>
      <c r="CV47" s="74">
        <f t="shared" si="66"/>
        <v>572940</v>
      </c>
      <c r="CW47" s="74">
        <f t="shared" si="14"/>
        <v>370500</v>
      </c>
      <c r="CX47" s="74">
        <f t="shared" si="13"/>
        <v>1.1114152789397453</v>
      </c>
      <c r="CY47" s="74"/>
      <c r="CZ47" s="74"/>
    </row>
    <row r="48" spans="1:104" ht="48">
      <c r="A48" s="149">
        <v>45659028</v>
      </c>
      <c r="B48" s="49" t="s">
        <v>102</v>
      </c>
      <c r="C48" s="49" t="s">
        <v>43</v>
      </c>
      <c r="D48" s="49" t="s">
        <v>93</v>
      </c>
      <c r="E48" s="49" t="s">
        <v>103</v>
      </c>
      <c r="F48" s="73">
        <v>9401897</v>
      </c>
      <c r="G48" s="74"/>
      <c r="H48" s="73">
        <v>115</v>
      </c>
      <c r="I48" s="73">
        <v>0</v>
      </c>
      <c r="J48" s="73">
        <v>0</v>
      </c>
      <c r="K48" s="73">
        <v>0</v>
      </c>
      <c r="L48" s="73">
        <v>0</v>
      </c>
      <c r="M48" s="73">
        <v>0</v>
      </c>
      <c r="N48" s="73">
        <v>5.1</v>
      </c>
      <c r="O48" s="73">
        <v>5.2</v>
      </c>
      <c r="P48" s="73">
        <v>4.4</v>
      </c>
      <c r="Q48" s="73">
        <v>3.9</v>
      </c>
      <c r="R48" s="2">
        <v>760000</v>
      </c>
      <c r="S48" s="2">
        <v>1000000</v>
      </c>
      <c r="T48" s="2">
        <v>1405000</v>
      </c>
      <c r="U48" s="2">
        <v>0</v>
      </c>
      <c r="V48" s="2">
        <v>100000</v>
      </c>
      <c r="W48" s="2">
        <v>0</v>
      </c>
      <c r="X48" s="2">
        <v>99180</v>
      </c>
      <c r="Y48" s="2">
        <v>60150</v>
      </c>
      <c r="Z48" s="2">
        <v>19440</v>
      </c>
      <c r="AA48" s="2">
        <v>161898</v>
      </c>
      <c r="AB48" s="2">
        <v>153749</v>
      </c>
      <c r="AC48" s="2">
        <v>161439</v>
      </c>
      <c r="AD48" s="2">
        <v>129000</v>
      </c>
      <c r="AE48" s="2">
        <v>50000</v>
      </c>
      <c r="AF48" s="2">
        <v>80000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403627</v>
      </c>
      <c r="AT48" s="2">
        <v>344000</v>
      </c>
      <c r="AU48" s="2">
        <v>300000</v>
      </c>
      <c r="AV48" s="2">
        <v>1553705</v>
      </c>
      <c r="AW48" s="50">
        <v>1707899</v>
      </c>
      <c r="AX48" s="50">
        <v>1965879</v>
      </c>
      <c r="AY48" s="3"/>
      <c r="AZ48" s="48">
        <v>1000000</v>
      </c>
      <c r="BA48" s="48"/>
      <c r="BB48" s="4">
        <f t="shared" si="52"/>
        <v>1</v>
      </c>
      <c r="BC48" s="4">
        <f t="shared" si="53"/>
        <v>0</v>
      </c>
      <c r="BD48" s="5">
        <f t="shared" si="71"/>
        <v>0.3157894736842106</v>
      </c>
      <c r="BE48" s="5">
        <f t="shared" si="72"/>
        <v>-1</v>
      </c>
      <c r="BF48" s="6"/>
      <c r="BG48" s="7">
        <f t="shared" si="54"/>
        <v>1554150</v>
      </c>
      <c r="BH48" s="7">
        <f t="shared" si="55"/>
        <v>399440</v>
      </c>
      <c r="BI48" s="8">
        <f t="shared" si="67"/>
        <v>1.0002864121567479</v>
      </c>
      <c r="BJ48" s="8">
        <f t="shared" si="68"/>
        <v>0.23387799864043482</v>
      </c>
      <c r="BK48" s="9">
        <f t="shared" si="69"/>
        <v>0</v>
      </c>
      <c r="BL48" s="9">
        <f t="shared" si="70"/>
        <v>1308459</v>
      </c>
      <c r="BM48" s="10">
        <f t="shared" si="41"/>
        <v>0.9099776977444216</v>
      </c>
      <c r="BN48" s="10">
        <f t="shared" si="41"/>
        <v>0.2031864626459716</v>
      </c>
      <c r="BO48" s="11">
        <f t="shared" si="42"/>
        <v>153749</v>
      </c>
      <c r="BP48" s="11">
        <f t="shared" si="42"/>
        <v>1566439</v>
      </c>
      <c r="BQ48" s="12">
        <f t="shared" si="56"/>
        <v>0</v>
      </c>
      <c r="BR48" s="12">
        <f t="shared" si="57"/>
        <v>1154710</v>
      </c>
      <c r="BT48" s="14">
        <f t="shared" si="58"/>
        <v>196078.43137254904</v>
      </c>
      <c r="BU48" s="14">
        <f t="shared" si="59"/>
        <v>192307.6923076923</v>
      </c>
      <c r="BV48" s="15">
        <f t="shared" si="60"/>
        <v>227272.72727272726</v>
      </c>
      <c r="BW48" s="244">
        <f t="shared" si="61"/>
        <v>256410.2564102564</v>
      </c>
      <c r="BX48" s="223">
        <v>0.12</v>
      </c>
      <c r="BY48" s="74">
        <f t="shared" si="9"/>
        <v>81979.152</v>
      </c>
      <c r="BZ48" s="224"/>
      <c r="CA48" s="226">
        <v>81000</v>
      </c>
      <c r="CB48" s="225"/>
      <c r="CC48" s="198"/>
      <c r="CD48" s="199"/>
      <c r="CE48" s="198"/>
      <c r="CF48" s="198"/>
      <c r="CG48" s="198"/>
      <c r="CH48" s="200" t="s">
        <v>97</v>
      </c>
      <c r="CI48" s="200" t="s">
        <v>52</v>
      </c>
      <c r="CJ48" s="4">
        <f t="shared" si="62"/>
        <v>1.0524198609131077</v>
      </c>
      <c r="CK48" s="4">
        <f t="shared" si="63"/>
        <v>0.9574043898380408</v>
      </c>
      <c r="CL48" s="4"/>
      <c r="CM48" s="198">
        <f t="shared" si="10"/>
        <v>81000</v>
      </c>
      <c r="CN48" s="198"/>
      <c r="CO48" s="198">
        <f t="shared" si="64"/>
        <v>921898</v>
      </c>
      <c r="CP48" s="198">
        <f t="shared" si="65"/>
        <v>1081000</v>
      </c>
      <c r="CQ48" s="201">
        <f t="shared" si="11"/>
        <v>0.172580914591419</v>
      </c>
      <c r="CR48" s="74"/>
      <c r="CS48" s="74"/>
      <c r="CT48" s="74">
        <f t="shared" si="12"/>
        <v>1280924.25</v>
      </c>
      <c r="CU48" s="202">
        <v>0.48</v>
      </c>
      <c r="CV48" s="74">
        <f t="shared" si="66"/>
        <v>614843.64</v>
      </c>
      <c r="CW48" s="74">
        <f t="shared" si="14"/>
        <v>750000</v>
      </c>
      <c r="CX48" s="74">
        <f t="shared" si="13"/>
        <v>1.0992427777473845</v>
      </c>
      <c r="CY48" s="74"/>
      <c r="CZ48" s="74"/>
    </row>
    <row r="49" spans="1:104" ht="48">
      <c r="A49" s="149">
        <v>47224444</v>
      </c>
      <c r="B49" s="49" t="s">
        <v>104</v>
      </c>
      <c r="C49" s="49" t="s">
        <v>43</v>
      </c>
      <c r="D49" s="49" t="s">
        <v>93</v>
      </c>
      <c r="E49" s="248" t="s">
        <v>268</v>
      </c>
      <c r="F49" s="73">
        <v>3940857</v>
      </c>
      <c r="G49" s="74"/>
      <c r="H49" s="73">
        <v>80</v>
      </c>
      <c r="I49" s="73">
        <v>0</v>
      </c>
      <c r="J49" s="73">
        <v>0</v>
      </c>
      <c r="K49" s="73">
        <v>0</v>
      </c>
      <c r="L49" s="73">
        <v>0</v>
      </c>
      <c r="M49" s="73">
        <v>0</v>
      </c>
      <c r="N49" s="73">
        <v>3</v>
      </c>
      <c r="O49" s="73">
        <v>2.8</v>
      </c>
      <c r="P49" s="73">
        <v>2.5</v>
      </c>
      <c r="Q49" s="73">
        <v>2.3</v>
      </c>
      <c r="R49" s="2">
        <v>537000</v>
      </c>
      <c r="S49" s="2">
        <v>537000</v>
      </c>
      <c r="T49" s="2">
        <v>670000</v>
      </c>
      <c r="U49" s="2">
        <v>100000</v>
      </c>
      <c r="V49" s="2">
        <v>0</v>
      </c>
      <c r="W49" s="2">
        <v>50000</v>
      </c>
      <c r="X49" s="2">
        <v>0</v>
      </c>
      <c r="Y49" s="2">
        <v>0</v>
      </c>
      <c r="Z49" s="2">
        <v>0</v>
      </c>
      <c r="AA49" s="2">
        <v>44546</v>
      </c>
      <c r="AB49" s="2">
        <v>150000</v>
      </c>
      <c r="AC49" s="2">
        <v>150000</v>
      </c>
      <c r="AD49" s="2">
        <v>0</v>
      </c>
      <c r="AE49" s="2">
        <v>50000</v>
      </c>
      <c r="AF49" s="2">
        <v>50000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2">
        <v>0</v>
      </c>
      <c r="AP49" s="2">
        <v>0</v>
      </c>
      <c r="AQ49" s="2">
        <v>0</v>
      </c>
      <c r="AR49" s="2">
        <v>0</v>
      </c>
      <c r="AS49" s="2">
        <v>265164</v>
      </c>
      <c r="AT49" s="2">
        <v>84000</v>
      </c>
      <c r="AU49" s="2">
        <v>30000</v>
      </c>
      <c r="AV49" s="2">
        <v>946710</v>
      </c>
      <c r="AW49" s="50">
        <v>821000</v>
      </c>
      <c r="AX49" s="50">
        <v>950000</v>
      </c>
      <c r="AY49" s="3"/>
      <c r="AZ49" s="48">
        <v>537000</v>
      </c>
      <c r="BA49" s="48"/>
      <c r="BB49" s="4">
        <f t="shared" si="52"/>
        <v>1</v>
      </c>
      <c r="BC49" s="4">
        <f t="shared" si="53"/>
        <v>0</v>
      </c>
      <c r="BD49" s="5">
        <f t="shared" si="71"/>
        <v>0</v>
      </c>
      <c r="BE49" s="5">
        <f t="shared" si="72"/>
        <v>-1</v>
      </c>
      <c r="BF49" s="6"/>
      <c r="BG49" s="7">
        <f t="shared" si="54"/>
        <v>671000</v>
      </c>
      <c r="BH49" s="7">
        <f t="shared" si="55"/>
        <v>130000</v>
      </c>
      <c r="BI49" s="8">
        <f t="shared" si="67"/>
        <v>0.7087703731871429</v>
      </c>
      <c r="BJ49" s="8">
        <f t="shared" si="68"/>
        <v>0.15834348355663824</v>
      </c>
      <c r="BK49" s="9">
        <f t="shared" si="69"/>
        <v>275710</v>
      </c>
      <c r="BL49" s="9">
        <f t="shared" si="70"/>
        <v>691000</v>
      </c>
      <c r="BM49" s="10">
        <f t="shared" si="41"/>
        <v>0.8172959805115713</v>
      </c>
      <c r="BN49" s="10">
        <f t="shared" si="41"/>
        <v>0.1368421052631579</v>
      </c>
      <c r="BO49" s="11">
        <f t="shared" si="42"/>
        <v>150000</v>
      </c>
      <c r="BP49" s="11">
        <f t="shared" si="42"/>
        <v>820000</v>
      </c>
      <c r="BQ49" s="12">
        <f t="shared" si="56"/>
        <v>231164</v>
      </c>
      <c r="BR49" s="12">
        <f t="shared" si="57"/>
        <v>541000</v>
      </c>
      <c r="BT49" s="14">
        <f t="shared" si="58"/>
        <v>179000</v>
      </c>
      <c r="BU49" s="14">
        <f t="shared" si="59"/>
        <v>191785.7142857143</v>
      </c>
      <c r="BV49" s="15">
        <f t="shared" si="60"/>
        <v>214800</v>
      </c>
      <c r="BW49" s="244">
        <f t="shared" si="61"/>
        <v>233478.26086956525</v>
      </c>
      <c r="BX49" s="223">
        <v>0.12</v>
      </c>
      <c r="BY49" s="74">
        <f t="shared" si="9"/>
        <v>39408</v>
      </c>
      <c r="BZ49" s="224"/>
      <c r="CA49" s="226">
        <v>39000</v>
      </c>
      <c r="CB49" s="225"/>
      <c r="CC49" s="198"/>
      <c r="CD49" s="199"/>
      <c r="CE49" s="198"/>
      <c r="CF49" s="198"/>
      <c r="CG49" s="198"/>
      <c r="CH49" s="200" t="s">
        <v>97</v>
      </c>
      <c r="CI49" s="200" t="s">
        <v>47</v>
      </c>
      <c r="CJ49" s="4">
        <f t="shared" si="62"/>
        <v>0.7499656705855013</v>
      </c>
      <c r="CK49" s="4">
        <f t="shared" si="63"/>
        <v>0.8647990255785627</v>
      </c>
      <c r="CL49" s="4"/>
      <c r="CM49" s="198">
        <f t="shared" si="10"/>
        <v>39000</v>
      </c>
      <c r="CN49" s="198"/>
      <c r="CO49" s="198">
        <f t="shared" si="64"/>
        <v>581546</v>
      </c>
      <c r="CP49" s="198">
        <f t="shared" si="65"/>
        <v>576000</v>
      </c>
      <c r="CQ49" s="201">
        <f t="shared" si="11"/>
        <v>-0.009536648863546437</v>
      </c>
      <c r="CR49" s="74"/>
      <c r="CS49" s="74"/>
      <c r="CT49" s="74">
        <f t="shared" si="12"/>
        <v>615750</v>
      </c>
      <c r="CU49" s="202">
        <v>0.48</v>
      </c>
      <c r="CV49" s="74">
        <f t="shared" si="66"/>
        <v>295560</v>
      </c>
      <c r="CW49" s="74">
        <f t="shared" si="14"/>
        <v>402750</v>
      </c>
      <c r="CX49" s="74">
        <f t="shared" si="13"/>
        <v>0.867213824719291</v>
      </c>
      <c r="CY49" s="74"/>
      <c r="CZ49" s="74"/>
    </row>
    <row r="50" spans="1:104" ht="48.75" thickBot="1">
      <c r="A50" s="245">
        <v>70870896</v>
      </c>
      <c r="B50" s="246" t="s">
        <v>105</v>
      </c>
      <c r="C50" s="246" t="s">
        <v>43</v>
      </c>
      <c r="D50" s="246" t="s">
        <v>93</v>
      </c>
      <c r="E50" s="246" t="s">
        <v>106</v>
      </c>
      <c r="F50" s="76">
        <v>9671151</v>
      </c>
      <c r="G50" s="121"/>
      <c r="H50" s="76">
        <v>600</v>
      </c>
      <c r="I50" s="76">
        <v>0</v>
      </c>
      <c r="J50" s="76">
        <v>0</v>
      </c>
      <c r="K50" s="76">
        <v>0</v>
      </c>
      <c r="L50" s="76">
        <v>0</v>
      </c>
      <c r="M50" s="76">
        <v>0</v>
      </c>
      <c r="N50" s="76">
        <v>4.7</v>
      </c>
      <c r="O50" s="76">
        <v>4.8</v>
      </c>
      <c r="P50" s="76">
        <v>3</v>
      </c>
      <c r="Q50" s="76">
        <v>3.5</v>
      </c>
      <c r="R50" s="17">
        <v>495000</v>
      </c>
      <c r="S50" s="17">
        <v>862000</v>
      </c>
      <c r="T50" s="17">
        <v>1468388</v>
      </c>
      <c r="U50" s="17">
        <v>0</v>
      </c>
      <c r="V50" s="17">
        <v>100000</v>
      </c>
      <c r="W50" s="17">
        <v>100000</v>
      </c>
      <c r="X50" s="17">
        <v>0</v>
      </c>
      <c r="Y50" s="17">
        <v>0</v>
      </c>
      <c r="Z50" s="17">
        <v>0</v>
      </c>
      <c r="AA50" s="17">
        <v>41163</v>
      </c>
      <c r="AB50" s="17">
        <v>50000</v>
      </c>
      <c r="AC50" s="17">
        <v>50000</v>
      </c>
      <c r="AD50" s="17">
        <v>30000</v>
      </c>
      <c r="AE50" s="17">
        <v>87000</v>
      </c>
      <c r="AF50" s="17">
        <v>90000</v>
      </c>
      <c r="AG50" s="17">
        <v>0</v>
      </c>
      <c r="AH50" s="17">
        <v>0</v>
      </c>
      <c r="AI50" s="17">
        <v>0</v>
      </c>
      <c r="AJ50" s="17">
        <v>0</v>
      </c>
      <c r="AK50" s="17">
        <v>0</v>
      </c>
      <c r="AL50" s="17">
        <v>0</v>
      </c>
      <c r="AM50" s="17">
        <v>0</v>
      </c>
      <c r="AN50" s="17">
        <v>0</v>
      </c>
      <c r="AO50" s="17">
        <v>0</v>
      </c>
      <c r="AP50" s="17">
        <v>471303</v>
      </c>
      <c r="AQ50" s="17">
        <v>800000</v>
      </c>
      <c r="AR50" s="17">
        <v>763260</v>
      </c>
      <c r="AS50" s="17">
        <v>19590</v>
      </c>
      <c r="AT50" s="17">
        <v>11000</v>
      </c>
      <c r="AU50" s="17">
        <v>0</v>
      </c>
      <c r="AV50" s="17">
        <v>1057056</v>
      </c>
      <c r="AW50" s="54">
        <v>1495000</v>
      </c>
      <c r="AX50" s="54">
        <v>2471648</v>
      </c>
      <c r="AY50" s="3"/>
      <c r="AZ50" s="55">
        <v>422000</v>
      </c>
      <c r="BA50" s="55"/>
      <c r="BB50" s="56">
        <f t="shared" si="52"/>
        <v>0.4895591647331787</v>
      </c>
      <c r="BC50" s="56">
        <f t="shared" si="53"/>
        <v>0</v>
      </c>
      <c r="BD50" s="47">
        <f t="shared" si="71"/>
        <v>-0.14747474747474743</v>
      </c>
      <c r="BE50" s="47">
        <f t="shared" si="72"/>
        <v>-1</v>
      </c>
      <c r="BF50" s="6"/>
      <c r="BG50" s="77">
        <f t="shared" si="54"/>
        <v>1420000</v>
      </c>
      <c r="BH50" s="77">
        <f t="shared" si="55"/>
        <v>953260</v>
      </c>
      <c r="BI50" s="45">
        <f t="shared" si="67"/>
        <v>1.3433536160808888</v>
      </c>
      <c r="BJ50" s="45">
        <f t="shared" si="68"/>
        <v>0.49908900523560207</v>
      </c>
      <c r="BK50" s="78">
        <f t="shared" si="69"/>
        <v>0</v>
      </c>
      <c r="BL50" s="78">
        <f t="shared" si="70"/>
        <v>956740</v>
      </c>
      <c r="BM50" s="79">
        <f t="shared" si="41"/>
        <v>0.9498327759197325</v>
      </c>
      <c r="BN50" s="79">
        <f t="shared" si="41"/>
        <v>0.3856778958816142</v>
      </c>
      <c r="BO50" s="115">
        <f t="shared" si="42"/>
        <v>75000</v>
      </c>
      <c r="BP50" s="115">
        <f t="shared" si="42"/>
        <v>1518388</v>
      </c>
      <c r="BQ50" s="116">
        <f t="shared" si="56"/>
        <v>0</v>
      </c>
      <c r="BR50" s="116">
        <f t="shared" si="57"/>
        <v>906740</v>
      </c>
      <c r="BT50" s="42">
        <f t="shared" si="58"/>
        <v>89787.23404255319</v>
      </c>
      <c r="BU50" s="42">
        <f t="shared" si="59"/>
        <v>87916.66666666667</v>
      </c>
      <c r="BV50" s="80">
        <f t="shared" si="60"/>
        <v>140666.66666666666</v>
      </c>
      <c r="BW50" s="247">
        <f t="shared" si="61"/>
        <v>120571.42857142857</v>
      </c>
      <c r="BX50" s="209">
        <v>0.12</v>
      </c>
      <c r="BY50" s="121">
        <f t="shared" si="9"/>
        <v>71760</v>
      </c>
      <c r="BZ50" s="216"/>
      <c r="CA50" s="219">
        <v>71000</v>
      </c>
      <c r="CB50" s="218"/>
      <c r="CC50" s="210"/>
      <c r="CD50" s="211"/>
      <c r="CE50" s="210"/>
      <c r="CF50" s="210"/>
      <c r="CG50" s="210"/>
      <c r="CH50" s="212" t="s">
        <v>97</v>
      </c>
      <c r="CI50" s="212" t="s">
        <v>52</v>
      </c>
      <c r="CJ50" s="56">
        <f t="shared" si="62"/>
        <v>1.4105212968849332</v>
      </c>
      <c r="CK50" s="56">
        <f t="shared" si="63"/>
        <v>0.9973244147157191</v>
      </c>
      <c r="CL50" s="56"/>
      <c r="CM50" s="210">
        <f t="shared" si="10"/>
        <v>71000</v>
      </c>
      <c r="CN50" s="210"/>
      <c r="CO50" s="210">
        <f t="shared" si="64"/>
        <v>536163</v>
      </c>
      <c r="CP50" s="210">
        <f t="shared" si="65"/>
        <v>493000</v>
      </c>
      <c r="CQ50" s="213">
        <f t="shared" si="11"/>
        <v>-0.08050350359871905</v>
      </c>
      <c r="CR50" s="121"/>
      <c r="CS50" s="121"/>
      <c r="CT50" s="121">
        <f t="shared" si="12"/>
        <v>1121250</v>
      </c>
      <c r="CU50" s="214">
        <v>0.48</v>
      </c>
      <c r="CV50" s="121">
        <f t="shared" si="66"/>
        <v>538200</v>
      </c>
      <c r="CW50" s="121">
        <f t="shared" si="14"/>
        <v>646500</v>
      </c>
      <c r="CX50" s="121">
        <f t="shared" si="13"/>
        <v>1.4143053915781187</v>
      </c>
      <c r="CY50" s="121"/>
      <c r="CZ50" s="121"/>
    </row>
    <row r="51" spans="1:98" ht="8.25" customHeight="1" thickBot="1">
      <c r="A51" s="150"/>
      <c r="B51" s="86"/>
      <c r="C51" s="86"/>
      <c r="D51" s="86"/>
      <c r="E51" s="86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34"/>
      <c r="BC51" s="34"/>
      <c r="BD51" s="34"/>
      <c r="BE51" s="34"/>
      <c r="BF51" s="34"/>
      <c r="BI51" s="6"/>
      <c r="BJ51" s="6"/>
      <c r="BK51" s="87"/>
      <c r="BL51" s="87"/>
      <c r="BM51" s="38"/>
      <c r="BN51" s="38"/>
      <c r="BQ51" s="87"/>
      <c r="BR51" s="87"/>
      <c r="BT51" s="43"/>
      <c r="BU51" s="43"/>
      <c r="BV51" s="43"/>
      <c r="BW51" s="43"/>
      <c r="BX51" s="13"/>
      <c r="BY51" s="13">
        <f t="shared" si="9"/>
        <v>0</v>
      </c>
      <c r="BZ51" s="13"/>
      <c r="CJ51" s="6"/>
      <c r="CK51" s="6"/>
      <c r="CL51" s="6"/>
      <c r="CT51" s="13">
        <f t="shared" si="12"/>
        <v>0</v>
      </c>
    </row>
    <row r="52" spans="1:104" ht="24">
      <c r="A52" s="241">
        <v>394190</v>
      </c>
      <c r="B52" s="242" t="s">
        <v>58</v>
      </c>
      <c r="C52" s="242" t="s">
        <v>43</v>
      </c>
      <c r="D52" s="242" t="s">
        <v>107</v>
      </c>
      <c r="E52" s="242" t="s">
        <v>108</v>
      </c>
      <c r="F52" s="67">
        <v>7526673</v>
      </c>
      <c r="G52" s="67">
        <v>3</v>
      </c>
      <c r="H52" s="67">
        <v>3</v>
      </c>
      <c r="I52" s="67">
        <v>1</v>
      </c>
      <c r="J52" s="67">
        <v>1</v>
      </c>
      <c r="K52" s="67">
        <v>0</v>
      </c>
      <c r="L52" s="67">
        <v>0</v>
      </c>
      <c r="M52" s="67">
        <v>1</v>
      </c>
      <c r="N52" s="67">
        <v>1.2</v>
      </c>
      <c r="O52" s="67">
        <v>1.9</v>
      </c>
      <c r="P52" s="67">
        <v>0.9</v>
      </c>
      <c r="Q52" s="67">
        <v>1.4</v>
      </c>
      <c r="R52" s="19">
        <v>0</v>
      </c>
      <c r="S52" s="19">
        <v>109000</v>
      </c>
      <c r="T52" s="19">
        <v>339100</v>
      </c>
      <c r="U52" s="19">
        <v>0</v>
      </c>
      <c r="V52" s="19">
        <v>0</v>
      </c>
      <c r="W52" s="19">
        <v>0</v>
      </c>
      <c r="X52" s="19">
        <v>0</v>
      </c>
      <c r="Y52" s="19">
        <v>0</v>
      </c>
      <c r="Z52" s="19">
        <v>0</v>
      </c>
      <c r="AA52" s="19">
        <v>0</v>
      </c>
      <c r="AB52" s="19">
        <v>0</v>
      </c>
      <c r="AC52" s="19">
        <v>0</v>
      </c>
      <c r="AD52" s="19">
        <v>0</v>
      </c>
      <c r="AE52" s="19">
        <v>0</v>
      </c>
      <c r="AF52" s="19">
        <v>0</v>
      </c>
      <c r="AG52" s="19">
        <v>0</v>
      </c>
      <c r="AH52" s="19">
        <v>0</v>
      </c>
      <c r="AI52" s="19">
        <v>0</v>
      </c>
      <c r="AJ52" s="19">
        <v>0</v>
      </c>
      <c r="AK52" s="19">
        <v>200000</v>
      </c>
      <c r="AL52" s="19">
        <v>372000</v>
      </c>
      <c r="AM52" s="19">
        <v>0</v>
      </c>
      <c r="AN52" s="19">
        <v>0</v>
      </c>
      <c r="AO52" s="19">
        <v>0</v>
      </c>
      <c r="AP52" s="19">
        <v>0</v>
      </c>
      <c r="AQ52" s="19">
        <v>0</v>
      </c>
      <c r="AR52" s="19">
        <v>0</v>
      </c>
      <c r="AS52" s="19">
        <v>0</v>
      </c>
      <c r="AT52" s="19">
        <v>52454</v>
      </c>
      <c r="AU52" s="19">
        <v>20354</v>
      </c>
      <c r="AV52" s="19">
        <v>0</v>
      </c>
      <c r="AW52" s="51">
        <v>361454</v>
      </c>
      <c r="AX52" s="51">
        <v>731454</v>
      </c>
      <c r="AY52" s="3"/>
      <c r="AZ52" s="52">
        <v>109000</v>
      </c>
      <c r="BA52" s="52"/>
      <c r="BB52" s="53">
        <f aca="true" t="shared" si="73" ref="BB52:BC55">AZ52/S52</f>
        <v>1</v>
      </c>
      <c r="BC52" s="53">
        <f t="shared" si="73"/>
        <v>0</v>
      </c>
      <c r="BD52" s="46"/>
      <c r="BE52" s="46"/>
      <c r="BF52" s="6"/>
      <c r="BG52" s="89">
        <f aca="true" t="shared" si="74" ref="BG52:BG61">V52+Y52+AE52+AH52+AK52+AN52+AQ52+AT52+AZ52</f>
        <v>361454</v>
      </c>
      <c r="BH52" s="89">
        <f aca="true" t="shared" si="75" ref="BH52:BH61">W52+Z52+AF52+AI52+AL52+AO52+AR52+AU52+BA52</f>
        <v>392354</v>
      </c>
      <c r="BI52" s="44"/>
      <c r="BJ52" s="44"/>
      <c r="BK52" s="70"/>
      <c r="BL52" s="70"/>
      <c r="BM52" s="10">
        <f t="shared" si="41"/>
        <v>1</v>
      </c>
      <c r="BN52" s="10">
        <f t="shared" si="41"/>
        <v>0.5364028359951548</v>
      </c>
      <c r="BO52" s="90">
        <f t="shared" si="42"/>
        <v>0</v>
      </c>
      <c r="BP52" s="90">
        <f t="shared" si="42"/>
        <v>339100</v>
      </c>
      <c r="BQ52" s="70">
        <f aca="true" t="shared" si="76" ref="BQ52:BQ61">IF(AA52&gt;BK52,0,BK52-AA52)</f>
        <v>0</v>
      </c>
      <c r="BR52" s="70">
        <f aca="true" t="shared" si="77" ref="BR52:BR61">IF(AB52&gt;BL52,0,BL52-AB52)</f>
        <v>0</v>
      </c>
      <c r="BT52" s="41">
        <f aca="true" t="shared" si="78" ref="BT52:BT61">$AZ52/N52</f>
        <v>90833.33333333334</v>
      </c>
      <c r="BU52" s="41">
        <f aca="true" t="shared" si="79" ref="BU52:BU61">$AZ52/O52</f>
        <v>57368.42105263158</v>
      </c>
      <c r="BV52" s="72">
        <f aca="true" t="shared" si="80" ref="BV52:BV61">$AZ52/P52</f>
        <v>121111.11111111111</v>
      </c>
      <c r="BW52" s="243">
        <f aca="true" t="shared" si="81" ref="BW52:BW61">$AZ52/Q52</f>
        <v>77857.14285714286</v>
      </c>
      <c r="BX52" s="203">
        <v>0.029</v>
      </c>
      <c r="BY52" s="114">
        <f t="shared" si="9"/>
        <v>4192.866400000001</v>
      </c>
      <c r="BZ52" s="215"/>
      <c r="CA52" s="195">
        <v>10500</v>
      </c>
      <c r="CB52" s="217"/>
      <c r="CC52" s="204"/>
      <c r="CD52" s="205"/>
      <c r="CE52" s="204"/>
      <c r="CF52" s="204"/>
      <c r="CG52" s="204"/>
      <c r="CH52" s="206" t="s">
        <v>185</v>
      </c>
      <c r="CI52" s="264" t="s">
        <v>47</v>
      </c>
      <c r="CJ52" s="106" t="e">
        <f>($CG52+$CA52+$AZ52+$AT52+$AQ52+$AN52+$AK52+$AH52+$AE52+$Y52+$V52)/$AV52</f>
        <v>#DIV/0!</v>
      </c>
      <c r="CK52" s="53">
        <f>($CG52+$CA52+$AZ52+$AT52+$AQ52+$AN52+$AK52+$AH52+$AE52+$Y52+$V52)/$AW52</f>
        <v>1.0290493396116795</v>
      </c>
      <c r="CL52" s="53"/>
      <c r="CM52" s="204">
        <f t="shared" si="10"/>
        <v>10500</v>
      </c>
      <c r="CN52" s="204"/>
      <c r="CO52" s="204">
        <f>R52+AA52</f>
        <v>0</v>
      </c>
      <c r="CP52" s="204">
        <f>AZ52+CM52</f>
        <v>119500</v>
      </c>
      <c r="CQ52" s="207"/>
      <c r="CR52" s="114"/>
      <c r="CS52" s="114"/>
      <c r="CT52" s="114">
        <f t="shared" si="12"/>
        <v>271090.5</v>
      </c>
      <c r="CU52" s="208">
        <v>0.27</v>
      </c>
      <c r="CV52" s="114">
        <f aca="true" t="shared" si="82" ref="CV52:CV61">IF(CT52*CU52&lt;T52,CT52*CU52,T52)</f>
        <v>73194.435</v>
      </c>
      <c r="CW52" s="114">
        <f t="shared" si="14"/>
        <v>81750</v>
      </c>
      <c r="CX52" s="114" t="e">
        <f t="shared" si="13"/>
        <v>#DIV/0!</v>
      </c>
      <c r="CY52" s="114"/>
      <c r="CZ52" s="114"/>
    </row>
    <row r="53" spans="1:104" ht="36">
      <c r="A53" s="149">
        <v>839345</v>
      </c>
      <c r="B53" s="49" t="s">
        <v>109</v>
      </c>
      <c r="C53" s="49" t="s">
        <v>43</v>
      </c>
      <c r="D53" s="49" t="s">
        <v>107</v>
      </c>
      <c r="E53" s="49" t="s">
        <v>110</v>
      </c>
      <c r="F53" s="73">
        <v>6380698</v>
      </c>
      <c r="G53" s="73">
        <v>3</v>
      </c>
      <c r="H53" s="73">
        <v>3</v>
      </c>
      <c r="I53" s="73">
        <v>0</v>
      </c>
      <c r="J53" s="73">
        <v>0</v>
      </c>
      <c r="K53" s="73">
        <v>0</v>
      </c>
      <c r="L53" s="73">
        <v>0</v>
      </c>
      <c r="M53" s="73">
        <v>3</v>
      </c>
      <c r="N53" s="73">
        <v>2.6</v>
      </c>
      <c r="O53" s="73">
        <v>1</v>
      </c>
      <c r="P53" s="73">
        <v>1.4</v>
      </c>
      <c r="Q53" s="73">
        <v>0.3</v>
      </c>
      <c r="R53" s="2">
        <v>0</v>
      </c>
      <c r="S53" s="2">
        <v>196000</v>
      </c>
      <c r="T53" s="2">
        <v>191687</v>
      </c>
      <c r="U53" s="2">
        <v>0</v>
      </c>
      <c r="V53" s="2">
        <v>0</v>
      </c>
      <c r="W53" s="2">
        <v>0</v>
      </c>
      <c r="X53" s="2">
        <v>19125</v>
      </c>
      <c r="Y53" s="2">
        <v>20000</v>
      </c>
      <c r="Z53" s="2">
        <v>0</v>
      </c>
      <c r="AA53" s="2">
        <v>0</v>
      </c>
      <c r="AB53" s="2">
        <v>148819</v>
      </c>
      <c r="AC53" s="2">
        <v>27000</v>
      </c>
      <c r="AD53" s="2">
        <v>1508</v>
      </c>
      <c r="AE53" s="2">
        <v>1000</v>
      </c>
      <c r="AF53" s="2">
        <v>1000</v>
      </c>
      <c r="AG53" s="2">
        <v>0</v>
      </c>
      <c r="AH53" s="2">
        <v>0</v>
      </c>
      <c r="AI53" s="2">
        <v>0</v>
      </c>
      <c r="AJ53" s="2">
        <v>330783</v>
      </c>
      <c r="AK53" s="2">
        <v>360000</v>
      </c>
      <c r="AL53" s="2">
        <v>360000</v>
      </c>
      <c r="AM53" s="2">
        <v>18043</v>
      </c>
      <c r="AN53" s="2">
        <v>17500</v>
      </c>
      <c r="AO53" s="2">
        <v>20000</v>
      </c>
      <c r="AP53" s="2">
        <v>23006</v>
      </c>
      <c r="AQ53" s="2">
        <v>93988</v>
      </c>
      <c r="AR53" s="2">
        <v>14772</v>
      </c>
      <c r="AS53" s="2">
        <v>46887</v>
      </c>
      <c r="AT53" s="2">
        <v>32977</v>
      </c>
      <c r="AU53" s="2">
        <v>29378</v>
      </c>
      <c r="AV53" s="2">
        <v>439352</v>
      </c>
      <c r="AW53" s="50">
        <v>870284</v>
      </c>
      <c r="AX53" s="50">
        <v>643837</v>
      </c>
      <c r="AY53" s="3"/>
      <c r="AZ53" s="48">
        <v>196000</v>
      </c>
      <c r="BA53" s="48"/>
      <c r="BB53" s="4">
        <f t="shared" si="73"/>
        <v>1</v>
      </c>
      <c r="BC53" s="4">
        <f t="shared" si="73"/>
        <v>0</v>
      </c>
      <c r="BD53" s="5"/>
      <c r="BE53" s="5"/>
      <c r="BF53" s="6"/>
      <c r="BG53" s="7">
        <f t="shared" si="74"/>
        <v>721465</v>
      </c>
      <c r="BH53" s="7">
        <f t="shared" si="75"/>
        <v>425150</v>
      </c>
      <c r="BI53" s="8">
        <f aca="true" t="shared" si="83" ref="BI53:BI61">BG53/(R53+U53+X53+AA53+AD53+AG53+AJ53+AM53+AP53+AS53)</f>
        <v>1.642111564303793</v>
      </c>
      <c r="BJ53" s="8">
        <f aca="true" t="shared" si="84" ref="BJ53:BJ61">BH53/(S53+V53+Y53+AB53+AE53+AH53+AK53+AN53+AQ53+AT53)</f>
        <v>0.48851869045047364</v>
      </c>
      <c r="BK53" s="9">
        <f aca="true" t="shared" si="85" ref="BK53:BL55">IF(BI53&gt;=100%,0,(R53+U53+X53+AA53+AD53+AG53+AJ53+AM53+AP53+AS53)-(V53+Y53+AE53+AH53+AK53+AN53+AQ53+AT53+AZ53))</f>
        <v>0</v>
      </c>
      <c r="BL53" s="9">
        <f t="shared" si="85"/>
        <v>445134</v>
      </c>
      <c r="BM53" s="10">
        <f t="shared" si="41"/>
        <v>0.828999499014115</v>
      </c>
      <c r="BN53" s="10">
        <f t="shared" si="41"/>
        <v>0.660337942678038</v>
      </c>
      <c r="BO53" s="11">
        <f t="shared" si="42"/>
        <v>148819</v>
      </c>
      <c r="BP53" s="11">
        <f t="shared" si="42"/>
        <v>218687</v>
      </c>
      <c r="BQ53" s="12">
        <f t="shared" si="76"/>
        <v>0</v>
      </c>
      <c r="BR53" s="12">
        <f t="shared" si="77"/>
        <v>296315</v>
      </c>
      <c r="BT53" s="14">
        <f t="shared" si="78"/>
        <v>75384.61538461538</v>
      </c>
      <c r="BU53" s="14">
        <f t="shared" si="79"/>
        <v>196000</v>
      </c>
      <c r="BV53" s="15">
        <f t="shared" si="80"/>
        <v>140000</v>
      </c>
      <c r="BW53" s="244">
        <f t="shared" si="81"/>
        <v>653333.3333333334</v>
      </c>
      <c r="BX53" s="223">
        <v>0.029</v>
      </c>
      <c r="BY53" s="74">
        <f t="shared" si="9"/>
        <v>7468.5092</v>
      </c>
      <c r="BZ53" s="224"/>
      <c r="CA53" s="226">
        <v>18700</v>
      </c>
      <c r="CB53" s="225"/>
      <c r="CC53" s="198"/>
      <c r="CD53" s="199"/>
      <c r="CE53" s="198"/>
      <c r="CF53" s="198"/>
      <c r="CG53" s="198"/>
      <c r="CH53" s="200" t="s">
        <v>185</v>
      </c>
      <c r="CI53" s="265" t="s">
        <v>47</v>
      </c>
      <c r="CJ53" s="92">
        <f>($CG53+$CA53+$AZ53+$AT53+$AQ53+$AN53+$AK53+$AH53+$AE53+$Y53+$V53)/$AV53</f>
        <v>1.684674247528178</v>
      </c>
      <c r="CK53" s="4">
        <f>($CG53+$CA53+$AZ53+$AT53+$AQ53+$AN53+$AK53+$AH53+$AE53+$Y53+$V53)/$AW53</f>
        <v>0.850486737662648</v>
      </c>
      <c r="CL53" s="4"/>
      <c r="CM53" s="198">
        <f t="shared" si="10"/>
        <v>18700</v>
      </c>
      <c r="CN53" s="198"/>
      <c r="CO53" s="198">
        <f>R53+AA53</f>
        <v>0</v>
      </c>
      <c r="CP53" s="198">
        <f>AZ53+CM53</f>
        <v>214700</v>
      </c>
      <c r="CQ53" s="201" t="e">
        <f t="shared" si="11"/>
        <v>#DIV/0!</v>
      </c>
      <c r="CR53" s="74"/>
      <c r="CS53" s="74"/>
      <c r="CT53" s="74">
        <f t="shared" si="12"/>
        <v>643837</v>
      </c>
      <c r="CU53" s="202">
        <v>0.27</v>
      </c>
      <c r="CV53" s="74">
        <f t="shared" si="82"/>
        <v>173835.99000000002</v>
      </c>
      <c r="CW53" s="74">
        <f t="shared" si="14"/>
        <v>147000</v>
      </c>
      <c r="CX53" s="74">
        <f t="shared" si="13"/>
        <v>1.9808354121524427</v>
      </c>
      <c r="CY53" s="74"/>
      <c r="CZ53" s="74"/>
    </row>
    <row r="54" spans="1:104" ht="36">
      <c r="A54" s="149">
        <v>26652935</v>
      </c>
      <c r="B54" s="49" t="s">
        <v>66</v>
      </c>
      <c r="C54" s="49" t="s">
        <v>43</v>
      </c>
      <c r="D54" s="49" t="s">
        <v>107</v>
      </c>
      <c r="E54" s="49" t="s">
        <v>67</v>
      </c>
      <c r="F54" s="74">
        <v>6434915</v>
      </c>
      <c r="G54" s="73">
        <v>4</v>
      </c>
      <c r="H54" s="73">
        <v>4</v>
      </c>
      <c r="I54" s="73">
        <v>0</v>
      </c>
      <c r="J54" s="73">
        <v>1</v>
      </c>
      <c r="K54" s="73">
        <v>1</v>
      </c>
      <c r="L54" s="73">
        <v>0</v>
      </c>
      <c r="M54" s="73">
        <v>2</v>
      </c>
      <c r="N54" s="73">
        <v>2.2</v>
      </c>
      <c r="O54" s="73">
        <v>1</v>
      </c>
      <c r="P54" s="73">
        <v>2.2</v>
      </c>
      <c r="Q54" s="73">
        <v>1</v>
      </c>
      <c r="R54" s="2">
        <v>0</v>
      </c>
      <c r="S54" s="2">
        <v>277000</v>
      </c>
      <c r="T54" s="2">
        <v>352909</v>
      </c>
      <c r="U54" s="2">
        <v>0</v>
      </c>
      <c r="V54" s="2">
        <v>0</v>
      </c>
      <c r="W54" s="2">
        <v>0</v>
      </c>
      <c r="X54" s="2">
        <v>0</v>
      </c>
      <c r="Y54" s="2">
        <v>0</v>
      </c>
      <c r="Z54" s="2">
        <v>0</v>
      </c>
      <c r="AA54" s="2">
        <v>0</v>
      </c>
      <c r="AB54" s="2">
        <v>0</v>
      </c>
      <c r="AC54" s="2">
        <v>90000</v>
      </c>
      <c r="AD54" s="2">
        <v>0</v>
      </c>
      <c r="AE54" s="2">
        <v>0</v>
      </c>
      <c r="AF54" s="2">
        <v>0</v>
      </c>
      <c r="AG54" s="2">
        <v>0</v>
      </c>
      <c r="AH54" s="2">
        <v>0</v>
      </c>
      <c r="AI54" s="2">
        <v>0</v>
      </c>
      <c r="AJ54" s="2">
        <v>0</v>
      </c>
      <c r="AK54" s="2">
        <v>0</v>
      </c>
      <c r="AL54" s="2">
        <v>3840</v>
      </c>
      <c r="AM54" s="2">
        <v>0</v>
      </c>
      <c r="AN54" s="2">
        <v>0</v>
      </c>
      <c r="AO54" s="2">
        <v>0</v>
      </c>
      <c r="AP54" s="2">
        <v>0</v>
      </c>
      <c r="AQ54" s="2">
        <v>0</v>
      </c>
      <c r="AR54" s="2">
        <v>0</v>
      </c>
      <c r="AS54" s="2">
        <v>0</v>
      </c>
      <c r="AT54" s="2">
        <v>0</v>
      </c>
      <c r="AU54" s="2">
        <v>0</v>
      </c>
      <c r="AV54" s="2">
        <v>0</v>
      </c>
      <c r="AW54" s="50">
        <v>277000</v>
      </c>
      <c r="AX54" s="50">
        <v>446749</v>
      </c>
      <c r="AY54" s="3"/>
      <c r="AZ54" s="48">
        <v>277000</v>
      </c>
      <c r="BA54" s="48"/>
      <c r="BB54" s="4">
        <f t="shared" si="73"/>
        <v>1</v>
      </c>
      <c r="BC54" s="4">
        <f t="shared" si="73"/>
        <v>0</v>
      </c>
      <c r="BD54" s="5"/>
      <c r="BE54" s="5"/>
      <c r="BF54" s="6"/>
      <c r="BG54" s="7">
        <f t="shared" si="74"/>
        <v>277000</v>
      </c>
      <c r="BH54" s="7">
        <f t="shared" si="75"/>
        <v>3840</v>
      </c>
      <c r="BI54" s="8" t="e">
        <f t="shared" si="83"/>
        <v>#DIV/0!</v>
      </c>
      <c r="BJ54" s="8">
        <f t="shared" si="84"/>
        <v>0.013862815884476534</v>
      </c>
      <c r="BK54" s="9" t="e">
        <f t="shared" si="85"/>
        <v>#DIV/0!</v>
      </c>
      <c r="BL54" s="9">
        <f t="shared" si="85"/>
        <v>273160</v>
      </c>
      <c r="BM54" s="10">
        <f t="shared" si="41"/>
        <v>1</v>
      </c>
      <c r="BN54" s="10">
        <f t="shared" si="41"/>
        <v>0.008595430543772901</v>
      </c>
      <c r="BO54" s="11">
        <f t="shared" si="42"/>
        <v>0</v>
      </c>
      <c r="BP54" s="11">
        <f t="shared" si="42"/>
        <v>442909</v>
      </c>
      <c r="BQ54" s="12" t="e">
        <f t="shared" si="76"/>
        <v>#DIV/0!</v>
      </c>
      <c r="BR54" s="12">
        <f t="shared" si="77"/>
        <v>273160</v>
      </c>
      <c r="BT54" s="14">
        <f t="shared" si="78"/>
        <v>125909.0909090909</v>
      </c>
      <c r="BU54" s="14">
        <f t="shared" si="79"/>
        <v>277000</v>
      </c>
      <c r="BV54" s="15">
        <f t="shared" si="80"/>
        <v>125909.0909090909</v>
      </c>
      <c r="BW54" s="244">
        <f t="shared" si="81"/>
        <v>277000</v>
      </c>
      <c r="BX54" s="223">
        <v>0.029</v>
      </c>
      <c r="BY54" s="74">
        <f t="shared" si="9"/>
        <v>3213.2000000000003</v>
      </c>
      <c r="BZ54" s="224"/>
      <c r="CA54" s="226">
        <v>8000</v>
      </c>
      <c r="CB54" s="225"/>
      <c r="CC54" s="198"/>
      <c r="CD54" s="199"/>
      <c r="CE54" s="198"/>
      <c r="CF54" s="198"/>
      <c r="CG54" s="198"/>
      <c r="CH54" s="200" t="s">
        <v>185</v>
      </c>
      <c r="CI54" s="265" t="s">
        <v>52</v>
      </c>
      <c r="CJ54" s="92" t="e">
        <f>($CG54+$CA54+$AZ54+$AT54+$AQ54+$AN54+$AK54+$AH54+$AE54+$Y54+$V54)/$AV54</f>
        <v>#DIV/0!</v>
      </c>
      <c r="CK54" s="4">
        <f>($CG54+$CA54+$AZ54+$AT54+$AQ54+$AN54+$AK54+$AH54+$AE54+$Y54+$V54)/$AW54</f>
        <v>1.0288808664259927</v>
      </c>
      <c r="CL54" s="4"/>
      <c r="CM54" s="198">
        <f t="shared" si="10"/>
        <v>8000</v>
      </c>
      <c r="CN54" s="198"/>
      <c r="CO54" s="198">
        <f>R54+AA54</f>
        <v>0</v>
      </c>
      <c r="CP54" s="198">
        <f>AZ54+CM54</f>
        <v>285000</v>
      </c>
      <c r="CQ54" s="201"/>
      <c r="CR54" s="74"/>
      <c r="CS54" s="74"/>
      <c r="CT54" s="74">
        <f t="shared" si="12"/>
        <v>207750</v>
      </c>
      <c r="CU54" s="202">
        <v>0.27</v>
      </c>
      <c r="CV54" s="74">
        <f t="shared" si="82"/>
        <v>56092.50000000001</v>
      </c>
      <c r="CW54" s="74">
        <f t="shared" si="14"/>
        <v>207750</v>
      </c>
      <c r="CX54" s="74" t="e">
        <f t="shared" si="13"/>
        <v>#DIV/0!</v>
      </c>
      <c r="CY54" s="74"/>
      <c r="CZ54" s="74"/>
    </row>
    <row r="55" spans="1:104" ht="38.25" customHeight="1">
      <c r="A55" s="149">
        <v>70188467</v>
      </c>
      <c r="B55" s="49" t="s">
        <v>54</v>
      </c>
      <c r="C55" s="49" t="s">
        <v>55</v>
      </c>
      <c r="D55" s="49" t="s">
        <v>107</v>
      </c>
      <c r="E55" s="49" t="s">
        <v>111</v>
      </c>
      <c r="F55" s="73">
        <v>2759151</v>
      </c>
      <c r="G55" s="73">
        <v>4</v>
      </c>
      <c r="H55" s="73">
        <v>4</v>
      </c>
      <c r="I55" s="73">
        <v>0</v>
      </c>
      <c r="J55" s="73">
        <v>0</v>
      </c>
      <c r="K55" s="73">
        <v>0</v>
      </c>
      <c r="L55" s="73">
        <v>0</v>
      </c>
      <c r="M55" s="73">
        <v>4</v>
      </c>
      <c r="N55" s="73">
        <v>2.4</v>
      </c>
      <c r="O55" s="73">
        <v>2.2</v>
      </c>
      <c r="P55" s="73">
        <v>1.4</v>
      </c>
      <c r="Q55" s="73">
        <v>1.3</v>
      </c>
      <c r="R55" s="2">
        <v>0</v>
      </c>
      <c r="S55" s="2">
        <v>0</v>
      </c>
      <c r="T55" s="2">
        <v>100000</v>
      </c>
      <c r="U55" s="2">
        <v>0</v>
      </c>
      <c r="V55" s="2">
        <v>0</v>
      </c>
      <c r="W55" s="2">
        <v>0</v>
      </c>
      <c r="X55" s="2">
        <v>0</v>
      </c>
      <c r="Y55" s="2">
        <v>0</v>
      </c>
      <c r="Z55" s="2">
        <v>0</v>
      </c>
      <c r="AA55" s="2">
        <v>0</v>
      </c>
      <c r="AB55" s="2">
        <v>40000</v>
      </c>
      <c r="AC55" s="2">
        <v>40000</v>
      </c>
      <c r="AD55" s="2">
        <v>0</v>
      </c>
      <c r="AE55" s="2">
        <v>0</v>
      </c>
      <c r="AF55" s="2">
        <v>0</v>
      </c>
      <c r="AG55" s="2">
        <v>225000</v>
      </c>
      <c r="AH55" s="2">
        <v>250000</v>
      </c>
      <c r="AI55" s="2">
        <v>359500</v>
      </c>
      <c r="AJ55" s="2">
        <v>321000</v>
      </c>
      <c r="AK55" s="2">
        <v>340000</v>
      </c>
      <c r="AL55" s="2">
        <v>320000</v>
      </c>
      <c r="AM55" s="2">
        <v>0</v>
      </c>
      <c r="AN55" s="2">
        <v>0</v>
      </c>
      <c r="AO55" s="2">
        <v>0</v>
      </c>
      <c r="AP55" s="2">
        <v>0</v>
      </c>
      <c r="AQ55" s="2">
        <v>0</v>
      </c>
      <c r="AR55" s="2">
        <v>0</v>
      </c>
      <c r="AS55" s="2">
        <v>0</v>
      </c>
      <c r="AT55" s="2">
        <v>0</v>
      </c>
      <c r="AU55" s="2">
        <v>0</v>
      </c>
      <c r="AV55" s="2">
        <v>546000</v>
      </c>
      <c r="AW55" s="50">
        <v>630000</v>
      </c>
      <c r="AX55" s="50">
        <v>819500</v>
      </c>
      <c r="AY55" s="3"/>
      <c r="AZ55" s="48">
        <v>0</v>
      </c>
      <c r="BA55" s="48"/>
      <c r="BB55" s="4" t="e">
        <f t="shared" si="73"/>
        <v>#DIV/0!</v>
      </c>
      <c r="BC55" s="4">
        <f t="shared" si="73"/>
        <v>0</v>
      </c>
      <c r="BD55" s="5" t="e">
        <f>-1+AZ55/R55</f>
        <v>#DIV/0!</v>
      </c>
      <c r="BE55" s="5" t="e">
        <f>-1+BA55/S55</f>
        <v>#DIV/0!</v>
      </c>
      <c r="BF55" s="6"/>
      <c r="BG55" s="7">
        <f t="shared" si="74"/>
        <v>590000</v>
      </c>
      <c r="BH55" s="7">
        <f t="shared" si="75"/>
        <v>679500</v>
      </c>
      <c r="BI55" s="8">
        <f t="shared" si="83"/>
        <v>1.0805860805860805</v>
      </c>
      <c r="BJ55" s="8">
        <f t="shared" si="84"/>
        <v>1.0785714285714285</v>
      </c>
      <c r="BK55" s="9">
        <f t="shared" si="85"/>
        <v>0</v>
      </c>
      <c r="BL55" s="9">
        <f t="shared" si="85"/>
        <v>0</v>
      </c>
      <c r="BM55" s="10">
        <f t="shared" si="41"/>
        <v>0.9365079365079365</v>
      </c>
      <c r="BN55" s="10">
        <f t="shared" si="41"/>
        <v>0.8291641244661379</v>
      </c>
      <c r="BO55" s="11">
        <f t="shared" si="42"/>
        <v>40000</v>
      </c>
      <c r="BP55" s="11">
        <f t="shared" si="42"/>
        <v>140000</v>
      </c>
      <c r="BQ55" s="12">
        <f t="shared" si="76"/>
        <v>0</v>
      </c>
      <c r="BR55" s="12">
        <f t="shared" si="77"/>
        <v>0</v>
      </c>
      <c r="BT55" s="14">
        <f t="shared" si="78"/>
        <v>0</v>
      </c>
      <c r="BU55" s="14">
        <f t="shared" si="79"/>
        <v>0</v>
      </c>
      <c r="BV55" s="15">
        <f t="shared" si="80"/>
        <v>0</v>
      </c>
      <c r="BW55" s="244">
        <f t="shared" si="81"/>
        <v>0</v>
      </c>
      <c r="BX55" s="223">
        <v>0.029</v>
      </c>
      <c r="BY55" s="74">
        <f t="shared" si="9"/>
        <v>7308</v>
      </c>
      <c r="BZ55" s="224"/>
      <c r="CA55" s="226">
        <v>18300</v>
      </c>
      <c r="CB55" s="225"/>
      <c r="CC55" s="198"/>
      <c r="CD55" s="199"/>
      <c r="CE55" s="198"/>
      <c r="CF55" s="198"/>
      <c r="CG55" s="198"/>
      <c r="CH55" s="200" t="s">
        <v>185</v>
      </c>
      <c r="CI55" s="265" t="s">
        <v>56</v>
      </c>
      <c r="CJ55" s="92">
        <f>($CG55+$CA55+$AZ55+$AT55+$AQ55+$AN55+$AK55+$AH55+$AE55+$Y55+$V55)/$AV55</f>
        <v>1.1141025641025641</v>
      </c>
      <c r="CK55" s="4">
        <f>($CG55+$CA55+$AZ55+$AT55+$AQ55+$AN55+$AK55+$AH55+$AE55+$Y55+$V55)/$AW55</f>
        <v>0.9655555555555555</v>
      </c>
      <c r="CL55" s="4"/>
      <c r="CM55" s="198">
        <f t="shared" si="10"/>
        <v>18300</v>
      </c>
      <c r="CN55" s="198"/>
      <c r="CO55" s="198">
        <f>R55+AA55</f>
        <v>0</v>
      </c>
      <c r="CP55" s="198">
        <f>AZ55+CM55</f>
        <v>18300</v>
      </c>
      <c r="CQ55" s="201" t="e">
        <f t="shared" si="11"/>
        <v>#DIV/0!</v>
      </c>
      <c r="CR55" s="74"/>
      <c r="CS55" s="74"/>
      <c r="CT55" s="74">
        <f t="shared" si="12"/>
        <v>472500</v>
      </c>
      <c r="CU55" s="202">
        <v>0.27</v>
      </c>
      <c r="CV55" s="74">
        <f t="shared" si="82"/>
        <v>100000</v>
      </c>
      <c r="CW55" s="74">
        <f t="shared" si="14"/>
        <v>0</v>
      </c>
      <c r="CX55" s="74">
        <f t="shared" si="13"/>
        <v>1.1538461538461537</v>
      </c>
      <c r="CY55" s="74"/>
      <c r="CZ55" s="74"/>
    </row>
    <row r="56" spans="1:104" ht="30.75" customHeight="1">
      <c r="A56" s="249">
        <v>44990260</v>
      </c>
      <c r="B56" s="250" t="s">
        <v>71</v>
      </c>
      <c r="C56" s="250" t="s">
        <v>43</v>
      </c>
      <c r="D56" s="250" t="s">
        <v>107</v>
      </c>
      <c r="E56" s="250" t="s">
        <v>279</v>
      </c>
      <c r="F56" s="73">
        <v>8756952</v>
      </c>
      <c r="G56" s="74"/>
      <c r="H56" s="73">
        <v>4</v>
      </c>
      <c r="I56" s="73">
        <v>0</v>
      </c>
      <c r="J56" s="73">
        <v>0</v>
      </c>
      <c r="K56" s="73">
        <v>2</v>
      </c>
      <c r="L56" s="73">
        <v>2</v>
      </c>
      <c r="M56" s="73">
        <v>0</v>
      </c>
      <c r="N56" s="73"/>
      <c r="O56" s="73">
        <v>5</v>
      </c>
      <c r="P56" s="73"/>
      <c r="Q56" s="73">
        <v>4</v>
      </c>
      <c r="R56" s="2">
        <v>0</v>
      </c>
      <c r="S56" s="2">
        <v>0</v>
      </c>
      <c r="T56" s="2">
        <v>1400000</v>
      </c>
      <c r="U56" s="2">
        <v>0</v>
      </c>
      <c r="V56" s="2">
        <v>0</v>
      </c>
      <c r="W56" s="2">
        <v>0</v>
      </c>
      <c r="X56" s="2">
        <v>0</v>
      </c>
      <c r="Y56" s="2">
        <v>0</v>
      </c>
      <c r="Z56" s="2">
        <v>0</v>
      </c>
      <c r="AA56" s="2">
        <v>0</v>
      </c>
      <c r="AB56" s="2">
        <v>0</v>
      </c>
      <c r="AC56" s="2">
        <v>900000</v>
      </c>
      <c r="AD56" s="2">
        <v>0</v>
      </c>
      <c r="AE56" s="2">
        <v>0</v>
      </c>
      <c r="AF56" s="2">
        <v>60000</v>
      </c>
      <c r="AG56" s="2">
        <v>0</v>
      </c>
      <c r="AH56" s="2">
        <v>0</v>
      </c>
      <c r="AI56" s="2">
        <v>0</v>
      </c>
      <c r="AJ56" s="2">
        <v>0</v>
      </c>
      <c r="AK56" s="2">
        <v>0</v>
      </c>
      <c r="AL56" s="2">
        <v>144000</v>
      </c>
      <c r="AM56" s="2">
        <v>0</v>
      </c>
      <c r="AN56" s="2">
        <v>0</v>
      </c>
      <c r="AO56" s="2">
        <v>0</v>
      </c>
      <c r="AP56" s="2">
        <v>0</v>
      </c>
      <c r="AQ56" s="2">
        <v>0</v>
      </c>
      <c r="AR56" s="2">
        <v>0</v>
      </c>
      <c r="AS56" s="2">
        <v>0</v>
      </c>
      <c r="AT56" s="2">
        <v>0</v>
      </c>
      <c r="AU56" s="2">
        <v>3000</v>
      </c>
      <c r="AV56" s="2">
        <v>0</v>
      </c>
      <c r="AW56" s="50">
        <v>0</v>
      </c>
      <c r="AX56" s="50">
        <v>2507000</v>
      </c>
      <c r="AY56" s="3"/>
      <c r="AZ56" s="122"/>
      <c r="BA56" s="122"/>
      <c r="BB56" s="4"/>
      <c r="BC56" s="4"/>
      <c r="BD56" s="5"/>
      <c r="BE56" s="5"/>
      <c r="BF56" s="6"/>
      <c r="BG56" s="7"/>
      <c r="BH56" s="7"/>
      <c r="BI56" s="8"/>
      <c r="BJ56" s="8"/>
      <c r="BK56" s="9"/>
      <c r="BL56" s="9"/>
      <c r="BM56" s="10"/>
      <c r="BN56" s="10"/>
      <c r="BO56" s="11"/>
      <c r="BP56" s="11"/>
      <c r="BQ56" s="12"/>
      <c r="BR56" s="12"/>
      <c r="BT56" s="14"/>
      <c r="BU56" s="14"/>
      <c r="BV56" s="15"/>
      <c r="BW56" s="244"/>
      <c r="BX56" s="223">
        <v>0.029</v>
      </c>
      <c r="BY56" s="74">
        <f>AX56*BX56*0.4</f>
        <v>29081.2</v>
      </c>
      <c r="BZ56" s="224"/>
      <c r="CA56" s="226">
        <v>72700</v>
      </c>
      <c r="CB56" s="225"/>
      <c r="CC56" s="198"/>
      <c r="CD56" s="199"/>
      <c r="CE56" s="198"/>
      <c r="CF56" s="198"/>
      <c r="CG56" s="198"/>
      <c r="CH56" s="200" t="s">
        <v>185</v>
      </c>
      <c r="CI56" s="265" t="s">
        <v>47</v>
      </c>
      <c r="CJ56" s="92"/>
      <c r="CK56" s="4"/>
      <c r="CL56" s="4"/>
      <c r="CM56" s="198"/>
      <c r="CN56" s="198"/>
      <c r="CO56" s="198"/>
      <c r="CP56" s="198"/>
      <c r="CQ56" s="201"/>
      <c r="CR56" s="74"/>
      <c r="CS56" s="74"/>
      <c r="CT56" s="74">
        <f t="shared" si="12"/>
        <v>0</v>
      </c>
      <c r="CU56" s="202">
        <v>0.27</v>
      </c>
      <c r="CV56" s="74">
        <f t="shared" si="82"/>
        <v>0</v>
      </c>
      <c r="CW56" s="74">
        <f t="shared" si="14"/>
        <v>0</v>
      </c>
      <c r="CX56" s="74" t="e">
        <f t="shared" si="13"/>
        <v>#DIV/0!</v>
      </c>
      <c r="CY56" s="74"/>
      <c r="CZ56" s="74"/>
    </row>
    <row r="57" spans="1:104" ht="30.75" customHeight="1">
      <c r="A57" s="249">
        <v>44990260</v>
      </c>
      <c r="B57" s="250" t="s">
        <v>71</v>
      </c>
      <c r="C57" s="250" t="s">
        <v>43</v>
      </c>
      <c r="D57" s="250" t="s">
        <v>107</v>
      </c>
      <c r="E57" s="250" t="s">
        <v>277</v>
      </c>
      <c r="F57" s="73">
        <v>4578503</v>
      </c>
      <c r="G57" s="74"/>
      <c r="H57" s="73">
        <v>4</v>
      </c>
      <c r="I57" s="73">
        <v>0</v>
      </c>
      <c r="J57" s="73">
        <v>0</v>
      </c>
      <c r="K57" s="73">
        <v>2</v>
      </c>
      <c r="L57" s="73">
        <v>2</v>
      </c>
      <c r="M57" s="73">
        <v>0</v>
      </c>
      <c r="N57" s="73"/>
      <c r="O57" s="73">
        <v>6.2</v>
      </c>
      <c r="P57" s="73"/>
      <c r="Q57" s="73">
        <v>4.8</v>
      </c>
      <c r="R57" s="2">
        <v>0</v>
      </c>
      <c r="S57" s="2">
        <v>0</v>
      </c>
      <c r="T57" s="2">
        <v>1428000</v>
      </c>
      <c r="U57" s="2">
        <v>0</v>
      </c>
      <c r="V57" s="2">
        <v>0</v>
      </c>
      <c r="W57" s="2">
        <v>0</v>
      </c>
      <c r="X57" s="2">
        <v>0</v>
      </c>
      <c r="Y57" s="2">
        <v>0</v>
      </c>
      <c r="Z57" s="2">
        <v>0</v>
      </c>
      <c r="AA57" s="2">
        <v>0</v>
      </c>
      <c r="AB57" s="2">
        <v>0</v>
      </c>
      <c r="AC57" s="2">
        <v>821200</v>
      </c>
      <c r="AD57" s="2">
        <v>0</v>
      </c>
      <c r="AE57" s="2">
        <v>0</v>
      </c>
      <c r="AF57" s="2">
        <v>68000</v>
      </c>
      <c r="AG57" s="2">
        <v>0</v>
      </c>
      <c r="AH57" s="2">
        <v>0</v>
      </c>
      <c r="AI57" s="2">
        <v>0</v>
      </c>
      <c r="AJ57" s="2">
        <v>0</v>
      </c>
      <c r="AK57" s="2">
        <v>0</v>
      </c>
      <c r="AL57" s="2">
        <v>144000</v>
      </c>
      <c r="AM57" s="2">
        <v>0</v>
      </c>
      <c r="AN57" s="2">
        <v>0</v>
      </c>
      <c r="AO57" s="2">
        <v>0</v>
      </c>
      <c r="AP57" s="2">
        <v>0</v>
      </c>
      <c r="AQ57" s="2">
        <v>0</v>
      </c>
      <c r="AR57" s="2">
        <v>0</v>
      </c>
      <c r="AS57" s="2">
        <v>0</v>
      </c>
      <c r="AT57" s="2">
        <v>0</v>
      </c>
      <c r="AU57" s="2">
        <v>0</v>
      </c>
      <c r="AV57" s="2">
        <v>0</v>
      </c>
      <c r="AW57" s="50">
        <v>0</v>
      </c>
      <c r="AX57" s="50">
        <v>2461200</v>
      </c>
      <c r="AY57" s="3"/>
      <c r="AZ57" s="122"/>
      <c r="BA57" s="122"/>
      <c r="BB57" s="4"/>
      <c r="BC57" s="4"/>
      <c r="BD57" s="5"/>
      <c r="BE57" s="5"/>
      <c r="BF57" s="6"/>
      <c r="BG57" s="7"/>
      <c r="BH57" s="7"/>
      <c r="BI57" s="8"/>
      <c r="BJ57" s="8"/>
      <c r="BK57" s="9"/>
      <c r="BL57" s="9"/>
      <c r="BM57" s="10"/>
      <c r="BN57" s="10"/>
      <c r="BO57" s="11"/>
      <c r="BP57" s="11"/>
      <c r="BQ57" s="12"/>
      <c r="BR57" s="12"/>
      <c r="BT57" s="14"/>
      <c r="BU57" s="14"/>
      <c r="BV57" s="15"/>
      <c r="BW57" s="244"/>
      <c r="BX57" s="223">
        <v>0.029</v>
      </c>
      <c r="BY57" s="74">
        <f>AX57*BX57*0.4</f>
        <v>28549.920000000002</v>
      </c>
      <c r="BZ57" s="224"/>
      <c r="CA57" s="226">
        <v>71400</v>
      </c>
      <c r="CB57" s="225"/>
      <c r="CC57" s="198"/>
      <c r="CD57" s="199"/>
      <c r="CE57" s="198"/>
      <c r="CF57" s="198"/>
      <c r="CG57" s="198"/>
      <c r="CH57" s="200" t="s">
        <v>185</v>
      </c>
      <c r="CI57" s="265" t="s">
        <v>47</v>
      </c>
      <c r="CJ57" s="92"/>
      <c r="CK57" s="4"/>
      <c r="CL57" s="4"/>
      <c r="CM57" s="198"/>
      <c r="CN57" s="198"/>
      <c r="CO57" s="198"/>
      <c r="CP57" s="198"/>
      <c r="CQ57" s="201"/>
      <c r="CR57" s="74"/>
      <c r="CS57" s="74"/>
      <c r="CT57" s="74">
        <f t="shared" si="12"/>
        <v>0</v>
      </c>
      <c r="CU57" s="202">
        <v>0.27</v>
      </c>
      <c r="CV57" s="74">
        <f t="shared" si="82"/>
        <v>0</v>
      </c>
      <c r="CW57" s="74">
        <f t="shared" si="14"/>
        <v>0</v>
      </c>
      <c r="CX57" s="74" t="e">
        <f t="shared" si="13"/>
        <v>#DIV/0!</v>
      </c>
      <c r="CY57" s="74"/>
      <c r="CZ57" s="74"/>
    </row>
    <row r="58" spans="1:104" ht="30.75" customHeight="1">
      <c r="A58" s="249">
        <v>44990260</v>
      </c>
      <c r="B58" s="250" t="s">
        <v>71</v>
      </c>
      <c r="C58" s="250" t="s">
        <v>43</v>
      </c>
      <c r="D58" s="250" t="s">
        <v>107</v>
      </c>
      <c r="E58" s="250" t="s">
        <v>278</v>
      </c>
      <c r="F58" s="73">
        <v>7981302</v>
      </c>
      <c r="G58" s="74"/>
      <c r="H58" s="73">
        <v>4</v>
      </c>
      <c r="I58" s="73">
        <v>0</v>
      </c>
      <c r="J58" s="73">
        <v>0</v>
      </c>
      <c r="K58" s="73">
        <v>2</v>
      </c>
      <c r="L58" s="73">
        <v>2</v>
      </c>
      <c r="M58" s="73">
        <v>0</v>
      </c>
      <c r="N58" s="73"/>
      <c r="O58" s="73">
        <v>5.8</v>
      </c>
      <c r="P58" s="73"/>
      <c r="Q58" s="73">
        <v>4.7</v>
      </c>
      <c r="R58" s="2">
        <v>0</v>
      </c>
      <c r="S58" s="2">
        <v>0</v>
      </c>
      <c r="T58" s="2">
        <v>1375000</v>
      </c>
      <c r="U58" s="2">
        <v>0</v>
      </c>
      <c r="V58" s="2">
        <v>0</v>
      </c>
      <c r="W58" s="2">
        <v>0</v>
      </c>
      <c r="X58" s="2">
        <v>0</v>
      </c>
      <c r="Y58" s="2">
        <v>0</v>
      </c>
      <c r="Z58" s="2">
        <v>0</v>
      </c>
      <c r="AA58" s="2">
        <v>0</v>
      </c>
      <c r="AB58" s="2">
        <v>500000</v>
      </c>
      <c r="AC58" s="2">
        <v>921500</v>
      </c>
      <c r="AD58" s="2">
        <v>0</v>
      </c>
      <c r="AE58" s="2">
        <v>0</v>
      </c>
      <c r="AF58" s="2">
        <v>0</v>
      </c>
      <c r="AG58" s="2">
        <v>0</v>
      </c>
      <c r="AH58" s="2">
        <v>0</v>
      </c>
      <c r="AI58" s="2">
        <v>0</v>
      </c>
      <c r="AJ58" s="2">
        <v>0</v>
      </c>
      <c r="AK58" s="2">
        <v>12000</v>
      </c>
      <c r="AL58" s="2">
        <v>145000</v>
      </c>
      <c r="AM58" s="2">
        <v>0</v>
      </c>
      <c r="AN58" s="2">
        <v>0</v>
      </c>
      <c r="AO58" s="2">
        <v>0</v>
      </c>
      <c r="AP58" s="2">
        <v>0</v>
      </c>
      <c r="AQ58" s="2">
        <v>0</v>
      </c>
      <c r="AR58" s="2">
        <v>0</v>
      </c>
      <c r="AS58" s="2">
        <v>0</v>
      </c>
      <c r="AT58" s="2">
        <v>0</v>
      </c>
      <c r="AU58" s="2">
        <v>2000</v>
      </c>
      <c r="AV58" s="2">
        <v>0</v>
      </c>
      <c r="AW58" s="50">
        <v>512000</v>
      </c>
      <c r="AX58" s="50">
        <v>2443500</v>
      </c>
      <c r="AY58" s="3"/>
      <c r="AZ58" s="122"/>
      <c r="BA58" s="122"/>
      <c r="BB58" s="4"/>
      <c r="BC58" s="4"/>
      <c r="BD58" s="5"/>
      <c r="BE58" s="5"/>
      <c r="BF58" s="6"/>
      <c r="BG58" s="7"/>
      <c r="BH58" s="7"/>
      <c r="BI58" s="8"/>
      <c r="BJ58" s="8"/>
      <c r="BK58" s="9"/>
      <c r="BL58" s="9"/>
      <c r="BM58" s="10"/>
      <c r="BN58" s="10"/>
      <c r="BO58" s="11"/>
      <c r="BP58" s="11"/>
      <c r="BQ58" s="12"/>
      <c r="BR58" s="12"/>
      <c r="BT58" s="14"/>
      <c r="BU58" s="14"/>
      <c r="BV58" s="15"/>
      <c r="BW58" s="244"/>
      <c r="BX58" s="223">
        <v>0.029</v>
      </c>
      <c r="BY58" s="74">
        <f t="shared" si="9"/>
        <v>5939.200000000001</v>
      </c>
      <c r="BZ58" s="224"/>
      <c r="CA58" s="226">
        <v>14800</v>
      </c>
      <c r="CB58" s="225"/>
      <c r="CC58" s="198"/>
      <c r="CD58" s="199"/>
      <c r="CE58" s="198"/>
      <c r="CF58" s="198"/>
      <c r="CG58" s="198"/>
      <c r="CH58" s="200" t="s">
        <v>185</v>
      </c>
      <c r="CI58" s="265" t="s">
        <v>47</v>
      </c>
      <c r="CJ58" s="92"/>
      <c r="CK58" s="4"/>
      <c r="CL58" s="4"/>
      <c r="CM58" s="198"/>
      <c r="CN58" s="198"/>
      <c r="CO58" s="198"/>
      <c r="CP58" s="198"/>
      <c r="CQ58" s="201"/>
      <c r="CR58" s="74"/>
      <c r="CS58" s="74"/>
      <c r="CT58" s="74">
        <f t="shared" si="12"/>
        <v>384000</v>
      </c>
      <c r="CU58" s="202">
        <v>0.27</v>
      </c>
      <c r="CV58" s="74">
        <f t="shared" si="82"/>
        <v>103680</v>
      </c>
      <c r="CW58" s="74">
        <f t="shared" si="14"/>
        <v>0</v>
      </c>
      <c r="CX58" s="74" t="e">
        <f t="shared" si="13"/>
        <v>#DIV/0!</v>
      </c>
      <c r="CY58" s="74"/>
      <c r="CZ58" s="74"/>
    </row>
    <row r="59" spans="1:104" ht="30.75" customHeight="1">
      <c r="A59" s="149">
        <v>15060233</v>
      </c>
      <c r="B59" s="49" t="s">
        <v>42</v>
      </c>
      <c r="C59" s="49" t="s">
        <v>43</v>
      </c>
      <c r="D59" s="49" t="s">
        <v>107</v>
      </c>
      <c r="E59" s="248" t="s">
        <v>275</v>
      </c>
      <c r="F59" s="73">
        <v>6314482</v>
      </c>
      <c r="G59" s="74"/>
      <c r="H59" s="73">
        <v>10</v>
      </c>
      <c r="I59" s="73">
        <v>1</v>
      </c>
      <c r="J59" s="73">
        <v>2</v>
      </c>
      <c r="K59" s="73">
        <v>2</v>
      </c>
      <c r="L59" s="73">
        <v>3</v>
      </c>
      <c r="M59" s="73">
        <v>2</v>
      </c>
      <c r="N59" s="73"/>
      <c r="O59" s="73">
        <v>6.9</v>
      </c>
      <c r="P59" s="73"/>
      <c r="Q59" s="73">
        <v>6.3</v>
      </c>
      <c r="R59" s="2">
        <v>0</v>
      </c>
      <c r="S59" s="2">
        <v>0</v>
      </c>
      <c r="T59" s="2">
        <v>1537750</v>
      </c>
      <c r="U59" s="2">
        <v>0</v>
      </c>
      <c r="V59" s="2">
        <v>0</v>
      </c>
      <c r="W59" s="2">
        <v>0</v>
      </c>
      <c r="X59" s="2">
        <v>0</v>
      </c>
      <c r="Y59" s="2">
        <v>0</v>
      </c>
      <c r="Z59" s="2">
        <v>0</v>
      </c>
      <c r="AA59" s="2">
        <v>0</v>
      </c>
      <c r="AB59" s="2">
        <v>510000</v>
      </c>
      <c r="AC59" s="2">
        <v>510000</v>
      </c>
      <c r="AD59" s="2">
        <v>0</v>
      </c>
      <c r="AE59" s="2">
        <v>0</v>
      </c>
      <c r="AF59" s="2">
        <v>100000</v>
      </c>
      <c r="AG59" s="2">
        <v>0</v>
      </c>
      <c r="AH59" s="2">
        <v>0</v>
      </c>
      <c r="AI59" s="2">
        <v>0</v>
      </c>
      <c r="AJ59" s="2">
        <v>0</v>
      </c>
      <c r="AK59" s="2">
        <v>15000</v>
      </c>
      <c r="AL59" s="2">
        <v>392250</v>
      </c>
      <c r="AM59" s="2">
        <v>0</v>
      </c>
      <c r="AN59" s="2">
        <v>0</v>
      </c>
      <c r="AO59" s="2">
        <v>0</v>
      </c>
      <c r="AP59" s="2">
        <v>0</v>
      </c>
      <c r="AQ59" s="2">
        <v>0</v>
      </c>
      <c r="AR59" s="2">
        <v>0</v>
      </c>
      <c r="AS59" s="2">
        <v>0</v>
      </c>
      <c r="AT59" s="2">
        <v>300000</v>
      </c>
      <c r="AU59" s="2">
        <v>126575</v>
      </c>
      <c r="AV59" s="2">
        <v>0</v>
      </c>
      <c r="AW59" s="50">
        <v>825000</v>
      </c>
      <c r="AX59" s="50">
        <v>2666575</v>
      </c>
      <c r="AY59" s="3"/>
      <c r="AZ59" s="122"/>
      <c r="BA59" s="122"/>
      <c r="BB59" s="4"/>
      <c r="BC59" s="4"/>
      <c r="BD59" s="5"/>
      <c r="BE59" s="5"/>
      <c r="BF59" s="6"/>
      <c r="BG59" s="7"/>
      <c r="BH59" s="7"/>
      <c r="BI59" s="8"/>
      <c r="BJ59" s="8"/>
      <c r="BK59" s="9"/>
      <c r="BL59" s="9"/>
      <c r="BM59" s="10"/>
      <c r="BN59" s="10"/>
      <c r="BO59" s="11"/>
      <c r="BP59" s="11"/>
      <c r="BQ59" s="12"/>
      <c r="BR59" s="12"/>
      <c r="BT59" s="14"/>
      <c r="BU59" s="14"/>
      <c r="BV59" s="15" t="e">
        <f t="shared" si="80"/>
        <v>#DIV/0!</v>
      </c>
      <c r="BW59" s="244"/>
      <c r="BX59" s="223">
        <v>0.029</v>
      </c>
      <c r="BY59" s="74">
        <f t="shared" si="9"/>
        <v>9570</v>
      </c>
      <c r="BZ59" s="224"/>
      <c r="CA59" s="226">
        <v>24000</v>
      </c>
      <c r="CB59" s="225"/>
      <c r="CC59" s="198"/>
      <c r="CD59" s="199"/>
      <c r="CE59" s="198"/>
      <c r="CF59" s="198"/>
      <c r="CG59" s="198"/>
      <c r="CH59" s="200" t="s">
        <v>185</v>
      </c>
      <c r="CI59" s="267" t="s">
        <v>47</v>
      </c>
      <c r="CJ59" s="92"/>
      <c r="CK59" s="4"/>
      <c r="CL59" s="4"/>
      <c r="CM59" s="198"/>
      <c r="CN59" s="198"/>
      <c r="CO59" s="198"/>
      <c r="CP59" s="198"/>
      <c r="CQ59" s="201"/>
      <c r="CR59" s="74"/>
      <c r="CS59" s="74"/>
      <c r="CT59" s="74">
        <f t="shared" si="12"/>
        <v>618750</v>
      </c>
      <c r="CU59" s="202">
        <v>0.27</v>
      </c>
      <c r="CV59" s="74">
        <f t="shared" si="82"/>
        <v>167062.5</v>
      </c>
      <c r="CW59" s="74">
        <f t="shared" si="14"/>
        <v>0</v>
      </c>
      <c r="CX59" s="74" t="e">
        <f t="shared" si="13"/>
        <v>#DIV/0!</v>
      </c>
      <c r="CY59" s="74"/>
      <c r="CZ59" s="74"/>
    </row>
    <row r="60" spans="1:104" ht="30.75" customHeight="1">
      <c r="A60" s="149">
        <v>47224541</v>
      </c>
      <c r="B60" s="49" t="s">
        <v>120</v>
      </c>
      <c r="C60" s="49" t="s">
        <v>43</v>
      </c>
      <c r="D60" s="49" t="s">
        <v>107</v>
      </c>
      <c r="E60" s="248" t="s">
        <v>272</v>
      </c>
      <c r="F60" s="73">
        <v>6500338</v>
      </c>
      <c r="G60" s="74">
        <v>0</v>
      </c>
      <c r="H60" s="73">
        <v>10</v>
      </c>
      <c r="I60" s="73">
        <v>2</v>
      </c>
      <c r="J60" s="73">
        <v>2</v>
      </c>
      <c r="K60" s="73">
        <v>2</v>
      </c>
      <c r="L60" s="73">
        <v>2</v>
      </c>
      <c r="M60" s="73">
        <v>2</v>
      </c>
      <c r="N60" s="73"/>
      <c r="O60" s="73">
        <v>1.6</v>
      </c>
      <c r="P60" s="73"/>
      <c r="Q60" s="73">
        <v>1.5</v>
      </c>
      <c r="R60" s="2">
        <v>0</v>
      </c>
      <c r="S60" s="2">
        <v>0</v>
      </c>
      <c r="T60" s="2">
        <v>279775</v>
      </c>
      <c r="U60" s="2">
        <v>0</v>
      </c>
      <c r="V60" s="2">
        <v>0</v>
      </c>
      <c r="W60" s="2">
        <v>0</v>
      </c>
      <c r="X60" s="2">
        <v>0</v>
      </c>
      <c r="Y60" s="2">
        <v>0</v>
      </c>
      <c r="Z60" s="2">
        <v>0</v>
      </c>
      <c r="AA60" s="2">
        <v>0</v>
      </c>
      <c r="AB60" s="2">
        <v>510000</v>
      </c>
      <c r="AC60" s="2">
        <v>300000</v>
      </c>
      <c r="AD60" s="2">
        <v>0</v>
      </c>
      <c r="AE60" s="2">
        <v>0</v>
      </c>
      <c r="AF60" s="2">
        <v>50000</v>
      </c>
      <c r="AG60" s="2">
        <v>0</v>
      </c>
      <c r="AH60" s="2">
        <v>0</v>
      </c>
      <c r="AI60" s="2">
        <v>0</v>
      </c>
      <c r="AJ60" s="2">
        <v>0</v>
      </c>
      <c r="AK60" s="2">
        <v>0</v>
      </c>
      <c r="AL60" s="2">
        <v>40000</v>
      </c>
      <c r="AM60" s="2">
        <v>0</v>
      </c>
      <c r="AN60" s="2">
        <v>0</v>
      </c>
      <c r="AO60" s="2">
        <v>0</v>
      </c>
      <c r="AP60" s="2">
        <v>0</v>
      </c>
      <c r="AQ60" s="2">
        <v>0</v>
      </c>
      <c r="AR60" s="2">
        <v>0</v>
      </c>
      <c r="AS60" s="2">
        <v>0</v>
      </c>
      <c r="AT60" s="2">
        <v>0</v>
      </c>
      <c r="AU60" s="2">
        <v>4255</v>
      </c>
      <c r="AV60" s="2">
        <v>0</v>
      </c>
      <c r="AW60" s="50">
        <v>510000</v>
      </c>
      <c r="AX60" s="50">
        <v>674030</v>
      </c>
      <c r="AY60" s="3"/>
      <c r="AZ60" s="122"/>
      <c r="BA60" s="122"/>
      <c r="BB60" s="4"/>
      <c r="BC60" s="4"/>
      <c r="BD60" s="5"/>
      <c r="BE60" s="5"/>
      <c r="BF60" s="6"/>
      <c r="BG60" s="7"/>
      <c r="BH60" s="7"/>
      <c r="BI60" s="8"/>
      <c r="BJ60" s="8"/>
      <c r="BK60" s="9"/>
      <c r="BL60" s="9"/>
      <c r="BM60" s="10"/>
      <c r="BN60" s="10"/>
      <c r="BO60" s="11"/>
      <c r="BP60" s="11"/>
      <c r="BQ60" s="12"/>
      <c r="BR60" s="12"/>
      <c r="BT60" s="14"/>
      <c r="BU60" s="14"/>
      <c r="BV60" s="15"/>
      <c r="BW60" s="244"/>
      <c r="BX60" s="223">
        <v>0.029</v>
      </c>
      <c r="BY60" s="74">
        <f t="shared" si="9"/>
        <v>5916</v>
      </c>
      <c r="BZ60" s="224"/>
      <c r="CA60" s="226">
        <v>14800</v>
      </c>
      <c r="CB60" s="225"/>
      <c r="CC60" s="198"/>
      <c r="CD60" s="199"/>
      <c r="CE60" s="198"/>
      <c r="CF60" s="198"/>
      <c r="CG60" s="198"/>
      <c r="CH60" s="200" t="s">
        <v>185</v>
      </c>
      <c r="CI60" s="265" t="s">
        <v>47</v>
      </c>
      <c r="CJ60" s="92"/>
      <c r="CK60" s="4"/>
      <c r="CL60" s="4"/>
      <c r="CM60" s="198"/>
      <c r="CN60" s="198"/>
      <c r="CO60" s="198"/>
      <c r="CP60" s="198"/>
      <c r="CQ60" s="201"/>
      <c r="CR60" s="74"/>
      <c r="CS60" s="74"/>
      <c r="CT60" s="74">
        <f aca="true" t="shared" si="86" ref="CT60:CT102">IF(AW60*1&gt;AX60,AX60,AW60*1*0.75)</f>
        <v>382500</v>
      </c>
      <c r="CU60" s="202">
        <v>0.27</v>
      </c>
      <c r="CV60" s="74">
        <f t="shared" si="82"/>
        <v>103275</v>
      </c>
      <c r="CW60" s="74">
        <f t="shared" si="14"/>
        <v>0</v>
      </c>
      <c r="CX60" s="74" t="e">
        <f aca="true" t="shared" si="87" ref="CX60:CX102">AW60/AV60</f>
        <v>#DIV/0!</v>
      </c>
      <c r="CY60" s="74"/>
      <c r="CZ60" s="74"/>
    </row>
    <row r="61" spans="1:104" ht="24.75" thickBot="1">
      <c r="A61" s="149">
        <v>70868832</v>
      </c>
      <c r="B61" s="49" t="s">
        <v>113</v>
      </c>
      <c r="C61" s="49" t="s">
        <v>43</v>
      </c>
      <c r="D61" s="49" t="s">
        <v>107</v>
      </c>
      <c r="E61" s="49" t="s">
        <v>114</v>
      </c>
      <c r="F61" s="73">
        <v>2028787</v>
      </c>
      <c r="G61" s="74"/>
      <c r="H61" s="73">
        <v>17</v>
      </c>
      <c r="I61" s="73">
        <v>2</v>
      </c>
      <c r="J61" s="73">
        <v>0</v>
      </c>
      <c r="K61" s="73">
        <v>1</v>
      </c>
      <c r="L61" s="73">
        <v>14</v>
      </c>
      <c r="M61" s="73">
        <v>0</v>
      </c>
      <c r="N61" s="73">
        <v>5.7</v>
      </c>
      <c r="O61" s="73">
        <v>8.1</v>
      </c>
      <c r="P61" s="73">
        <v>3.8</v>
      </c>
      <c r="Q61" s="73">
        <v>4.5</v>
      </c>
      <c r="R61" s="2">
        <v>0</v>
      </c>
      <c r="S61" s="2">
        <v>540000</v>
      </c>
      <c r="T61" s="2">
        <v>2838000</v>
      </c>
      <c r="U61" s="2">
        <v>0</v>
      </c>
      <c r="V61" s="2">
        <v>90000</v>
      </c>
      <c r="W61" s="2">
        <v>0</v>
      </c>
      <c r="X61" s="2">
        <v>0</v>
      </c>
      <c r="Y61" s="2">
        <v>28500</v>
      </c>
      <c r="Z61" s="2">
        <v>20000</v>
      </c>
      <c r="AA61" s="2">
        <v>0</v>
      </c>
      <c r="AB61" s="2">
        <v>49000</v>
      </c>
      <c r="AC61" s="2">
        <v>95000</v>
      </c>
      <c r="AD61" s="2">
        <v>10000</v>
      </c>
      <c r="AE61" s="2">
        <v>10000</v>
      </c>
      <c r="AF61" s="2">
        <v>10000</v>
      </c>
      <c r="AG61" s="2">
        <v>0</v>
      </c>
      <c r="AH61" s="2">
        <v>0</v>
      </c>
      <c r="AI61" s="2">
        <v>0</v>
      </c>
      <c r="AJ61" s="2">
        <v>0</v>
      </c>
      <c r="AK61" s="2">
        <v>115000</v>
      </c>
      <c r="AL61" s="2">
        <v>210000</v>
      </c>
      <c r="AM61" s="2">
        <v>0</v>
      </c>
      <c r="AN61" s="2">
        <v>0</v>
      </c>
      <c r="AO61" s="2">
        <v>0</v>
      </c>
      <c r="AP61" s="2">
        <v>1439734</v>
      </c>
      <c r="AQ61" s="2">
        <v>704913</v>
      </c>
      <c r="AR61" s="2">
        <v>0</v>
      </c>
      <c r="AS61" s="2">
        <v>55000</v>
      </c>
      <c r="AT61" s="2">
        <v>170000</v>
      </c>
      <c r="AU61" s="2">
        <v>75000</v>
      </c>
      <c r="AV61" s="2">
        <v>1504734</v>
      </c>
      <c r="AW61" s="50">
        <v>1707413</v>
      </c>
      <c r="AX61" s="50">
        <v>3248000</v>
      </c>
      <c r="AY61" s="3"/>
      <c r="AZ61" s="48">
        <v>540000</v>
      </c>
      <c r="BA61" s="48"/>
      <c r="BB61" s="4">
        <f>AZ61/S61</f>
        <v>1</v>
      </c>
      <c r="BC61" s="4">
        <f>BA61/T61</f>
        <v>0</v>
      </c>
      <c r="BD61" s="5"/>
      <c r="BE61" s="5"/>
      <c r="BF61" s="6"/>
      <c r="BG61" s="7">
        <f t="shared" si="74"/>
        <v>1658413</v>
      </c>
      <c r="BH61" s="7">
        <f t="shared" si="75"/>
        <v>315000</v>
      </c>
      <c r="BI61" s="8">
        <f t="shared" si="83"/>
        <v>1.1021303433032017</v>
      </c>
      <c r="BJ61" s="8">
        <f t="shared" si="84"/>
        <v>0.18448963431811752</v>
      </c>
      <c r="BK61" s="9">
        <f>IF(BI61&gt;=100%,0,(R61+U61+X61+AA61+AD61+AG61+AJ61+AM61+AP61+AS61)-(V61+Y61+AE61+AH61+AK61+AN61+AQ61+AT61+AZ61))</f>
        <v>0</v>
      </c>
      <c r="BL61" s="9">
        <f>IF(BJ61&gt;=100%,0,(S61+V61+Y61+AB61+AE61+AH61+AK61+AN61+AQ61+AT61)-(W61+Z61+AF61+AI61+AL61+AO61+AR61+AU61+BA61))</f>
        <v>1392413</v>
      </c>
      <c r="BM61" s="10">
        <f t="shared" si="41"/>
        <v>0.9713016124394039</v>
      </c>
      <c r="BN61" s="10">
        <f t="shared" si="41"/>
        <v>0.09698275862068965</v>
      </c>
      <c r="BO61" s="11">
        <f t="shared" si="42"/>
        <v>49000</v>
      </c>
      <c r="BP61" s="11">
        <f t="shared" si="42"/>
        <v>2933000</v>
      </c>
      <c r="BQ61" s="12">
        <f t="shared" si="76"/>
        <v>0</v>
      </c>
      <c r="BR61" s="12">
        <f t="shared" si="77"/>
        <v>1343413</v>
      </c>
      <c r="BT61" s="14">
        <f t="shared" si="78"/>
        <v>94736.84210526316</v>
      </c>
      <c r="BU61" s="14">
        <f t="shared" si="79"/>
        <v>66666.66666666667</v>
      </c>
      <c r="BV61" s="15">
        <f t="shared" si="80"/>
        <v>142105.26315789475</v>
      </c>
      <c r="BW61" s="244">
        <f t="shared" si="81"/>
        <v>120000</v>
      </c>
      <c r="BX61" s="209">
        <v>0.029</v>
      </c>
      <c r="BY61" s="121">
        <f aca="true" t="shared" si="88" ref="BY61:BY103">IF(AW61&lt;AX61,AW61*BX61*0.4,AX61*BX61*0.4)</f>
        <v>19805.9908</v>
      </c>
      <c r="BZ61" s="216"/>
      <c r="CA61" s="219">
        <v>49500</v>
      </c>
      <c r="CB61" s="218"/>
      <c r="CC61" s="210"/>
      <c r="CD61" s="211"/>
      <c r="CE61" s="210"/>
      <c r="CF61" s="210"/>
      <c r="CG61" s="210"/>
      <c r="CH61" s="212" t="s">
        <v>185</v>
      </c>
      <c r="CI61" s="266" t="s">
        <v>52</v>
      </c>
      <c r="CJ61" s="92">
        <f>($CG61+$CA61+$AZ61+$AT61+$AQ61+$AN61+$AK61+$AH61+$AE61+$Y61+$V61)/$AV61</f>
        <v>1.1350265229602043</v>
      </c>
      <c r="CK61" s="4">
        <f>($CG61+$CA61+$AZ61+$AT61+$AQ61+$AN61+$AK61+$AH61+$AE61+$Y61+$V61)/$AW61</f>
        <v>1.0002928406893938</v>
      </c>
      <c r="CL61" s="4"/>
      <c r="CM61" s="198">
        <f aca="true" t="shared" si="89" ref="CM61:CM92">CA61+CG61</f>
        <v>49500</v>
      </c>
      <c r="CN61" s="198"/>
      <c r="CO61" s="198">
        <f aca="true" t="shared" si="90" ref="CO61:CO92">R61+AA61</f>
        <v>0</v>
      </c>
      <c r="CP61" s="198">
        <f>AZ61+CM61</f>
        <v>589500</v>
      </c>
      <c r="CQ61" s="201"/>
      <c r="CR61" s="74"/>
      <c r="CS61" s="74"/>
      <c r="CT61" s="74">
        <f t="shared" si="86"/>
        <v>1280559.75</v>
      </c>
      <c r="CU61" s="202">
        <v>0.27</v>
      </c>
      <c r="CV61" s="74">
        <f t="shared" si="82"/>
        <v>345751.1325</v>
      </c>
      <c r="CW61" s="74">
        <f aca="true" t="shared" si="91" ref="CW61:CW103">S61*0.75</f>
        <v>405000</v>
      </c>
      <c r="CX61" s="74">
        <f t="shared" si="87"/>
        <v>1.1346942383172043</v>
      </c>
      <c r="CY61" s="74"/>
      <c r="CZ61" s="74"/>
    </row>
    <row r="62" spans="1:98" ht="7.5" customHeight="1" thickBot="1">
      <c r="A62" s="150"/>
      <c r="B62" s="86"/>
      <c r="C62" s="86"/>
      <c r="D62" s="86"/>
      <c r="E62" s="86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34"/>
      <c r="BC62" s="34"/>
      <c r="BD62" s="34"/>
      <c r="BE62" s="34"/>
      <c r="BF62" s="34"/>
      <c r="BI62" s="6"/>
      <c r="BJ62" s="6"/>
      <c r="BK62" s="87"/>
      <c r="BL62" s="87"/>
      <c r="BM62" s="38"/>
      <c r="BN62" s="38"/>
      <c r="BQ62" s="87"/>
      <c r="BR62" s="87"/>
      <c r="BT62" s="43"/>
      <c r="BU62" s="43"/>
      <c r="BV62" s="43"/>
      <c r="BW62" s="43"/>
      <c r="BX62" s="13"/>
      <c r="BY62" s="13">
        <f t="shared" si="88"/>
        <v>0</v>
      </c>
      <c r="BZ62" s="13"/>
      <c r="CJ62" s="6"/>
      <c r="CK62" s="6"/>
      <c r="CL62" s="6"/>
      <c r="CT62" s="13">
        <f t="shared" si="86"/>
        <v>0</v>
      </c>
    </row>
    <row r="63" spans="1:104" ht="30.75" customHeight="1">
      <c r="A63" s="241">
        <v>15060233</v>
      </c>
      <c r="B63" s="242" t="s">
        <v>42</v>
      </c>
      <c r="C63" s="242" t="s">
        <v>43</v>
      </c>
      <c r="D63" s="242" t="s">
        <v>115</v>
      </c>
      <c r="E63" s="242" t="s">
        <v>116</v>
      </c>
      <c r="F63" s="67">
        <v>6254782</v>
      </c>
      <c r="G63" s="67">
        <v>0</v>
      </c>
      <c r="H63" s="67">
        <v>19</v>
      </c>
      <c r="I63" s="67">
        <v>4</v>
      </c>
      <c r="J63" s="67">
        <v>4</v>
      </c>
      <c r="K63" s="67">
        <v>7</v>
      </c>
      <c r="L63" s="67">
        <v>3</v>
      </c>
      <c r="M63" s="67">
        <v>1</v>
      </c>
      <c r="N63" s="67">
        <v>6</v>
      </c>
      <c r="O63" s="67">
        <v>6.75</v>
      </c>
      <c r="P63" s="67">
        <v>4.8</v>
      </c>
      <c r="Q63" s="67">
        <v>6</v>
      </c>
      <c r="R63" s="19">
        <v>675000</v>
      </c>
      <c r="S63" s="19">
        <v>1080000</v>
      </c>
      <c r="T63" s="19">
        <v>976050</v>
      </c>
      <c r="U63" s="19">
        <v>0</v>
      </c>
      <c r="V63" s="19">
        <v>0</v>
      </c>
      <c r="W63" s="19">
        <v>0</v>
      </c>
      <c r="X63" s="19">
        <v>21250</v>
      </c>
      <c r="Y63" s="19">
        <v>0</v>
      </c>
      <c r="Z63" s="19">
        <v>0</v>
      </c>
      <c r="AA63" s="19">
        <v>275208</v>
      </c>
      <c r="AB63" s="19">
        <v>0</v>
      </c>
      <c r="AC63" s="19">
        <v>300000</v>
      </c>
      <c r="AD63" s="19">
        <v>306989</v>
      </c>
      <c r="AE63" s="19">
        <v>100000</v>
      </c>
      <c r="AF63" s="19">
        <v>80000</v>
      </c>
      <c r="AG63" s="19">
        <v>0</v>
      </c>
      <c r="AH63" s="19">
        <v>0</v>
      </c>
      <c r="AI63" s="19">
        <v>0</v>
      </c>
      <c r="AJ63" s="19">
        <v>890065</v>
      </c>
      <c r="AK63" s="19">
        <v>540000</v>
      </c>
      <c r="AL63" s="19">
        <v>690000</v>
      </c>
      <c r="AM63" s="19">
        <v>0</v>
      </c>
      <c r="AN63" s="19">
        <v>0</v>
      </c>
      <c r="AO63" s="19">
        <v>0</v>
      </c>
      <c r="AP63" s="19">
        <v>0</v>
      </c>
      <c r="AQ63" s="19">
        <v>0</v>
      </c>
      <c r="AR63" s="19">
        <v>0</v>
      </c>
      <c r="AS63" s="19">
        <v>26000</v>
      </c>
      <c r="AT63" s="19">
        <v>10000</v>
      </c>
      <c r="AU63" s="19">
        <v>10000</v>
      </c>
      <c r="AV63" s="19">
        <v>2194512</v>
      </c>
      <c r="AW63" s="51">
        <v>1730000</v>
      </c>
      <c r="AX63" s="51">
        <v>2056050</v>
      </c>
      <c r="AY63" s="3"/>
      <c r="AZ63" s="52">
        <v>1080000</v>
      </c>
      <c r="BA63" s="52"/>
      <c r="BB63" s="53">
        <f>AZ63/S63</f>
        <v>1</v>
      </c>
      <c r="BC63" s="53">
        <f>BA63/T63</f>
        <v>0</v>
      </c>
      <c r="BD63" s="46">
        <f>-1+AZ63/R63</f>
        <v>0.6000000000000001</v>
      </c>
      <c r="BE63" s="46">
        <f>-1+BA63/S63</f>
        <v>-1</v>
      </c>
      <c r="BF63" s="6"/>
      <c r="BG63" s="89">
        <f>V63+Y63+AE63+AH63+AK63+AN63+AQ63+AT63+AZ63</f>
        <v>1730000</v>
      </c>
      <c r="BH63" s="89">
        <f>W63+Z63+AF63+AI63+AL63+AO63+AR63+AU63+BA63</f>
        <v>780000</v>
      </c>
      <c r="BI63" s="44">
        <f>BG63/(R63+U63+X63+AA63+AD63+AG63+AJ63+AM63+AP63+AS63)</f>
        <v>0.7883301617853992</v>
      </c>
      <c r="BJ63" s="44">
        <f>BH63/(S63+V63+Y63+AB63+AE63+AH63+AK63+AN63+AQ63+AT63)</f>
        <v>0.4508670520231214</v>
      </c>
      <c r="BK63" s="70">
        <f>IF(BI63&gt;=100%,0,(R63+U63+X63+AA63+AD63+AG63+AJ63+AM63+AP63+AS63)-(V63+Y63+AE63+AH63+AK63+AN63+AQ63+AT63+AZ63))</f>
        <v>464512</v>
      </c>
      <c r="BL63" s="70">
        <f>IF(BJ63&gt;=100%,0,(S63+V63+Y63+AB63+AE63+AH63+AK63+AN63+AQ63+AT63)-(W63+Z63+AF63+AI63+AL63+AO63+AR63+AU63+BA63))</f>
        <v>950000</v>
      </c>
      <c r="BM63" s="10">
        <f t="shared" si="41"/>
        <v>1</v>
      </c>
      <c r="BN63" s="10">
        <f t="shared" si="41"/>
        <v>0.37936820602611804</v>
      </c>
      <c r="BO63" s="90">
        <f t="shared" si="42"/>
        <v>0</v>
      </c>
      <c r="BP63" s="90">
        <f t="shared" si="42"/>
        <v>1276050</v>
      </c>
      <c r="BQ63" s="70">
        <f>IF(AA63&gt;BK63,0,BK63-AA63)</f>
        <v>189304</v>
      </c>
      <c r="BR63" s="70">
        <f>IF(AB63&gt;BL63,0,BL63-AB63)</f>
        <v>950000</v>
      </c>
      <c r="BT63" s="41">
        <f>$AZ63/N63</f>
        <v>180000</v>
      </c>
      <c r="BU63" s="41">
        <f>$AZ63/O63</f>
        <v>160000</v>
      </c>
      <c r="BV63" s="72">
        <f>$AZ63/P63</f>
        <v>225000</v>
      </c>
      <c r="BW63" s="243">
        <f>$AZ63/Q63</f>
        <v>180000</v>
      </c>
      <c r="BX63" s="203">
        <v>0.174</v>
      </c>
      <c r="BY63" s="114">
        <f t="shared" si="88"/>
        <v>120408</v>
      </c>
      <c r="BZ63" s="215"/>
      <c r="CA63" s="195">
        <v>120000</v>
      </c>
      <c r="CB63" s="217"/>
      <c r="CC63" s="204"/>
      <c r="CD63" s="205"/>
      <c r="CE63" s="204"/>
      <c r="CF63" s="204"/>
      <c r="CG63" s="204"/>
      <c r="CH63" s="206" t="s">
        <v>118</v>
      </c>
      <c r="CI63" s="264" t="s">
        <v>47</v>
      </c>
      <c r="CJ63" s="106">
        <f>($CG63+$CA63+$AZ63+$AT63+$AQ63+$AN63+$AK63+$AH63+$AE63+$Y63+$V63)/$AV63</f>
        <v>0.8430120227184905</v>
      </c>
      <c r="CK63" s="53">
        <f>($CG63+$CA63+$AZ63+$AT63+$AQ63+$AN63+$AK63+$AH63+$AE63+$Y63+$V63)/$AW63</f>
        <v>1.069364161849711</v>
      </c>
      <c r="CL63" s="53"/>
      <c r="CM63" s="204">
        <f t="shared" si="89"/>
        <v>120000</v>
      </c>
      <c r="CN63" s="204"/>
      <c r="CO63" s="204">
        <f t="shared" si="90"/>
        <v>950208</v>
      </c>
      <c r="CP63" s="204">
        <f>AZ63+CM63</f>
        <v>1200000</v>
      </c>
      <c r="CQ63" s="207">
        <f aca="true" t="shared" si="92" ref="CQ63:CQ92">-1+CP63/CO63</f>
        <v>0.26288139017983436</v>
      </c>
      <c r="CR63" s="114"/>
      <c r="CS63" s="114">
        <f>3000*H63*12</f>
        <v>684000</v>
      </c>
      <c r="CT63" s="114">
        <f t="shared" si="86"/>
        <v>1297500</v>
      </c>
      <c r="CU63" s="208">
        <v>0.365</v>
      </c>
      <c r="CV63" s="114">
        <f aca="true" t="shared" si="93" ref="CV63:CV72">IF(CT63*CU63&lt;T63,CT63*CU63,T63)</f>
        <v>473587.5</v>
      </c>
      <c r="CW63" s="114">
        <f t="shared" si="91"/>
        <v>810000</v>
      </c>
      <c r="CX63" s="114">
        <f t="shared" si="87"/>
        <v>0.7883301617853992</v>
      </c>
      <c r="CY63" s="114"/>
      <c r="CZ63" s="114"/>
    </row>
    <row r="64" spans="1:104" ht="30.75" customHeight="1">
      <c r="A64" s="251">
        <v>47224444</v>
      </c>
      <c r="B64" s="252" t="s">
        <v>104</v>
      </c>
      <c r="C64" s="252" t="s">
        <v>43</v>
      </c>
      <c r="D64" s="252" t="s">
        <v>115</v>
      </c>
      <c r="E64" s="252" t="s">
        <v>117</v>
      </c>
      <c r="F64" s="156">
        <v>5310191</v>
      </c>
      <c r="G64" s="156"/>
      <c r="H64" s="156">
        <v>18</v>
      </c>
      <c r="I64" s="156">
        <v>0</v>
      </c>
      <c r="J64" s="156">
        <v>13</v>
      </c>
      <c r="K64" s="156">
        <v>4</v>
      </c>
      <c r="L64" s="156">
        <v>1</v>
      </c>
      <c r="M64" s="156">
        <v>0</v>
      </c>
      <c r="N64" s="156"/>
      <c r="O64" s="156">
        <v>1</v>
      </c>
      <c r="P64" s="156"/>
      <c r="Q64" s="156">
        <v>0.8</v>
      </c>
      <c r="R64" s="157"/>
      <c r="S64" s="157"/>
      <c r="T64" s="157">
        <v>240000</v>
      </c>
      <c r="U64" s="157"/>
      <c r="V64" s="157"/>
      <c r="W64" s="157">
        <v>0</v>
      </c>
      <c r="X64" s="157"/>
      <c r="Y64" s="157"/>
      <c r="Z64" s="157">
        <v>0</v>
      </c>
      <c r="AA64" s="157"/>
      <c r="AB64" s="157"/>
      <c r="AC64" s="157">
        <v>50000</v>
      </c>
      <c r="AD64" s="157"/>
      <c r="AE64" s="157"/>
      <c r="AF64" s="157">
        <v>0</v>
      </c>
      <c r="AG64" s="157"/>
      <c r="AH64" s="157"/>
      <c r="AI64" s="157">
        <v>0</v>
      </c>
      <c r="AJ64" s="157"/>
      <c r="AK64" s="157"/>
      <c r="AL64" s="157">
        <v>60000</v>
      </c>
      <c r="AM64" s="157"/>
      <c r="AN64" s="157"/>
      <c r="AO64" s="157">
        <v>0</v>
      </c>
      <c r="AP64" s="157"/>
      <c r="AQ64" s="157"/>
      <c r="AR64" s="157">
        <v>0</v>
      </c>
      <c r="AS64" s="157"/>
      <c r="AT64" s="157"/>
      <c r="AU64" s="157">
        <v>0</v>
      </c>
      <c r="AV64" s="157"/>
      <c r="AW64" s="158"/>
      <c r="AX64" s="158">
        <v>350000</v>
      </c>
      <c r="AY64" s="3"/>
      <c r="AZ64" s="159"/>
      <c r="BA64" s="159"/>
      <c r="BB64" s="132"/>
      <c r="BC64" s="132"/>
      <c r="BD64" s="160"/>
      <c r="BE64" s="160"/>
      <c r="BF64" s="6"/>
      <c r="BG64" s="68"/>
      <c r="BH64" s="68"/>
      <c r="BI64" s="69"/>
      <c r="BJ64" s="69"/>
      <c r="BK64" s="9"/>
      <c r="BL64" s="9"/>
      <c r="BM64" s="10"/>
      <c r="BN64" s="10"/>
      <c r="BO64" s="161"/>
      <c r="BP64" s="161"/>
      <c r="BQ64" s="9"/>
      <c r="BR64" s="9"/>
      <c r="BT64" s="162"/>
      <c r="BU64" s="162"/>
      <c r="BV64" s="163"/>
      <c r="BW64" s="253"/>
      <c r="BX64" s="223">
        <v>0.174</v>
      </c>
      <c r="BY64" s="74">
        <f>AX64*BX64*0.4</f>
        <v>24360</v>
      </c>
      <c r="BZ64" s="224"/>
      <c r="CA64" s="226">
        <v>24000</v>
      </c>
      <c r="CB64" s="225"/>
      <c r="CC64" s="198"/>
      <c r="CD64" s="199"/>
      <c r="CE64" s="198"/>
      <c r="CF64" s="198"/>
      <c r="CG64" s="198"/>
      <c r="CH64" s="200" t="s">
        <v>118</v>
      </c>
      <c r="CI64" s="265" t="s">
        <v>47</v>
      </c>
      <c r="CJ64" s="92"/>
      <c r="CK64" s="4"/>
      <c r="CL64" s="4"/>
      <c r="CM64" s="198"/>
      <c r="CN64" s="198"/>
      <c r="CO64" s="198"/>
      <c r="CP64" s="198"/>
      <c r="CQ64" s="201"/>
      <c r="CR64" s="74"/>
      <c r="CS64" s="74">
        <f aca="true" t="shared" si="94" ref="CS64:CS72">3000*H64*12</f>
        <v>648000</v>
      </c>
      <c r="CT64" s="74">
        <f t="shared" si="86"/>
        <v>0</v>
      </c>
      <c r="CU64" s="202">
        <v>0.365</v>
      </c>
      <c r="CV64" s="74">
        <f t="shared" si="93"/>
        <v>0</v>
      </c>
      <c r="CW64" s="74">
        <f t="shared" si="91"/>
        <v>0</v>
      </c>
      <c r="CX64" s="74" t="e">
        <f t="shared" si="87"/>
        <v>#DIV/0!</v>
      </c>
      <c r="CY64" s="74"/>
      <c r="CZ64" s="74"/>
    </row>
    <row r="65" spans="1:104" ht="30.75" customHeight="1">
      <c r="A65" s="149">
        <v>15060306</v>
      </c>
      <c r="B65" s="49" t="s">
        <v>64</v>
      </c>
      <c r="C65" s="49" t="s">
        <v>43</v>
      </c>
      <c r="D65" s="252" t="s">
        <v>115</v>
      </c>
      <c r="E65" s="248" t="s">
        <v>283</v>
      </c>
      <c r="F65" s="156">
        <v>6019022</v>
      </c>
      <c r="G65" s="156">
        <v>0</v>
      </c>
      <c r="H65" s="156">
        <v>12</v>
      </c>
      <c r="I65" s="156">
        <v>0</v>
      </c>
      <c r="J65" s="156">
        <v>0</v>
      </c>
      <c r="K65" s="156">
        <v>0</v>
      </c>
      <c r="L65" s="156">
        <v>0</v>
      </c>
      <c r="M65" s="156">
        <v>0</v>
      </c>
      <c r="N65" s="156"/>
      <c r="O65" s="156">
        <v>1.9</v>
      </c>
      <c r="P65" s="156"/>
      <c r="Q65" s="156">
        <v>1.5</v>
      </c>
      <c r="R65" s="157">
        <v>0</v>
      </c>
      <c r="S65" s="157">
        <v>0</v>
      </c>
      <c r="T65" s="157">
        <v>300000</v>
      </c>
      <c r="U65" s="157">
        <v>0</v>
      </c>
      <c r="V65" s="157">
        <v>0</v>
      </c>
      <c r="W65" s="157">
        <v>0</v>
      </c>
      <c r="X65" s="157">
        <v>0</v>
      </c>
      <c r="Y65" s="157">
        <v>0</v>
      </c>
      <c r="Z65" s="157">
        <v>0</v>
      </c>
      <c r="AA65" s="157">
        <v>0</v>
      </c>
      <c r="AB65" s="157">
        <v>0</v>
      </c>
      <c r="AC65" s="157">
        <v>150000</v>
      </c>
      <c r="AD65" s="157">
        <v>0</v>
      </c>
      <c r="AE65" s="157">
        <v>50000</v>
      </c>
      <c r="AF65" s="157">
        <v>50000</v>
      </c>
      <c r="AG65" s="157">
        <v>0</v>
      </c>
      <c r="AH65" s="157">
        <v>0</v>
      </c>
      <c r="AI65" s="157">
        <v>0</v>
      </c>
      <c r="AJ65" s="157">
        <v>0</v>
      </c>
      <c r="AK65" s="157">
        <v>30000</v>
      </c>
      <c r="AL65" s="157">
        <v>70000</v>
      </c>
      <c r="AM65" s="157">
        <v>0</v>
      </c>
      <c r="AN65" s="157">
        <v>0</v>
      </c>
      <c r="AO65" s="157">
        <v>0</v>
      </c>
      <c r="AP65" s="157">
        <v>0</v>
      </c>
      <c r="AQ65" s="157">
        <v>0</v>
      </c>
      <c r="AR65" s="157">
        <v>0</v>
      </c>
      <c r="AS65" s="157">
        <v>0</v>
      </c>
      <c r="AT65" s="157">
        <v>10000</v>
      </c>
      <c r="AU65" s="157">
        <v>11729</v>
      </c>
      <c r="AV65" s="157">
        <v>0</v>
      </c>
      <c r="AW65" s="158">
        <v>90000</v>
      </c>
      <c r="AX65" s="158">
        <v>581729</v>
      </c>
      <c r="AY65" s="3"/>
      <c r="AZ65" s="159"/>
      <c r="BA65" s="159"/>
      <c r="BB65" s="132"/>
      <c r="BC65" s="132"/>
      <c r="BD65" s="160"/>
      <c r="BE65" s="160"/>
      <c r="BF65" s="6"/>
      <c r="BG65" s="68"/>
      <c r="BH65" s="68"/>
      <c r="BI65" s="69"/>
      <c r="BJ65" s="69"/>
      <c r="BK65" s="9"/>
      <c r="BL65" s="9"/>
      <c r="BM65" s="10"/>
      <c r="BN65" s="10"/>
      <c r="BO65" s="161"/>
      <c r="BP65" s="161"/>
      <c r="BQ65" s="9"/>
      <c r="BR65" s="9"/>
      <c r="BT65" s="162"/>
      <c r="BU65" s="162"/>
      <c r="BV65" s="163"/>
      <c r="BW65" s="253"/>
      <c r="BX65" s="223">
        <v>0.174</v>
      </c>
      <c r="BY65" s="74">
        <f t="shared" si="88"/>
        <v>6264</v>
      </c>
      <c r="BZ65" s="224"/>
      <c r="CA65" s="226">
        <v>6000</v>
      </c>
      <c r="CB65" s="225"/>
      <c r="CC65" s="198"/>
      <c r="CD65" s="199"/>
      <c r="CE65" s="198"/>
      <c r="CF65" s="198"/>
      <c r="CG65" s="198"/>
      <c r="CH65" s="200" t="s">
        <v>118</v>
      </c>
      <c r="CI65" s="265" t="s">
        <v>52</v>
      </c>
      <c r="CJ65" s="92"/>
      <c r="CK65" s="4"/>
      <c r="CL65" s="4"/>
      <c r="CM65" s="198"/>
      <c r="CN65" s="198"/>
      <c r="CO65" s="198"/>
      <c r="CP65" s="198"/>
      <c r="CQ65" s="201"/>
      <c r="CR65" s="74"/>
      <c r="CS65" s="74">
        <f t="shared" si="94"/>
        <v>432000</v>
      </c>
      <c r="CT65" s="74">
        <f t="shared" si="86"/>
        <v>67500</v>
      </c>
      <c r="CU65" s="202">
        <v>0.365</v>
      </c>
      <c r="CV65" s="74">
        <f t="shared" si="93"/>
        <v>24637.5</v>
      </c>
      <c r="CW65" s="74">
        <f t="shared" si="91"/>
        <v>0</v>
      </c>
      <c r="CX65" s="74" t="e">
        <f t="shared" si="87"/>
        <v>#DIV/0!</v>
      </c>
      <c r="CY65" s="74"/>
      <c r="CZ65" s="74"/>
    </row>
    <row r="66" spans="1:104" ht="30.75" customHeight="1">
      <c r="A66" s="149">
        <v>26304856</v>
      </c>
      <c r="B66" s="49" t="s">
        <v>48</v>
      </c>
      <c r="C66" s="49" t="s">
        <v>43</v>
      </c>
      <c r="D66" s="49" t="s">
        <v>115</v>
      </c>
      <c r="E66" s="49" t="s">
        <v>117</v>
      </c>
      <c r="F66" s="73">
        <v>6379403</v>
      </c>
      <c r="G66" s="73">
        <v>0</v>
      </c>
      <c r="H66" s="73">
        <v>45</v>
      </c>
      <c r="I66" s="73">
        <v>17</v>
      </c>
      <c r="J66" s="73">
        <v>20</v>
      </c>
      <c r="K66" s="73">
        <v>8</v>
      </c>
      <c r="L66" s="73">
        <v>0</v>
      </c>
      <c r="M66" s="73">
        <v>0</v>
      </c>
      <c r="N66" s="73">
        <v>1.4</v>
      </c>
      <c r="O66" s="73">
        <v>2</v>
      </c>
      <c r="P66" s="73">
        <v>1</v>
      </c>
      <c r="Q66" s="73">
        <v>1.5</v>
      </c>
      <c r="R66" s="2">
        <v>62000</v>
      </c>
      <c r="S66" s="2">
        <v>78000</v>
      </c>
      <c r="T66" s="2">
        <v>382060</v>
      </c>
      <c r="U66" s="2">
        <v>0</v>
      </c>
      <c r="V66" s="2">
        <v>0</v>
      </c>
      <c r="W66" s="2">
        <v>0</v>
      </c>
      <c r="X66" s="2">
        <v>159625</v>
      </c>
      <c r="Y66" s="2">
        <v>54000</v>
      </c>
      <c r="Z66" s="2">
        <v>0</v>
      </c>
      <c r="AA66" s="2">
        <v>96107</v>
      </c>
      <c r="AB66" s="2">
        <v>80275</v>
      </c>
      <c r="AC66" s="2">
        <v>80000</v>
      </c>
      <c r="AD66" s="2">
        <v>0</v>
      </c>
      <c r="AE66" s="2">
        <v>1000</v>
      </c>
      <c r="AF66" s="2">
        <v>1000</v>
      </c>
      <c r="AG66" s="2">
        <v>0</v>
      </c>
      <c r="AH66" s="2">
        <v>0</v>
      </c>
      <c r="AI66" s="2">
        <v>0</v>
      </c>
      <c r="AJ66" s="2">
        <v>114791</v>
      </c>
      <c r="AK66" s="2">
        <v>50000</v>
      </c>
      <c r="AL66" s="2">
        <v>65000</v>
      </c>
      <c r="AM66" s="2">
        <v>0</v>
      </c>
      <c r="AN66" s="2">
        <v>0</v>
      </c>
      <c r="AO66" s="2">
        <v>0</v>
      </c>
      <c r="AP66" s="2">
        <v>0</v>
      </c>
      <c r="AQ66" s="2">
        <v>0</v>
      </c>
      <c r="AR66" s="2">
        <v>0</v>
      </c>
      <c r="AS66" s="2">
        <v>0</v>
      </c>
      <c r="AT66" s="2">
        <v>0</v>
      </c>
      <c r="AU66" s="2">
        <v>17740</v>
      </c>
      <c r="AV66" s="2">
        <v>370523</v>
      </c>
      <c r="AW66" s="50">
        <v>263275</v>
      </c>
      <c r="AX66" s="50">
        <v>545800</v>
      </c>
      <c r="AY66" s="3"/>
      <c r="AZ66" s="48">
        <v>62000</v>
      </c>
      <c r="BA66" s="48"/>
      <c r="BB66" s="4">
        <f aca="true" t="shared" si="95" ref="BB66:BB72">AZ66/S66</f>
        <v>0.7948717948717948</v>
      </c>
      <c r="BC66" s="4">
        <f aca="true" t="shared" si="96" ref="BC66:BC72">BA66/T66</f>
        <v>0</v>
      </c>
      <c r="BD66" s="5">
        <f aca="true" t="shared" si="97" ref="BD66:BE71">-1+AZ66/R66</f>
        <v>0</v>
      </c>
      <c r="BE66" s="5">
        <f t="shared" si="97"/>
        <v>-1</v>
      </c>
      <c r="BF66" s="6"/>
      <c r="BG66" s="7">
        <f aca="true" t="shared" si="98" ref="BG66:BG72">V66+Y66+AE66+AH66+AK66+AN66+AQ66+AT66+AZ66</f>
        <v>167000</v>
      </c>
      <c r="BH66" s="7">
        <f aca="true" t="shared" si="99" ref="BH66:BH72">W66+Z66+AF66+AI66+AL66+AO66+AR66+AU66+BA66</f>
        <v>83740</v>
      </c>
      <c r="BI66" s="8">
        <f aca="true" t="shared" si="100" ref="BI66:BI72">BG66/(R66+U66+X66+AA66+AD66+AG66+AJ66+AM66+AP66+AS66)</f>
        <v>0.38610663479167584</v>
      </c>
      <c r="BJ66" s="8">
        <f aca="true" t="shared" si="101" ref="BJ66:BJ72">BH66/(S66+V66+Y66+AB66+AE66+AH66+AK66+AN66+AQ66+AT66)</f>
        <v>0.31807045864590255</v>
      </c>
      <c r="BK66" s="9">
        <f aca="true" t="shared" si="102" ref="BK66:BL72">IF(BI66&gt;=100%,0,(R66+U66+X66+AA66+AD66+AG66+AJ66+AM66+AP66+AS66)-(V66+Y66+AE66+AH66+AK66+AN66+AQ66+AT66+AZ66))</f>
        <v>265523</v>
      </c>
      <c r="BL66" s="9">
        <f t="shared" si="102"/>
        <v>179535</v>
      </c>
      <c r="BM66" s="10">
        <f t="shared" si="41"/>
        <v>0.6343177286107682</v>
      </c>
      <c r="BN66" s="10">
        <f t="shared" si="41"/>
        <v>0.1534261634298278</v>
      </c>
      <c r="BO66" s="11">
        <f t="shared" si="42"/>
        <v>96275</v>
      </c>
      <c r="BP66" s="11">
        <f t="shared" si="42"/>
        <v>462060</v>
      </c>
      <c r="BQ66" s="12">
        <f aca="true" t="shared" si="103" ref="BQ66:BR72">IF(AA66&gt;BK66,0,BK66-AA66)</f>
        <v>169416</v>
      </c>
      <c r="BR66" s="12">
        <f t="shared" si="103"/>
        <v>99260</v>
      </c>
      <c r="BT66" s="14">
        <f aca="true" t="shared" si="104" ref="BT66:BW72">$AZ66/N66</f>
        <v>44285.71428571429</v>
      </c>
      <c r="BU66" s="14">
        <f t="shared" si="104"/>
        <v>31000</v>
      </c>
      <c r="BV66" s="15">
        <f t="shared" si="104"/>
        <v>62000</v>
      </c>
      <c r="BW66" s="244">
        <f t="shared" si="104"/>
        <v>41333.333333333336</v>
      </c>
      <c r="BX66" s="223">
        <v>0.174</v>
      </c>
      <c r="BY66" s="74">
        <f t="shared" si="88"/>
        <v>18323.94</v>
      </c>
      <c r="BZ66" s="224"/>
      <c r="CA66" s="226">
        <v>18000</v>
      </c>
      <c r="CB66" s="225"/>
      <c r="CC66" s="198"/>
      <c r="CD66" s="199"/>
      <c r="CE66" s="198"/>
      <c r="CF66" s="198"/>
      <c r="CG66" s="198"/>
      <c r="CH66" s="200" t="s">
        <v>118</v>
      </c>
      <c r="CI66" s="265" t="s">
        <v>50</v>
      </c>
      <c r="CJ66" s="92">
        <f aca="true" t="shared" si="105" ref="CJ66:CJ72">($CG66+$CA66+$AZ66+$AT66+$AQ66+$AN66+$AK66+$AH66+$AE66+$Y66+$V66)/$AV66</f>
        <v>0.49929424084334845</v>
      </c>
      <c r="CK66" s="4">
        <f aca="true" t="shared" si="106" ref="CK66:CK72">($CG66+$CA66+$AZ66+$AT66+$AQ66+$AN66+$AK66+$AH66+$AE66+$Y66+$V66)/$AW66</f>
        <v>0.7026873041496534</v>
      </c>
      <c r="CL66" s="4"/>
      <c r="CM66" s="198">
        <f t="shared" si="89"/>
        <v>18000</v>
      </c>
      <c r="CN66" s="198"/>
      <c r="CO66" s="198">
        <f t="shared" si="90"/>
        <v>158107</v>
      </c>
      <c r="CP66" s="198">
        <f aca="true" t="shared" si="107" ref="CP66:CP72">AZ66+CM66</f>
        <v>80000</v>
      </c>
      <c r="CQ66" s="201">
        <f t="shared" si="92"/>
        <v>-0.49401354778725803</v>
      </c>
      <c r="CR66" s="74"/>
      <c r="CS66" s="74">
        <f t="shared" si="94"/>
        <v>1620000</v>
      </c>
      <c r="CT66" s="74">
        <f t="shared" si="86"/>
        <v>197456.25</v>
      </c>
      <c r="CU66" s="202">
        <v>0.365</v>
      </c>
      <c r="CV66" s="74">
        <f t="shared" si="93"/>
        <v>72071.53125</v>
      </c>
      <c r="CW66" s="74">
        <f t="shared" si="91"/>
        <v>58500</v>
      </c>
      <c r="CX66" s="74">
        <f t="shared" si="87"/>
        <v>0.7105496824758517</v>
      </c>
      <c r="CY66" s="74"/>
      <c r="CZ66" s="74"/>
    </row>
    <row r="67" spans="1:104" ht="24">
      <c r="A67" s="149">
        <v>44990260</v>
      </c>
      <c r="B67" s="49" t="s">
        <v>71</v>
      </c>
      <c r="C67" s="49" t="s">
        <v>43</v>
      </c>
      <c r="D67" s="49" t="s">
        <v>115</v>
      </c>
      <c r="E67" s="49" t="s">
        <v>119</v>
      </c>
      <c r="F67" s="73">
        <v>5595277</v>
      </c>
      <c r="G67" s="73">
        <v>0</v>
      </c>
      <c r="H67" s="73">
        <v>16</v>
      </c>
      <c r="I67" s="73">
        <v>1</v>
      </c>
      <c r="J67" s="73">
        <v>4</v>
      </c>
      <c r="K67" s="73">
        <v>8</v>
      </c>
      <c r="L67" s="73">
        <v>0</v>
      </c>
      <c r="M67" s="73">
        <v>3</v>
      </c>
      <c r="N67" s="73">
        <v>5.2</v>
      </c>
      <c r="O67" s="73">
        <v>6.9</v>
      </c>
      <c r="P67" s="73">
        <v>4.3</v>
      </c>
      <c r="Q67" s="73">
        <v>6</v>
      </c>
      <c r="R67" s="2">
        <v>887000</v>
      </c>
      <c r="S67" s="2">
        <v>981700</v>
      </c>
      <c r="T67" s="2">
        <v>1461000</v>
      </c>
      <c r="U67" s="2">
        <v>0</v>
      </c>
      <c r="V67" s="2">
        <v>0</v>
      </c>
      <c r="W67" s="2">
        <v>0</v>
      </c>
      <c r="X67" s="91">
        <v>0</v>
      </c>
      <c r="Y67" s="2">
        <v>0</v>
      </c>
      <c r="Z67" s="2">
        <v>0</v>
      </c>
      <c r="AA67" s="2">
        <v>165915</v>
      </c>
      <c r="AB67" s="2">
        <v>348000</v>
      </c>
      <c r="AC67" s="2">
        <v>350000</v>
      </c>
      <c r="AD67" s="2">
        <v>223137</v>
      </c>
      <c r="AE67" s="2">
        <v>305000</v>
      </c>
      <c r="AF67" s="2">
        <v>350000</v>
      </c>
      <c r="AG67" s="2">
        <v>0</v>
      </c>
      <c r="AH67" s="2">
        <v>0</v>
      </c>
      <c r="AI67" s="2">
        <v>0</v>
      </c>
      <c r="AJ67" s="2">
        <v>352942</v>
      </c>
      <c r="AK67" s="2">
        <v>610000</v>
      </c>
      <c r="AL67" s="2">
        <v>660000</v>
      </c>
      <c r="AM67" s="2">
        <v>0</v>
      </c>
      <c r="AN67" s="2">
        <v>0</v>
      </c>
      <c r="AO67" s="2">
        <v>0</v>
      </c>
      <c r="AP67" s="2">
        <v>0</v>
      </c>
      <c r="AQ67" s="2">
        <v>0</v>
      </c>
      <c r="AR67" s="2">
        <v>0</v>
      </c>
      <c r="AS67" s="2">
        <v>15301</v>
      </c>
      <c r="AT67" s="2">
        <v>101160</v>
      </c>
      <c r="AU67" s="2">
        <v>10000</v>
      </c>
      <c r="AV67" s="2">
        <v>1644295</v>
      </c>
      <c r="AW67" s="50">
        <v>2446060</v>
      </c>
      <c r="AX67" s="50">
        <v>2831000</v>
      </c>
      <c r="AY67" s="3"/>
      <c r="AZ67" s="48">
        <v>609700</v>
      </c>
      <c r="BA67" s="48"/>
      <c r="BB67" s="4">
        <f t="shared" si="95"/>
        <v>0.6210654986248345</v>
      </c>
      <c r="BC67" s="4">
        <f t="shared" si="96"/>
        <v>0</v>
      </c>
      <c r="BD67" s="5">
        <f t="shared" si="97"/>
        <v>-0.3126268320180383</v>
      </c>
      <c r="BE67" s="5">
        <f t="shared" si="97"/>
        <v>-1</v>
      </c>
      <c r="BF67" s="6"/>
      <c r="BG67" s="7">
        <f t="shared" si="98"/>
        <v>1625860</v>
      </c>
      <c r="BH67" s="7">
        <f t="shared" si="99"/>
        <v>1020000</v>
      </c>
      <c r="BI67" s="8">
        <f t="shared" si="100"/>
        <v>0.988788508144828</v>
      </c>
      <c r="BJ67" s="8">
        <f t="shared" si="101"/>
        <v>0.43480855635033633</v>
      </c>
      <c r="BK67" s="9">
        <f t="shared" si="102"/>
        <v>18435</v>
      </c>
      <c r="BL67" s="9">
        <f t="shared" si="102"/>
        <v>1325860</v>
      </c>
      <c r="BM67" s="10">
        <f t="shared" si="41"/>
        <v>0.6646852489309338</v>
      </c>
      <c r="BN67" s="10">
        <f t="shared" si="41"/>
        <v>0.3602967149417167</v>
      </c>
      <c r="BO67" s="11">
        <f t="shared" si="42"/>
        <v>820200</v>
      </c>
      <c r="BP67" s="11">
        <f t="shared" si="42"/>
        <v>1811000</v>
      </c>
      <c r="BQ67" s="12">
        <f t="shared" si="103"/>
        <v>0</v>
      </c>
      <c r="BR67" s="12">
        <f t="shared" si="103"/>
        <v>977860</v>
      </c>
      <c r="BT67" s="14">
        <f t="shared" si="104"/>
        <v>117250</v>
      </c>
      <c r="BU67" s="14">
        <f t="shared" si="104"/>
        <v>88362.31884057971</v>
      </c>
      <c r="BV67" s="15">
        <f t="shared" si="104"/>
        <v>141790.69767441862</v>
      </c>
      <c r="BW67" s="244">
        <f t="shared" si="104"/>
        <v>101616.66666666667</v>
      </c>
      <c r="BX67" s="223">
        <v>0.174</v>
      </c>
      <c r="BY67" s="74">
        <f t="shared" si="88"/>
        <v>170245.77599999998</v>
      </c>
      <c r="BZ67" s="224"/>
      <c r="CA67" s="226">
        <v>170000</v>
      </c>
      <c r="CB67" s="225"/>
      <c r="CC67" s="198"/>
      <c r="CD67" s="199"/>
      <c r="CE67" s="198"/>
      <c r="CF67" s="198"/>
      <c r="CG67" s="198"/>
      <c r="CH67" s="200" t="s">
        <v>118</v>
      </c>
      <c r="CI67" s="265" t="s">
        <v>47</v>
      </c>
      <c r="CJ67" s="92">
        <f t="shared" si="105"/>
        <v>1.09217628223646</v>
      </c>
      <c r="CK67" s="4">
        <f t="shared" si="106"/>
        <v>0.7341847706106964</v>
      </c>
      <c r="CL67" s="4"/>
      <c r="CM67" s="198">
        <f t="shared" si="89"/>
        <v>170000</v>
      </c>
      <c r="CN67" s="198"/>
      <c r="CO67" s="198">
        <f t="shared" si="90"/>
        <v>1052915</v>
      </c>
      <c r="CP67" s="198">
        <f t="shared" si="107"/>
        <v>779700</v>
      </c>
      <c r="CQ67" s="201">
        <f t="shared" si="92"/>
        <v>-0.2594843838296539</v>
      </c>
      <c r="CR67" s="74"/>
      <c r="CS67" s="74">
        <f t="shared" si="94"/>
        <v>576000</v>
      </c>
      <c r="CT67" s="74">
        <f t="shared" si="86"/>
        <v>1834545</v>
      </c>
      <c r="CU67" s="202">
        <v>0.365</v>
      </c>
      <c r="CV67" s="74">
        <f t="shared" si="93"/>
        <v>669608.9249999999</v>
      </c>
      <c r="CW67" s="74">
        <f t="shared" si="91"/>
        <v>736275</v>
      </c>
      <c r="CX67" s="74">
        <f t="shared" si="87"/>
        <v>1.4876041099681019</v>
      </c>
      <c r="CY67" s="74"/>
      <c r="CZ67" s="74"/>
    </row>
    <row r="68" spans="1:104" ht="24">
      <c r="A68" s="149">
        <v>45659028</v>
      </c>
      <c r="B68" s="49" t="s">
        <v>102</v>
      </c>
      <c r="C68" s="49" t="s">
        <v>43</v>
      </c>
      <c r="D68" s="49" t="s">
        <v>115</v>
      </c>
      <c r="E68" s="49" t="s">
        <v>117</v>
      </c>
      <c r="F68" s="73">
        <v>5078660</v>
      </c>
      <c r="G68" s="74"/>
      <c r="H68" s="73">
        <v>1</v>
      </c>
      <c r="I68" s="73">
        <v>0</v>
      </c>
      <c r="J68" s="73">
        <v>0</v>
      </c>
      <c r="K68" s="73">
        <v>0</v>
      </c>
      <c r="L68" s="73">
        <v>1</v>
      </c>
      <c r="M68" s="73">
        <v>0</v>
      </c>
      <c r="N68" s="73">
        <v>6</v>
      </c>
      <c r="O68" s="73">
        <v>4.7</v>
      </c>
      <c r="P68" s="73">
        <v>5</v>
      </c>
      <c r="Q68" s="73">
        <v>4.5</v>
      </c>
      <c r="R68" s="2">
        <v>602000</v>
      </c>
      <c r="S68" s="2">
        <v>75000</v>
      </c>
      <c r="T68" s="2">
        <v>557000</v>
      </c>
      <c r="U68" s="2">
        <v>0</v>
      </c>
      <c r="V68" s="2">
        <v>0</v>
      </c>
      <c r="W68" s="2">
        <v>0</v>
      </c>
      <c r="X68" s="2">
        <v>322588</v>
      </c>
      <c r="Y68" s="2">
        <v>184255</v>
      </c>
      <c r="Z68" s="2">
        <v>32400</v>
      </c>
      <c r="AA68" s="2">
        <v>127621</v>
      </c>
      <c r="AB68" s="2">
        <v>656635</v>
      </c>
      <c r="AC68" s="2">
        <v>133501</v>
      </c>
      <c r="AD68" s="2">
        <v>100000</v>
      </c>
      <c r="AE68" s="2">
        <v>150000</v>
      </c>
      <c r="AF68" s="2">
        <v>150000</v>
      </c>
      <c r="AG68" s="2">
        <v>0</v>
      </c>
      <c r="AH68" s="2">
        <v>0</v>
      </c>
      <c r="AI68" s="2">
        <v>0</v>
      </c>
      <c r="AJ68" s="2">
        <v>132000</v>
      </c>
      <c r="AK68" s="2">
        <v>132000</v>
      </c>
      <c r="AL68" s="2">
        <v>132000</v>
      </c>
      <c r="AM68" s="2">
        <v>0</v>
      </c>
      <c r="AN68" s="2">
        <v>0</v>
      </c>
      <c r="AO68" s="2">
        <v>0</v>
      </c>
      <c r="AP68" s="2">
        <v>0</v>
      </c>
      <c r="AQ68" s="2">
        <v>0</v>
      </c>
      <c r="AR68" s="2">
        <v>0</v>
      </c>
      <c r="AS68" s="2">
        <v>0</v>
      </c>
      <c r="AT68" s="2">
        <v>0</v>
      </c>
      <c r="AU68" s="2">
        <v>0</v>
      </c>
      <c r="AV68" s="2">
        <v>1284209</v>
      </c>
      <c r="AW68" s="50">
        <v>1197890</v>
      </c>
      <c r="AX68" s="50">
        <v>1004901</v>
      </c>
      <c r="AY68" s="3"/>
      <c r="AZ68" s="48">
        <v>0</v>
      </c>
      <c r="BA68" s="48"/>
      <c r="BB68" s="4">
        <f t="shared" si="95"/>
        <v>0</v>
      </c>
      <c r="BC68" s="4">
        <f t="shared" si="96"/>
        <v>0</v>
      </c>
      <c r="BD68" s="5">
        <f t="shared" si="97"/>
        <v>-1</v>
      </c>
      <c r="BE68" s="5">
        <f t="shared" si="97"/>
        <v>-1</v>
      </c>
      <c r="BF68" s="6"/>
      <c r="BG68" s="7">
        <f t="shared" si="98"/>
        <v>466255</v>
      </c>
      <c r="BH68" s="7">
        <f t="shared" si="99"/>
        <v>314400</v>
      </c>
      <c r="BI68" s="8">
        <f t="shared" si="100"/>
        <v>0.363067849547854</v>
      </c>
      <c r="BJ68" s="8">
        <f t="shared" si="101"/>
        <v>0.26246149479501457</v>
      </c>
      <c r="BK68" s="9">
        <f t="shared" si="102"/>
        <v>817954</v>
      </c>
      <c r="BL68" s="9">
        <f t="shared" si="102"/>
        <v>883490</v>
      </c>
      <c r="BM68" s="10">
        <f t="shared" si="41"/>
        <v>0.38923022982076816</v>
      </c>
      <c r="BN68" s="10">
        <f t="shared" si="41"/>
        <v>0.31286664059444663</v>
      </c>
      <c r="BO68" s="11">
        <f t="shared" si="42"/>
        <v>731635</v>
      </c>
      <c r="BP68" s="11">
        <f t="shared" si="42"/>
        <v>690501</v>
      </c>
      <c r="BQ68" s="12">
        <f t="shared" si="103"/>
        <v>690333</v>
      </c>
      <c r="BR68" s="12">
        <f t="shared" si="103"/>
        <v>226855</v>
      </c>
      <c r="BT68" s="14">
        <f t="shared" si="104"/>
        <v>0</v>
      </c>
      <c r="BU68" s="14">
        <f t="shared" si="104"/>
        <v>0</v>
      </c>
      <c r="BV68" s="15">
        <f t="shared" si="104"/>
        <v>0</v>
      </c>
      <c r="BW68" s="244">
        <f t="shared" si="104"/>
        <v>0</v>
      </c>
      <c r="BX68" s="223">
        <v>0.174</v>
      </c>
      <c r="BY68" s="74">
        <f t="shared" si="88"/>
        <v>69941.1096</v>
      </c>
      <c r="BZ68" s="224"/>
      <c r="CA68" s="226">
        <v>70000</v>
      </c>
      <c r="CB68" s="225"/>
      <c r="CC68" s="198"/>
      <c r="CD68" s="199"/>
      <c r="CE68" s="198"/>
      <c r="CF68" s="198"/>
      <c r="CG68" s="198"/>
      <c r="CH68" s="200" t="s">
        <v>118</v>
      </c>
      <c r="CI68" s="265" t="s">
        <v>52</v>
      </c>
      <c r="CJ68" s="92">
        <f t="shared" si="105"/>
        <v>0.4175761110535746</v>
      </c>
      <c r="CK68" s="4">
        <f t="shared" si="106"/>
        <v>0.44766631326749534</v>
      </c>
      <c r="CL68" s="4"/>
      <c r="CM68" s="198">
        <f t="shared" si="89"/>
        <v>70000</v>
      </c>
      <c r="CN68" s="198"/>
      <c r="CO68" s="198">
        <f t="shared" si="90"/>
        <v>729621</v>
      </c>
      <c r="CP68" s="198">
        <f t="shared" si="107"/>
        <v>70000</v>
      </c>
      <c r="CQ68" s="201">
        <f t="shared" si="92"/>
        <v>-0.9040597789811422</v>
      </c>
      <c r="CR68" s="74"/>
      <c r="CS68" s="74">
        <f t="shared" si="94"/>
        <v>36000</v>
      </c>
      <c r="CT68" s="74">
        <f t="shared" si="86"/>
        <v>1004901</v>
      </c>
      <c r="CU68" s="202">
        <v>0.365</v>
      </c>
      <c r="CV68" s="74">
        <f t="shared" si="93"/>
        <v>366788.865</v>
      </c>
      <c r="CW68" s="74">
        <f t="shared" si="91"/>
        <v>56250</v>
      </c>
      <c r="CX68" s="74">
        <f t="shared" si="87"/>
        <v>0.9327843053583957</v>
      </c>
      <c r="CY68" s="74"/>
      <c r="CZ68" s="74"/>
    </row>
    <row r="69" spans="1:104" ht="24">
      <c r="A69" s="149">
        <v>47224541</v>
      </c>
      <c r="B69" s="49" t="s">
        <v>120</v>
      </c>
      <c r="C69" s="49" t="s">
        <v>43</v>
      </c>
      <c r="D69" s="49" t="s">
        <v>115</v>
      </c>
      <c r="E69" s="49" t="s">
        <v>121</v>
      </c>
      <c r="F69" s="73">
        <v>4632272</v>
      </c>
      <c r="G69" s="74"/>
      <c r="H69" s="73">
        <v>16</v>
      </c>
      <c r="I69" s="73">
        <v>6</v>
      </c>
      <c r="J69" s="73">
        <v>5</v>
      </c>
      <c r="K69" s="73">
        <v>2</v>
      </c>
      <c r="L69" s="73">
        <v>0</v>
      </c>
      <c r="M69" s="73">
        <v>3</v>
      </c>
      <c r="N69" s="73">
        <v>4.8</v>
      </c>
      <c r="O69" s="73">
        <v>4.4</v>
      </c>
      <c r="P69" s="73">
        <v>4.5</v>
      </c>
      <c r="Q69" s="73">
        <v>4.3</v>
      </c>
      <c r="R69" s="2">
        <v>61800</v>
      </c>
      <c r="S69" s="2">
        <v>41800</v>
      </c>
      <c r="T69" s="2">
        <v>721195</v>
      </c>
      <c r="U69" s="2">
        <v>0</v>
      </c>
      <c r="V69" s="2">
        <v>0</v>
      </c>
      <c r="W69" s="2">
        <v>0</v>
      </c>
      <c r="X69" s="2">
        <v>0</v>
      </c>
      <c r="Y69" s="2">
        <v>0</v>
      </c>
      <c r="Z69" s="2">
        <v>0</v>
      </c>
      <c r="AA69" s="2">
        <v>61357</v>
      </c>
      <c r="AB69" s="2">
        <v>200000</v>
      </c>
      <c r="AC69" s="2">
        <v>200000</v>
      </c>
      <c r="AD69" s="2">
        <v>200000</v>
      </c>
      <c r="AE69" s="2">
        <v>200000</v>
      </c>
      <c r="AF69" s="2">
        <v>250000</v>
      </c>
      <c r="AG69" s="2">
        <v>0</v>
      </c>
      <c r="AH69" s="2">
        <v>0</v>
      </c>
      <c r="AI69" s="2">
        <v>0</v>
      </c>
      <c r="AJ69" s="2">
        <v>83247</v>
      </c>
      <c r="AK69" s="2">
        <v>168000</v>
      </c>
      <c r="AL69" s="2">
        <v>250000</v>
      </c>
      <c r="AM69" s="2">
        <v>0</v>
      </c>
      <c r="AN69" s="2">
        <v>0</v>
      </c>
      <c r="AO69" s="2">
        <v>0</v>
      </c>
      <c r="AP69" s="2">
        <v>0</v>
      </c>
      <c r="AQ69" s="2">
        <v>0</v>
      </c>
      <c r="AR69" s="2">
        <v>0</v>
      </c>
      <c r="AS69" s="2">
        <v>9102</v>
      </c>
      <c r="AT69" s="2">
        <v>0</v>
      </c>
      <c r="AU69" s="2">
        <v>5497</v>
      </c>
      <c r="AV69" s="2">
        <v>415506</v>
      </c>
      <c r="AW69" s="50">
        <v>609800</v>
      </c>
      <c r="AX69" s="50">
        <v>1426692</v>
      </c>
      <c r="AY69" s="3"/>
      <c r="AZ69" s="48">
        <v>418000</v>
      </c>
      <c r="BA69" s="48"/>
      <c r="BB69" s="4">
        <f t="shared" si="95"/>
        <v>10</v>
      </c>
      <c r="BC69" s="4">
        <f t="shared" si="96"/>
        <v>0</v>
      </c>
      <c r="BD69" s="5">
        <f t="shared" si="97"/>
        <v>5.763754045307444</v>
      </c>
      <c r="BE69" s="5">
        <f t="shared" si="97"/>
        <v>-1</v>
      </c>
      <c r="BF69" s="6"/>
      <c r="BG69" s="7">
        <f t="shared" si="98"/>
        <v>786000</v>
      </c>
      <c r="BH69" s="7">
        <f t="shared" si="99"/>
        <v>505497</v>
      </c>
      <c r="BI69" s="8">
        <f t="shared" si="100"/>
        <v>1.891669434376399</v>
      </c>
      <c r="BJ69" s="8">
        <f t="shared" si="101"/>
        <v>0.8289553952115448</v>
      </c>
      <c r="BK69" s="9">
        <f t="shared" si="102"/>
        <v>0</v>
      </c>
      <c r="BL69" s="9">
        <f t="shared" si="102"/>
        <v>104303</v>
      </c>
      <c r="BM69" s="10">
        <f t="shared" si="41"/>
        <v>1.2889471958019023</v>
      </c>
      <c r="BN69" s="10">
        <f t="shared" si="41"/>
        <v>0.3543140355451632</v>
      </c>
      <c r="BO69" s="11">
        <f t="shared" si="42"/>
        <v>0</v>
      </c>
      <c r="BP69" s="11">
        <f t="shared" si="42"/>
        <v>921195</v>
      </c>
      <c r="BQ69" s="12">
        <f t="shared" si="103"/>
        <v>0</v>
      </c>
      <c r="BR69" s="12">
        <f t="shared" si="103"/>
        <v>0</v>
      </c>
      <c r="BT69" s="14">
        <f t="shared" si="104"/>
        <v>87083.33333333334</v>
      </c>
      <c r="BU69" s="14">
        <f t="shared" si="104"/>
        <v>94999.99999999999</v>
      </c>
      <c r="BV69" s="15">
        <f t="shared" si="104"/>
        <v>92888.88888888889</v>
      </c>
      <c r="BW69" s="244">
        <f t="shared" si="104"/>
        <v>97209.3023255814</v>
      </c>
      <c r="BX69" s="223">
        <v>0.174</v>
      </c>
      <c r="BY69" s="74">
        <f t="shared" si="88"/>
        <v>42442.08</v>
      </c>
      <c r="BZ69" s="224"/>
      <c r="CA69" s="226">
        <v>42000</v>
      </c>
      <c r="CB69" s="225"/>
      <c r="CC69" s="198"/>
      <c r="CD69" s="199"/>
      <c r="CE69" s="198"/>
      <c r="CF69" s="198"/>
      <c r="CG69" s="198"/>
      <c r="CH69" s="200" t="s">
        <v>118</v>
      </c>
      <c r="CI69" s="265" t="s">
        <v>47</v>
      </c>
      <c r="CJ69" s="92">
        <f t="shared" si="105"/>
        <v>1.9927510072056722</v>
      </c>
      <c r="CK69" s="4">
        <f t="shared" si="106"/>
        <v>1.3578222367989505</v>
      </c>
      <c r="CL69" s="4"/>
      <c r="CM69" s="198">
        <f t="shared" si="89"/>
        <v>42000</v>
      </c>
      <c r="CN69" s="198"/>
      <c r="CO69" s="198">
        <f t="shared" si="90"/>
        <v>123157</v>
      </c>
      <c r="CP69" s="198">
        <f t="shared" si="107"/>
        <v>460000</v>
      </c>
      <c r="CQ69" s="201">
        <f t="shared" si="92"/>
        <v>2.7350698701657232</v>
      </c>
      <c r="CR69" s="74"/>
      <c r="CS69" s="74">
        <f t="shared" si="94"/>
        <v>576000</v>
      </c>
      <c r="CT69" s="74">
        <f t="shared" si="86"/>
        <v>457350</v>
      </c>
      <c r="CU69" s="202">
        <v>0.365</v>
      </c>
      <c r="CV69" s="74">
        <f t="shared" si="93"/>
        <v>166932.75</v>
      </c>
      <c r="CW69" s="74">
        <f t="shared" si="91"/>
        <v>31350</v>
      </c>
      <c r="CX69" s="74">
        <f t="shared" si="87"/>
        <v>1.467608169316448</v>
      </c>
      <c r="CY69" s="74"/>
      <c r="CZ69" s="74"/>
    </row>
    <row r="70" spans="1:104" ht="24">
      <c r="A70" s="149">
        <v>62797549</v>
      </c>
      <c r="B70" s="49" t="s">
        <v>122</v>
      </c>
      <c r="C70" s="49" t="s">
        <v>43</v>
      </c>
      <c r="D70" s="49" t="s">
        <v>115</v>
      </c>
      <c r="E70" s="49" t="s">
        <v>117</v>
      </c>
      <c r="F70" s="73">
        <v>4753623</v>
      </c>
      <c r="G70" s="74"/>
      <c r="H70" s="73">
        <v>40</v>
      </c>
      <c r="I70" s="73">
        <v>4</v>
      </c>
      <c r="J70" s="73">
        <v>5</v>
      </c>
      <c r="K70" s="73">
        <v>8</v>
      </c>
      <c r="L70" s="73">
        <v>23</v>
      </c>
      <c r="M70" s="73">
        <v>0</v>
      </c>
      <c r="N70" s="73">
        <v>33.1</v>
      </c>
      <c r="O70" s="73">
        <v>44.1</v>
      </c>
      <c r="P70" s="73">
        <v>12.6</v>
      </c>
      <c r="Q70" s="73">
        <v>13.6</v>
      </c>
      <c r="R70" s="2">
        <v>368000</v>
      </c>
      <c r="S70" s="2">
        <v>550000</v>
      </c>
      <c r="T70" s="2">
        <v>953856</v>
      </c>
      <c r="U70" s="2">
        <v>0</v>
      </c>
      <c r="V70" s="2">
        <v>0</v>
      </c>
      <c r="W70" s="2">
        <v>0</v>
      </c>
      <c r="X70" s="2">
        <v>757998</v>
      </c>
      <c r="Y70" s="2">
        <v>1140000</v>
      </c>
      <c r="Z70" s="2">
        <v>1300000</v>
      </c>
      <c r="AA70" s="2">
        <v>196075</v>
      </c>
      <c r="AB70" s="2">
        <v>187253</v>
      </c>
      <c r="AC70" s="2">
        <v>180000</v>
      </c>
      <c r="AD70" s="2">
        <v>131165</v>
      </c>
      <c r="AE70" s="2">
        <v>100000</v>
      </c>
      <c r="AF70" s="2">
        <v>100000</v>
      </c>
      <c r="AG70" s="2">
        <v>0</v>
      </c>
      <c r="AH70" s="2">
        <v>0</v>
      </c>
      <c r="AI70" s="2">
        <v>0</v>
      </c>
      <c r="AJ70" s="2">
        <v>214618</v>
      </c>
      <c r="AK70" s="2">
        <v>260000</v>
      </c>
      <c r="AL70" s="2">
        <v>300000</v>
      </c>
      <c r="AM70" s="2">
        <v>0</v>
      </c>
      <c r="AN70" s="2">
        <v>0</v>
      </c>
      <c r="AO70" s="2">
        <v>0</v>
      </c>
      <c r="AP70" s="2">
        <v>0</v>
      </c>
      <c r="AQ70" s="2">
        <v>0</v>
      </c>
      <c r="AR70" s="2">
        <v>0</v>
      </c>
      <c r="AS70" s="2">
        <v>15013</v>
      </c>
      <c r="AT70" s="2">
        <v>247747</v>
      </c>
      <c r="AU70" s="2">
        <v>6144</v>
      </c>
      <c r="AV70" s="2">
        <v>1682869</v>
      </c>
      <c r="AW70" s="50">
        <v>2485000</v>
      </c>
      <c r="AX70" s="50">
        <v>2840000</v>
      </c>
      <c r="AY70" s="3"/>
      <c r="AZ70" s="48">
        <v>550000</v>
      </c>
      <c r="BA70" s="48"/>
      <c r="BB70" s="4">
        <f t="shared" si="95"/>
        <v>1</v>
      </c>
      <c r="BC70" s="4">
        <f t="shared" si="96"/>
        <v>0</v>
      </c>
      <c r="BD70" s="5">
        <f t="shared" si="97"/>
        <v>0.49456521739130443</v>
      </c>
      <c r="BE70" s="5">
        <f t="shared" si="97"/>
        <v>-1</v>
      </c>
      <c r="BF70" s="6"/>
      <c r="BG70" s="7">
        <f t="shared" si="98"/>
        <v>2297747</v>
      </c>
      <c r="BH70" s="7">
        <f t="shared" si="99"/>
        <v>1706144</v>
      </c>
      <c r="BI70" s="8">
        <f t="shared" si="100"/>
        <v>1.365374844981992</v>
      </c>
      <c r="BJ70" s="8">
        <f t="shared" si="101"/>
        <v>0.6865770623742454</v>
      </c>
      <c r="BK70" s="9">
        <f t="shared" si="102"/>
        <v>0</v>
      </c>
      <c r="BL70" s="9">
        <f t="shared" si="102"/>
        <v>778856</v>
      </c>
      <c r="BM70" s="10">
        <f t="shared" si="41"/>
        <v>0.9246466800804829</v>
      </c>
      <c r="BN70" s="10">
        <f t="shared" si="41"/>
        <v>0.6007549295774648</v>
      </c>
      <c r="BO70" s="11">
        <f t="shared" si="42"/>
        <v>187253</v>
      </c>
      <c r="BP70" s="11">
        <f t="shared" si="42"/>
        <v>1133856</v>
      </c>
      <c r="BQ70" s="12">
        <f t="shared" si="103"/>
        <v>0</v>
      </c>
      <c r="BR70" s="12">
        <f t="shared" si="103"/>
        <v>591603</v>
      </c>
      <c r="BT70" s="14">
        <f t="shared" si="104"/>
        <v>16616.31419939577</v>
      </c>
      <c r="BU70" s="14">
        <f t="shared" si="104"/>
        <v>12471.655328798186</v>
      </c>
      <c r="BV70" s="15">
        <f t="shared" si="104"/>
        <v>43650.793650793654</v>
      </c>
      <c r="BW70" s="244">
        <f t="shared" si="104"/>
        <v>40441.17647058824</v>
      </c>
      <c r="BX70" s="223">
        <v>0.174</v>
      </c>
      <c r="BY70" s="74">
        <f t="shared" si="88"/>
        <v>172956</v>
      </c>
      <c r="BZ70" s="224"/>
      <c r="CA70" s="226">
        <v>172000</v>
      </c>
      <c r="CB70" s="225"/>
      <c r="CC70" s="198"/>
      <c r="CD70" s="199"/>
      <c r="CE70" s="198"/>
      <c r="CF70" s="198"/>
      <c r="CG70" s="198"/>
      <c r="CH70" s="200" t="s">
        <v>118</v>
      </c>
      <c r="CI70" s="265" t="s">
        <v>52</v>
      </c>
      <c r="CJ70" s="92">
        <f t="shared" si="105"/>
        <v>1.4675812555819854</v>
      </c>
      <c r="CK70" s="4">
        <f t="shared" si="106"/>
        <v>0.9938619718309859</v>
      </c>
      <c r="CL70" s="4"/>
      <c r="CM70" s="198">
        <f t="shared" si="89"/>
        <v>172000</v>
      </c>
      <c r="CN70" s="198"/>
      <c r="CO70" s="198">
        <f t="shared" si="90"/>
        <v>564075</v>
      </c>
      <c r="CP70" s="198">
        <f t="shared" si="107"/>
        <v>722000</v>
      </c>
      <c r="CQ70" s="201">
        <f t="shared" si="92"/>
        <v>0.27997163497761823</v>
      </c>
      <c r="CR70" s="74"/>
      <c r="CS70" s="74">
        <f t="shared" si="94"/>
        <v>1440000</v>
      </c>
      <c r="CT70" s="74">
        <f t="shared" si="86"/>
        <v>1863750</v>
      </c>
      <c r="CU70" s="202">
        <v>0.365</v>
      </c>
      <c r="CV70" s="74">
        <f t="shared" si="93"/>
        <v>680268.75</v>
      </c>
      <c r="CW70" s="74">
        <f t="shared" si="91"/>
        <v>412500</v>
      </c>
      <c r="CX70" s="74">
        <f t="shared" si="87"/>
        <v>1.4766449438429254</v>
      </c>
      <c r="CY70" s="74"/>
      <c r="CZ70" s="74"/>
    </row>
    <row r="71" spans="1:104" ht="24">
      <c r="A71" s="149">
        <v>70188467</v>
      </c>
      <c r="B71" s="49" t="s">
        <v>54</v>
      </c>
      <c r="C71" s="49" t="s">
        <v>55</v>
      </c>
      <c r="D71" s="49" t="s">
        <v>115</v>
      </c>
      <c r="E71" s="49" t="s">
        <v>117</v>
      </c>
      <c r="F71" s="73">
        <v>6338017</v>
      </c>
      <c r="G71" s="73">
        <v>0</v>
      </c>
      <c r="H71" s="73">
        <v>2</v>
      </c>
      <c r="I71" s="73">
        <v>0</v>
      </c>
      <c r="J71" s="73">
        <v>0</v>
      </c>
      <c r="K71" s="73">
        <v>0</v>
      </c>
      <c r="L71" s="73">
        <v>0</v>
      </c>
      <c r="M71" s="73">
        <v>2</v>
      </c>
      <c r="N71" s="73">
        <v>1.4</v>
      </c>
      <c r="O71" s="73">
        <v>0.7</v>
      </c>
      <c r="P71" s="73">
        <v>1.4</v>
      </c>
      <c r="Q71" s="73">
        <v>0.6</v>
      </c>
      <c r="R71" s="2">
        <v>0</v>
      </c>
      <c r="S71" s="2">
        <v>32000</v>
      </c>
      <c r="T71" s="2">
        <v>32000</v>
      </c>
      <c r="U71" s="2">
        <v>0</v>
      </c>
      <c r="V71" s="2">
        <v>0</v>
      </c>
      <c r="W71" s="2">
        <v>0</v>
      </c>
      <c r="X71" s="2">
        <v>0</v>
      </c>
      <c r="Y71" s="2">
        <v>0</v>
      </c>
      <c r="Z71" s="2">
        <v>0</v>
      </c>
      <c r="AA71" s="2">
        <v>0</v>
      </c>
      <c r="AB71" s="2">
        <v>40000</v>
      </c>
      <c r="AC71" s="2">
        <v>40000</v>
      </c>
      <c r="AD71" s="2">
        <v>0</v>
      </c>
      <c r="AE71" s="2">
        <v>0</v>
      </c>
      <c r="AF71" s="2">
        <v>0</v>
      </c>
      <c r="AG71" s="2">
        <v>236000</v>
      </c>
      <c r="AH71" s="2">
        <v>173000</v>
      </c>
      <c r="AI71" s="2">
        <v>130000</v>
      </c>
      <c r="AJ71" s="2">
        <v>20295</v>
      </c>
      <c r="AK71" s="2">
        <v>25000</v>
      </c>
      <c r="AL71" s="2">
        <v>26820</v>
      </c>
      <c r="AM71" s="2">
        <v>0</v>
      </c>
      <c r="AN71" s="2">
        <v>0</v>
      </c>
      <c r="AO71" s="2">
        <v>0</v>
      </c>
      <c r="AP71" s="2">
        <v>0</v>
      </c>
      <c r="AQ71" s="2">
        <v>0</v>
      </c>
      <c r="AR71" s="2">
        <v>0</v>
      </c>
      <c r="AS71" s="2">
        <v>0</v>
      </c>
      <c r="AT71" s="2">
        <v>0</v>
      </c>
      <c r="AU71" s="2">
        <v>0</v>
      </c>
      <c r="AV71" s="2">
        <v>256295</v>
      </c>
      <c r="AW71" s="50">
        <v>270000</v>
      </c>
      <c r="AX71" s="50">
        <v>228820</v>
      </c>
      <c r="AY71" s="3"/>
      <c r="AZ71" s="48">
        <v>32000</v>
      </c>
      <c r="BA71" s="48"/>
      <c r="BB71" s="4">
        <f t="shared" si="95"/>
        <v>1</v>
      </c>
      <c r="BC71" s="4">
        <f t="shared" si="96"/>
        <v>0</v>
      </c>
      <c r="BD71" s="5" t="e">
        <f t="shared" si="97"/>
        <v>#DIV/0!</v>
      </c>
      <c r="BE71" s="5">
        <f t="shared" si="97"/>
        <v>-1</v>
      </c>
      <c r="BF71" s="6"/>
      <c r="BG71" s="7">
        <f t="shared" si="98"/>
        <v>230000</v>
      </c>
      <c r="BH71" s="7">
        <f t="shared" si="99"/>
        <v>156820</v>
      </c>
      <c r="BI71" s="8">
        <f t="shared" si="100"/>
        <v>0.8974033828205779</v>
      </c>
      <c r="BJ71" s="8">
        <f t="shared" si="101"/>
        <v>0.5808148148148148</v>
      </c>
      <c r="BK71" s="9">
        <f t="shared" si="102"/>
        <v>26295</v>
      </c>
      <c r="BL71" s="9">
        <f t="shared" si="102"/>
        <v>113180</v>
      </c>
      <c r="BM71" s="10">
        <f t="shared" si="41"/>
        <v>0.8518518518518519</v>
      </c>
      <c r="BN71" s="10">
        <f t="shared" si="41"/>
        <v>0.6853421903679748</v>
      </c>
      <c r="BO71" s="11">
        <f t="shared" si="42"/>
        <v>40000</v>
      </c>
      <c r="BP71" s="11">
        <f t="shared" si="42"/>
        <v>72000</v>
      </c>
      <c r="BQ71" s="12">
        <f t="shared" si="103"/>
        <v>26295</v>
      </c>
      <c r="BR71" s="12">
        <f t="shared" si="103"/>
        <v>73180</v>
      </c>
      <c r="BT71" s="14">
        <f t="shared" si="104"/>
        <v>22857.14285714286</v>
      </c>
      <c r="BU71" s="14">
        <f t="shared" si="104"/>
        <v>45714.28571428572</v>
      </c>
      <c r="BV71" s="15">
        <f t="shared" si="104"/>
        <v>22857.14285714286</v>
      </c>
      <c r="BW71" s="244">
        <f t="shared" si="104"/>
        <v>53333.333333333336</v>
      </c>
      <c r="BX71" s="223">
        <v>0.174</v>
      </c>
      <c r="BY71" s="74">
        <f t="shared" si="88"/>
        <v>15925.872000000001</v>
      </c>
      <c r="BZ71" s="224"/>
      <c r="CA71" s="226">
        <v>16000</v>
      </c>
      <c r="CB71" s="225"/>
      <c r="CC71" s="198"/>
      <c r="CD71" s="199"/>
      <c r="CE71" s="198"/>
      <c r="CF71" s="198"/>
      <c r="CG71" s="198"/>
      <c r="CH71" s="200" t="s">
        <v>118</v>
      </c>
      <c r="CI71" s="265" t="s">
        <v>56</v>
      </c>
      <c r="CJ71" s="92">
        <f t="shared" si="105"/>
        <v>0.9598314442341833</v>
      </c>
      <c r="CK71" s="4">
        <f t="shared" si="106"/>
        <v>0.9111111111111111</v>
      </c>
      <c r="CL71" s="4"/>
      <c r="CM71" s="198">
        <f t="shared" si="89"/>
        <v>16000</v>
      </c>
      <c r="CN71" s="198"/>
      <c r="CO71" s="198">
        <f t="shared" si="90"/>
        <v>0</v>
      </c>
      <c r="CP71" s="198">
        <f t="shared" si="107"/>
        <v>48000</v>
      </c>
      <c r="CQ71" s="201" t="e">
        <f t="shared" si="92"/>
        <v>#DIV/0!</v>
      </c>
      <c r="CR71" s="74"/>
      <c r="CS71" s="74">
        <f t="shared" si="94"/>
        <v>72000</v>
      </c>
      <c r="CT71" s="74">
        <f t="shared" si="86"/>
        <v>228820</v>
      </c>
      <c r="CU71" s="202">
        <v>0.365</v>
      </c>
      <c r="CV71" s="74">
        <f t="shared" si="93"/>
        <v>32000</v>
      </c>
      <c r="CW71" s="74">
        <f t="shared" si="91"/>
        <v>24000</v>
      </c>
      <c r="CX71" s="74">
        <f t="shared" si="87"/>
        <v>1.0534735363545913</v>
      </c>
      <c r="CY71" s="74"/>
      <c r="CZ71" s="74"/>
    </row>
    <row r="72" spans="1:104" ht="24.75" thickBot="1">
      <c r="A72" s="245">
        <v>70868832</v>
      </c>
      <c r="B72" s="246" t="s">
        <v>113</v>
      </c>
      <c r="C72" s="246" t="s">
        <v>43</v>
      </c>
      <c r="D72" s="246" t="s">
        <v>115</v>
      </c>
      <c r="E72" s="246" t="s">
        <v>123</v>
      </c>
      <c r="F72" s="76">
        <v>7979330</v>
      </c>
      <c r="G72" s="121"/>
      <c r="H72" s="76">
        <v>6</v>
      </c>
      <c r="I72" s="76">
        <v>0</v>
      </c>
      <c r="J72" s="76">
        <v>0</v>
      </c>
      <c r="K72" s="76">
        <v>0</v>
      </c>
      <c r="L72" s="76">
        <v>6</v>
      </c>
      <c r="M72" s="76">
        <v>0</v>
      </c>
      <c r="N72" s="76">
        <v>3.2</v>
      </c>
      <c r="O72" s="76">
        <v>4.4</v>
      </c>
      <c r="P72" s="76">
        <v>2.7</v>
      </c>
      <c r="Q72" s="76">
        <v>3.3</v>
      </c>
      <c r="R72" s="17">
        <v>474000</v>
      </c>
      <c r="S72" s="17">
        <v>474000</v>
      </c>
      <c r="T72" s="17">
        <v>1667000</v>
      </c>
      <c r="U72" s="17">
        <v>0</v>
      </c>
      <c r="V72" s="17">
        <v>0</v>
      </c>
      <c r="W72" s="17">
        <v>0</v>
      </c>
      <c r="X72" s="17">
        <v>0</v>
      </c>
      <c r="Y72" s="17">
        <v>85500</v>
      </c>
      <c r="Z72" s="17">
        <v>20000</v>
      </c>
      <c r="AA72" s="17">
        <v>201073</v>
      </c>
      <c r="AB72" s="17">
        <v>140751</v>
      </c>
      <c r="AC72" s="17">
        <v>120000</v>
      </c>
      <c r="AD72" s="17">
        <v>50000</v>
      </c>
      <c r="AE72" s="17">
        <v>50000</v>
      </c>
      <c r="AF72" s="17">
        <v>50000</v>
      </c>
      <c r="AG72" s="17">
        <v>0</v>
      </c>
      <c r="AH72" s="17">
        <v>0</v>
      </c>
      <c r="AI72" s="17">
        <v>0</v>
      </c>
      <c r="AJ72" s="17">
        <v>112675</v>
      </c>
      <c r="AK72" s="17">
        <v>160000</v>
      </c>
      <c r="AL72" s="17">
        <v>180000</v>
      </c>
      <c r="AM72" s="17">
        <v>0</v>
      </c>
      <c r="AN72" s="17">
        <v>0</v>
      </c>
      <c r="AO72" s="17">
        <v>0</v>
      </c>
      <c r="AP72" s="17">
        <v>0</v>
      </c>
      <c r="AQ72" s="17">
        <v>0</v>
      </c>
      <c r="AR72" s="17">
        <v>0</v>
      </c>
      <c r="AS72" s="17">
        <v>12000</v>
      </c>
      <c r="AT72" s="17">
        <v>15000</v>
      </c>
      <c r="AU72" s="17">
        <v>15000</v>
      </c>
      <c r="AV72" s="17">
        <v>849748</v>
      </c>
      <c r="AW72" s="54">
        <v>925251</v>
      </c>
      <c r="AX72" s="54">
        <v>2052000</v>
      </c>
      <c r="AY72" s="3"/>
      <c r="AZ72" s="55">
        <v>474000</v>
      </c>
      <c r="BA72" s="55"/>
      <c r="BB72" s="56">
        <f t="shared" si="95"/>
        <v>1</v>
      </c>
      <c r="BC72" s="56">
        <f t="shared" si="96"/>
        <v>0</v>
      </c>
      <c r="BD72" s="47">
        <f>-1+AZ72/R72</f>
        <v>0</v>
      </c>
      <c r="BE72" s="47">
        <f>-1+BA72/S72</f>
        <v>-1</v>
      </c>
      <c r="BF72" s="6"/>
      <c r="BG72" s="77">
        <f t="shared" si="98"/>
        <v>784500</v>
      </c>
      <c r="BH72" s="77">
        <f t="shared" si="99"/>
        <v>265000</v>
      </c>
      <c r="BI72" s="45">
        <f t="shared" si="100"/>
        <v>0.9232148825298795</v>
      </c>
      <c r="BJ72" s="45">
        <f t="shared" si="101"/>
        <v>0.28640876907995777</v>
      </c>
      <c r="BK72" s="78">
        <f t="shared" si="102"/>
        <v>65248</v>
      </c>
      <c r="BL72" s="78">
        <f t="shared" si="102"/>
        <v>660251</v>
      </c>
      <c r="BM72" s="79">
        <f>BG72/AW72</f>
        <v>0.8478780352574599</v>
      </c>
      <c r="BN72" s="79">
        <f>BH72/AX72</f>
        <v>0.12914230019493178</v>
      </c>
      <c r="BO72" s="115">
        <f>IF(BG72&lt;AW72,AW72-BG72,0)</f>
        <v>140751</v>
      </c>
      <c r="BP72" s="115">
        <f>IF(BH72&lt;AX72,AX72-BH72,0)</f>
        <v>1787000</v>
      </c>
      <c r="BQ72" s="116">
        <f t="shared" si="103"/>
        <v>0</v>
      </c>
      <c r="BR72" s="116">
        <f t="shared" si="103"/>
        <v>519500</v>
      </c>
      <c r="BT72" s="42">
        <f t="shared" si="104"/>
        <v>148125</v>
      </c>
      <c r="BU72" s="42">
        <f t="shared" si="104"/>
        <v>107727.27272727272</v>
      </c>
      <c r="BV72" s="80">
        <f t="shared" si="104"/>
        <v>175555.55555555553</v>
      </c>
      <c r="BW72" s="247">
        <f t="shared" si="104"/>
        <v>143636.36363636365</v>
      </c>
      <c r="BX72" s="209">
        <v>0.174</v>
      </c>
      <c r="BY72" s="121">
        <f t="shared" si="88"/>
        <v>64397.469600000004</v>
      </c>
      <c r="BZ72" s="216"/>
      <c r="CA72" s="219">
        <v>64000</v>
      </c>
      <c r="CB72" s="218"/>
      <c r="CC72" s="210"/>
      <c r="CD72" s="211"/>
      <c r="CE72" s="210"/>
      <c r="CF72" s="210"/>
      <c r="CG72" s="210"/>
      <c r="CH72" s="212" t="s">
        <v>118</v>
      </c>
      <c r="CI72" s="266" t="s">
        <v>52</v>
      </c>
      <c r="CJ72" s="79">
        <f t="shared" si="105"/>
        <v>0.9985313292882125</v>
      </c>
      <c r="CK72" s="56">
        <f t="shared" si="106"/>
        <v>0.9170484549597893</v>
      </c>
      <c r="CL72" s="56"/>
      <c r="CM72" s="210">
        <f t="shared" si="89"/>
        <v>64000</v>
      </c>
      <c r="CN72" s="210"/>
      <c r="CO72" s="210">
        <f t="shared" si="90"/>
        <v>675073</v>
      </c>
      <c r="CP72" s="210">
        <f t="shared" si="107"/>
        <v>538000</v>
      </c>
      <c r="CQ72" s="213">
        <f t="shared" si="92"/>
        <v>-0.2030491517213694</v>
      </c>
      <c r="CR72" s="121"/>
      <c r="CS72" s="121">
        <f t="shared" si="94"/>
        <v>216000</v>
      </c>
      <c r="CT72" s="121">
        <f t="shared" si="86"/>
        <v>693938.25</v>
      </c>
      <c r="CU72" s="214">
        <v>0.365</v>
      </c>
      <c r="CV72" s="121">
        <f t="shared" si="93"/>
        <v>253287.46125</v>
      </c>
      <c r="CW72" s="121">
        <f t="shared" si="91"/>
        <v>355500</v>
      </c>
      <c r="CX72" s="121">
        <f t="shared" si="87"/>
        <v>1.0888534012436628</v>
      </c>
      <c r="CY72" s="121"/>
      <c r="CZ72" s="121"/>
    </row>
    <row r="73" spans="1:98" ht="8.25" customHeight="1" thickBot="1">
      <c r="A73" s="150"/>
      <c r="B73" s="86"/>
      <c r="C73" s="86"/>
      <c r="D73" s="86"/>
      <c r="E73" s="86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34"/>
      <c r="BC73" s="34"/>
      <c r="BD73" s="34"/>
      <c r="BE73" s="34"/>
      <c r="BF73" s="34"/>
      <c r="BI73" s="6"/>
      <c r="BJ73" s="6"/>
      <c r="BK73" s="87"/>
      <c r="BL73" s="87"/>
      <c r="BM73" s="38"/>
      <c r="BN73" s="38"/>
      <c r="BQ73" s="87"/>
      <c r="BR73" s="87"/>
      <c r="BT73" s="43"/>
      <c r="BU73" s="43"/>
      <c r="BV73" s="43"/>
      <c r="BW73" s="43"/>
      <c r="BX73" s="13"/>
      <c r="BY73" s="13">
        <f t="shared" si="88"/>
        <v>0</v>
      </c>
      <c r="BZ73" s="13"/>
      <c r="CJ73" s="6"/>
      <c r="CK73" s="6"/>
      <c r="CL73" s="6"/>
      <c r="CM73" s="32"/>
      <c r="CO73" s="32"/>
      <c r="CP73" s="32"/>
      <c r="CQ73" s="154"/>
      <c r="CT73" s="13">
        <f t="shared" si="86"/>
        <v>0</v>
      </c>
    </row>
    <row r="74" spans="1:104" ht="48">
      <c r="A74" s="241">
        <v>26304856</v>
      </c>
      <c r="B74" s="242" t="s">
        <v>48</v>
      </c>
      <c r="C74" s="242" t="s">
        <v>43</v>
      </c>
      <c r="D74" s="242" t="s">
        <v>124</v>
      </c>
      <c r="E74" s="242" t="s">
        <v>125</v>
      </c>
      <c r="F74" s="67">
        <v>7481318</v>
      </c>
      <c r="G74" s="67">
        <v>0</v>
      </c>
      <c r="H74" s="67">
        <v>160</v>
      </c>
      <c r="I74" s="67">
        <v>70</v>
      </c>
      <c r="J74" s="67">
        <v>65</v>
      </c>
      <c r="K74" s="67">
        <v>25</v>
      </c>
      <c r="L74" s="67">
        <v>0</v>
      </c>
      <c r="M74" s="67">
        <v>0</v>
      </c>
      <c r="N74" s="67">
        <v>0.7</v>
      </c>
      <c r="O74" s="67">
        <v>3.8</v>
      </c>
      <c r="P74" s="67">
        <v>0.5</v>
      </c>
      <c r="Q74" s="67">
        <v>3</v>
      </c>
      <c r="R74" s="19">
        <v>43000</v>
      </c>
      <c r="S74" s="19">
        <v>86000</v>
      </c>
      <c r="T74" s="19">
        <v>632625</v>
      </c>
      <c r="U74" s="19">
        <v>0</v>
      </c>
      <c r="V74" s="19">
        <v>0</v>
      </c>
      <c r="W74" s="19">
        <v>0</v>
      </c>
      <c r="X74" s="19">
        <v>24000</v>
      </c>
      <c r="Y74" s="19">
        <v>54000</v>
      </c>
      <c r="Z74" s="19">
        <v>15000</v>
      </c>
      <c r="AA74" s="19">
        <v>19100</v>
      </c>
      <c r="AB74" s="19">
        <v>13370</v>
      </c>
      <c r="AC74" s="19">
        <v>15000</v>
      </c>
      <c r="AD74" s="19">
        <v>2000</v>
      </c>
      <c r="AE74" s="19">
        <v>1000</v>
      </c>
      <c r="AF74" s="19">
        <v>1000</v>
      </c>
      <c r="AG74" s="19">
        <v>0</v>
      </c>
      <c r="AH74" s="19">
        <v>0</v>
      </c>
      <c r="AI74" s="19">
        <v>0</v>
      </c>
      <c r="AJ74" s="19">
        <v>23400</v>
      </c>
      <c r="AK74" s="19">
        <v>36000</v>
      </c>
      <c r="AL74" s="19">
        <v>138320</v>
      </c>
      <c r="AM74" s="19">
        <v>0</v>
      </c>
      <c r="AN74" s="19">
        <v>0</v>
      </c>
      <c r="AO74" s="19">
        <v>0</v>
      </c>
      <c r="AP74" s="19">
        <v>0</v>
      </c>
      <c r="AQ74" s="19">
        <v>0</v>
      </c>
      <c r="AR74" s="19">
        <v>0</v>
      </c>
      <c r="AS74" s="19">
        <v>84500</v>
      </c>
      <c r="AT74" s="19">
        <v>70000</v>
      </c>
      <c r="AU74" s="19">
        <v>101805</v>
      </c>
      <c r="AV74" s="19">
        <v>196000</v>
      </c>
      <c r="AW74" s="51">
        <v>260370</v>
      </c>
      <c r="AX74" s="51">
        <v>903750</v>
      </c>
      <c r="AY74" s="3"/>
      <c r="AZ74" s="52">
        <v>86000</v>
      </c>
      <c r="BA74" s="52"/>
      <c r="BB74" s="53">
        <f aca="true" t="shared" si="108" ref="BB74:BC76">AZ74/S74</f>
        <v>1</v>
      </c>
      <c r="BC74" s="53">
        <f t="shared" si="108"/>
        <v>0</v>
      </c>
      <c r="BD74" s="46">
        <f aca="true" t="shared" si="109" ref="BD74:BE76">-1+AZ74/R74</f>
        <v>1</v>
      </c>
      <c r="BE74" s="46">
        <f t="shared" si="109"/>
        <v>-1</v>
      </c>
      <c r="BF74" s="6"/>
      <c r="BG74" s="89">
        <f aca="true" t="shared" si="110" ref="BG74:BH76">V74+Y74+AE74+AH74+AK74+AN74+AQ74+AT74+AZ74</f>
        <v>247000</v>
      </c>
      <c r="BH74" s="89">
        <f t="shared" si="110"/>
        <v>256125</v>
      </c>
      <c r="BI74" s="44">
        <f aca="true" t="shared" si="111" ref="BI74:BJ76">BG74/(R74+U74+X74+AA74+AD74+AG74+AJ74+AM74+AP74+AS74)</f>
        <v>1.260204081632653</v>
      </c>
      <c r="BJ74" s="44">
        <f t="shared" si="111"/>
        <v>0.9836962783730845</v>
      </c>
      <c r="BK74" s="70">
        <f aca="true" t="shared" si="112" ref="BK74:BL76">IF(BI74&gt;=100%,0,(R74+U74+X74+AA74+AD74+AG74+AJ74+AM74+AP74+AS74)-(V74+Y74+AE74+AH74+AK74+AN74+AQ74+AT74+AZ74))</f>
        <v>0</v>
      </c>
      <c r="BL74" s="70">
        <f t="shared" si="112"/>
        <v>4245</v>
      </c>
      <c r="BM74" s="10">
        <f>BG74/AW74</f>
        <v>0.9486499980796559</v>
      </c>
      <c r="BN74" s="10">
        <f>BH74/AX74</f>
        <v>0.283402489626556</v>
      </c>
      <c r="BO74" s="90">
        <f>IF(BG74&lt;AW74,AW74-BG74,0)</f>
        <v>13370</v>
      </c>
      <c r="BP74" s="90">
        <f>IF(BH74&lt;AX74,AX74-BH74,0)</f>
        <v>647625</v>
      </c>
      <c r="BQ74" s="70">
        <f aca="true" t="shared" si="113" ref="BQ74:BR76">IF(AA74&gt;BK74,0,BK74-AA74)</f>
        <v>0</v>
      </c>
      <c r="BR74" s="70">
        <f t="shared" si="113"/>
        <v>0</v>
      </c>
      <c r="BT74" s="41">
        <f aca="true" t="shared" si="114" ref="BT74:BW76">$AZ74/N74</f>
        <v>122857.14285714287</v>
      </c>
      <c r="BU74" s="41">
        <f t="shared" si="114"/>
        <v>22631.578947368424</v>
      </c>
      <c r="BV74" s="72">
        <f t="shared" si="114"/>
        <v>172000</v>
      </c>
      <c r="BW74" s="243">
        <f t="shared" si="114"/>
        <v>28666.666666666668</v>
      </c>
      <c r="BX74" s="203">
        <v>0.055</v>
      </c>
      <c r="BY74" s="114">
        <f t="shared" si="88"/>
        <v>5728.14</v>
      </c>
      <c r="BZ74" s="215"/>
      <c r="CA74" s="195">
        <v>14300</v>
      </c>
      <c r="CB74" s="217"/>
      <c r="CC74" s="204"/>
      <c r="CD74" s="205"/>
      <c r="CE74" s="204"/>
      <c r="CF74" s="204"/>
      <c r="CG74" s="204"/>
      <c r="CH74" s="206" t="s">
        <v>126</v>
      </c>
      <c r="CI74" s="206" t="s">
        <v>50</v>
      </c>
      <c r="CJ74" s="53">
        <f>($CG74+$CA74+$AZ74+$AT74+$AQ74+$AN74+$AK74+$AH74+$AE74+$Y74+$V74)/$AV74</f>
        <v>1.3331632653061225</v>
      </c>
      <c r="CK74" s="53">
        <f>($CG74+$CA74+$AZ74+$AT74+$AQ74+$AN74+$AK74+$AH74+$AE74+$Y74+$V74)/$AW74</f>
        <v>1.0035718400737412</v>
      </c>
      <c r="CL74" s="53"/>
      <c r="CM74" s="204">
        <f t="shared" si="89"/>
        <v>14300</v>
      </c>
      <c r="CN74" s="204"/>
      <c r="CO74" s="204">
        <f t="shared" si="90"/>
        <v>62100</v>
      </c>
      <c r="CP74" s="204">
        <f>AZ74+CM74</f>
        <v>100300</v>
      </c>
      <c r="CQ74" s="207">
        <f t="shared" si="92"/>
        <v>0.6151368760064413</v>
      </c>
      <c r="CR74" s="114"/>
      <c r="CS74" s="114">
        <f>1000*12*H74</f>
        <v>1920000</v>
      </c>
      <c r="CT74" s="114">
        <f t="shared" si="86"/>
        <v>195277.5</v>
      </c>
      <c r="CU74" s="208">
        <v>0.408</v>
      </c>
      <c r="CV74" s="114">
        <f>IF(CT74*CU74&lt;T74,CT74*CU74,T74)</f>
        <v>79673.22</v>
      </c>
      <c r="CW74" s="114">
        <f t="shared" si="91"/>
        <v>64500</v>
      </c>
      <c r="CX74" s="114">
        <f t="shared" si="87"/>
        <v>1.3284183673469387</v>
      </c>
      <c r="CY74" s="114"/>
      <c r="CZ74" s="114"/>
    </row>
    <row r="75" spans="1:104" ht="48">
      <c r="A75" s="149">
        <v>26908042</v>
      </c>
      <c r="B75" s="49" t="s">
        <v>127</v>
      </c>
      <c r="C75" s="49" t="s">
        <v>43</v>
      </c>
      <c r="D75" s="49" t="s">
        <v>124</v>
      </c>
      <c r="E75" s="49" t="s">
        <v>125</v>
      </c>
      <c r="F75" s="73">
        <v>4534408</v>
      </c>
      <c r="G75" s="74"/>
      <c r="H75" s="73">
        <v>25</v>
      </c>
      <c r="I75" s="73">
        <v>0</v>
      </c>
      <c r="J75" s="73">
        <v>0</v>
      </c>
      <c r="K75" s="73">
        <v>0</v>
      </c>
      <c r="L75" s="73">
        <v>0</v>
      </c>
      <c r="M75" s="73">
        <v>23</v>
      </c>
      <c r="N75" s="73">
        <v>1</v>
      </c>
      <c r="O75" s="73">
        <v>1</v>
      </c>
      <c r="P75" s="73">
        <v>1</v>
      </c>
      <c r="Q75" s="73">
        <v>1</v>
      </c>
      <c r="R75" s="2">
        <v>89000</v>
      </c>
      <c r="S75" s="2">
        <v>96000</v>
      </c>
      <c r="T75" s="2">
        <v>223000</v>
      </c>
      <c r="U75" s="2">
        <v>0</v>
      </c>
      <c r="V75" s="2">
        <v>0</v>
      </c>
      <c r="W75" s="2">
        <v>0</v>
      </c>
      <c r="X75" s="2">
        <v>0</v>
      </c>
      <c r="Y75" s="2">
        <v>0</v>
      </c>
      <c r="Z75" s="2">
        <v>0</v>
      </c>
      <c r="AA75" s="2">
        <v>0</v>
      </c>
      <c r="AB75" s="2">
        <v>13935</v>
      </c>
      <c r="AC75" s="2">
        <v>0</v>
      </c>
      <c r="AD75" s="2">
        <v>0</v>
      </c>
      <c r="AE75" s="2">
        <v>0</v>
      </c>
      <c r="AF75" s="2">
        <v>0</v>
      </c>
      <c r="AG75" s="2">
        <v>0</v>
      </c>
      <c r="AH75" s="2">
        <v>0</v>
      </c>
      <c r="AI75" s="2">
        <v>0</v>
      </c>
      <c r="AJ75" s="2">
        <v>0</v>
      </c>
      <c r="AK75" s="2">
        <v>6000</v>
      </c>
      <c r="AL75" s="2">
        <v>6000</v>
      </c>
      <c r="AM75" s="2">
        <v>0</v>
      </c>
      <c r="AN75" s="2">
        <v>0</v>
      </c>
      <c r="AO75" s="2">
        <v>0</v>
      </c>
      <c r="AP75" s="2">
        <v>198000</v>
      </c>
      <c r="AQ75" s="2">
        <v>0</v>
      </c>
      <c r="AR75" s="2">
        <v>0</v>
      </c>
      <c r="AS75" s="2">
        <v>0</v>
      </c>
      <c r="AT75" s="2">
        <v>14065</v>
      </c>
      <c r="AU75" s="2">
        <v>0</v>
      </c>
      <c r="AV75" s="2">
        <v>287000</v>
      </c>
      <c r="AW75" s="50">
        <v>130000</v>
      </c>
      <c r="AX75" s="50">
        <v>229000</v>
      </c>
      <c r="AY75" s="3"/>
      <c r="AZ75" s="48">
        <v>96000</v>
      </c>
      <c r="BA75" s="48"/>
      <c r="BB75" s="4">
        <f t="shared" si="108"/>
        <v>1</v>
      </c>
      <c r="BC75" s="4">
        <f t="shared" si="108"/>
        <v>0</v>
      </c>
      <c r="BD75" s="5">
        <f t="shared" si="109"/>
        <v>0.0786516853932584</v>
      </c>
      <c r="BE75" s="5">
        <f t="shared" si="109"/>
        <v>-1</v>
      </c>
      <c r="BF75" s="6"/>
      <c r="BG75" s="7">
        <f t="shared" si="110"/>
        <v>116065</v>
      </c>
      <c r="BH75" s="7">
        <f t="shared" si="110"/>
        <v>6000</v>
      </c>
      <c r="BI75" s="8">
        <f t="shared" si="111"/>
        <v>0.4044076655052265</v>
      </c>
      <c r="BJ75" s="8">
        <f t="shared" si="111"/>
        <v>0.046153846153846156</v>
      </c>
      <c r="BK75" s="9">
        <f t="shared" si="112"/>
        <v>170935</v>
      </c>
      <c r="BL75" s="9">
        <f t="shared" si="112"/>
        <v>124000</v>
      </c>
      <c r="BM75" s="10">
        <f aca="true" t="shared" si="115" ref="BM75:BN107">BG75/AW75</f>
        <v>0.8928076923076923</v>
      </c>
      <c r="BN75" s="10">
        <f t="shared" si="115"/>
        <v>0.026200873362445413</v>
      </c>
      <c r="BO75" s="11">
        <f aca="true" t="shared" si="116" ref="BO75:BP107">IF(BG75&lt;AW75,AW75-BG75,0)</f>
        <v>13935</v>
      </c>
      <c r="BP75" s="11">
        <f t="shared" si="116"/>
        <v>223000</v>
      </c>
      <c r="BQ75" s="12">
        <f t="shared" si="113"/>
        <v>170935</v>
      </c>
      <c r="BR75" s="12">
        <f t="shared" si="113"/>
        <v>110065</v>
      </c>
      <c r="BT75" s="14">
        <f t="shared" si="114"/>
        <v>96000</v>
      </c>
      <c r="BU75" s="14">
        <f t="shared" si="114"/>
        <v>96000</v>
      </c>
      <c r="BV75" s="15">
        <f t="shared" si="114"/>
        <v>96000</v>
      </c>
      <c r="BW75" s="244">
        <f t="shared" si="114"/>
        <v>96000</v>
      </c>
      <c r="BX75" s="223">
        <v>0.055</v>
      </c>
      <c r="BY75" s="74">
        <f t="shared" si="88"/>
        <v>2860</v>
      </c>
      <c r="BZ75" s="224"/>
      <c r="CA75" s="226">
        <v>7200</v>
      </c>
      <c r="CB75" s="225"/>
      <c r="CC75" s="198"/>
      <c r="CD75" s="199"/>
      <c r="CE75" s="198"/>
      <c r="CF75" s="198"/>
      <c r="CG75" s="198"/>
      <c r="CH75" s="200" t="s">
        <v>126</v>
      </c>
      <c r="CI75" s="200" t="s">
        <v>50</v>
      </c>
      <c r="CJ75" s="4">
        <f>($CG75+$CA75+$AZ75+$AT75+$AQ75+$AN75+$AK75+$AH75+$AE75+$Y75+$V75)/$AV75</f>
        <v>0.42949477351916376</v>
      </c>
      <c r="CK75" s="4">
        <f>($CG75+$CA75+$AZ75+$AT75+$AQ75+$AN75+$AK75+$AH75+$AE75+$Y75+$V75)/$AW75</f>
        <v>0.9481923076923077</v>
      </c>
      <c r="CL75" s="4"/>
      <c r="CM75" s="198">
        <f t="shared" si="89"/>
        <v>7200</v>
      </c>
      <c r="CN75" s="198"/>
      <c r="CO75" s="198">
        <f t="shared" si="90"/>
        <v>89000</v>
      </c>
      <c r="CP75" s="198">
        <f>AZ75+CM75</f>
        <v>103200</v>
      </c>
      <c r="CQ75" s="201">
        <f t="shared" si="92"/>
        <v>0.15955056179775284</v>
      </c>
      <c r="CR75" s="74"/>
      <c r="CS75" s="74">
        <f>1000*12*H75</f>
        <v>300000</v>
      </c>
      <c r="CT75" s="74">
        <f t="shared" si="86"/>
        <v>97500</v>
      </c>
      <c r="CU75" s="202">
        <v>0.408</v>
      </c>
      <c r="CV75" s="74">
        <f>IF(CT75*CU75&lt;T75,CT75*CU75,T75)</f>
        <v>39780</v>
      </c>
      <c r="CW75" s="74">
        <f t="shared" si="91"/>
        <v>72000</v>
      </c>
      <c r="CX75" s="74">
        <f t="shared" si="87"/>
        <v>0.4529616724738676</v>
      </c>
      <c r="CY75" s="74"/>
      <c r="CZ75" s="74"/>
    </row>
    <row r="76" spans="1:104" ht="48.75" thickBot="1">
      <c r="A76" s="245">
        <v>70188467</v>
      </c>
      <c r="B76" s="246" t="s">
        <v>54</v>
      </c>
      <c r="C76" s="246" t="s">
        <v>55</v>
      </c>
      <c r="D76" s="246" t="s">
        <v>124</v>
      </c>
      <c r="E76" s="246" t="s">
        <v>125</v>
      </c>
      <c r="F76" s="76">
        <v>6733377</v>
      </c>
      <c r="G76" s="76">
        <v>0</v>
      </c>
      <c r="H76" s="76">
        <v>10</v>
      </c>
      <c r="I76" s="76">
        <v>0</v>
      </c>
      <c r="J76" s="76">
        <v>0</v>
      </c>
      <c r="K76" s="76">
        <v>0</v>
      </c>
      <c r="L76" s="76">
        <v>0</v>
      </c>
      <c r="M76" s="76">
        <v>10</v>
      </c>
      <c r="N76" s="76">
        <v>0.6</v>
      </c>
      <c r="O76" s="76">
        <v>0.4</v>
      </c>
      <c r="P76" s="76">
        <v>0.6</v>
      </c>
      <c r="Q76" s="76">
        <v>0.3</v>
      </c>
      <c r="R76" s="17">
        <v>0</v>
      </c>
      <c r="S76" s="17">
        <v>20000</v>
      </c>
      <c r="T76" s="17">
        <v>20000</v>
      </c>
      <c r="U76" s="17">
        <v>0</v>
      </c>
      <c r="V76" s="17">
        <v>0</v>
      </c>
      <c r="W76" s="17">
        <v>0</v>
      </c>
      <c r="X76" s="17">
        <v>0</v>
      </c>
      <c r="Y76" s="17">
        <v>0</v>
      </c>
      <c r="Z76" s="17">
        <v>0</v>
      </c>
      <c r="AA76" s="17">
        <v>0</v>
      </c>
      <c r="AB76" s="17">
        <v>0</v>
      </c>
      <c r="AC76" s="17">
        <v>0</v>
      </c>
      <c r="AD76" s="17">
        <v>0</v>
      </c>
      <c r="AE76" s="17">
        <v>0</v>
      </c>
      <c r="AF76" s="17">
        <v>0</v>
      </c>
      <c r="AG76" s="17">
        <v>22000</v>
      </c>
      <c r="AH76" s="17">
        <v>127700</v>
      </c>
      <c r="AI76" s="17">
        <v>84000</v>
      </c>
      <c r="AJ76" s="17">
        <v>1000</v>
      </c>
      <c r="AK76" s="17">
        <v>5000</v>
      </c>
      <c r="AL76" s="17">
        <v>2700</v>
      </c>
      <c r="AM76" s="17">
        <v>0</v>
      </c>
      <c r="AN76" s="17">
        <v>0</v>
      </c>
      <c r="AO76" s="17">
        <v>0</v>
      </c>
      <c r="AP76" s="17">
        <v>0</v>
      </c>
      <c r="AQ76" s="17">
        <v>0</v>
      </c>
      <c r="AR76" s="17">
        <v>0</v>
      </c>
      <c r="AS76" s="17">
        <v>0</v>
      </c>
      <c r="AT76" s="17">
        <v>0</v>
      </c>
      <c r="AU76" s="17">
        <v>0</v>
      </c>
      <c r="AV76" s="17">
        <v>23000</v>
      </c>
      <c r="AW76" s="54">
        <v>152700</v>
      </c>
      <c r="AX76" s="54">
        <v>106700</v>
      </c>
      <c r="AY76" s="3"/>
      <c r="AZ76" s="55">
        <v>20000</v>
      </c>
      <c r="BA76" s="55"/>
      <c r="BB76" s="56">
        <f t="shared" si="108"/>
        <v>1</v>
      </c>
      <c r="BC76" s="56">
        <f t="shared" si="108"/>
        <v>0</v>
      </c>
      <c r="BD76" s="47" t="e">
        <f t="shared" si="109"/>
        <v>#DIV/0!</v>
      </c>
      <c r="BE76" s="47">
        <f t="shared" si="109"/>
        <v>-1</v>
      </c>
      <c r="BF76" s="6"/>
      <c r="BG76" s="77">
        <f t="shared" si="110"/>
        <v>152700</v>
      </c>
      <c r="BH76" s="77">
        <f t="shared" si="110"/>
        <v>86700</v>
      </c>
      <c r="BI76" s="45">
        <f t="shared" si="111"/>
        <v>6.639130434782609</v>
      </c>
      <c r="BJ76" s="45">
        <f t="shared" si="111"/>
        <v>0.5677799607072691</v>
      </c>
      <c r="BK76" s="78">
        <f t="shared" si="112"/>
        <v>0</v>
      </c>
      <c r="BL76" s="78">
        <f t="shared" si="112"/>
        <v>66000</v>
      </c>
      <c r="BM76" s="79">
        <f t="shared" si="115"/>
        <v>1</v>
      </c>
      <c r="BN76" s="79">
        <f t="shared" si="115"/>
        <v>0.8125585754451734</v>
      </c>
      <c r="BO76" s="115">
        <f t="shared" si="116"/>
        <v>0</v>
      </c>
      <c r="BP76" s="115">
        <f t="shared" si="116"/>
        <v>20000</v>
      </c>
      <c r="BQ76" s="116">
        <f t="shared" si="113"/>
        <v>0</v>
      </c>
      <c r="BR76" s="116">
        <f t="shared" si="113"/>
        <v>66000</v>
      </c>
      <c r="BT76" s="42">
        <f t="shared" si="114"/>
        <v>33333.333333333336</v>
      </c>
      <c r="BU76" s="42">
        <f t="shared" si="114"/>
        <v>50000</v>
      </c>
      <c r="BV76" s="80">
        <f t="shared" si="114"/>
        <v>33333.333333333336</v>
      </c>
      <c r="BW76" s="247">
        <f t="shared" si="114"/>
        <v>66666.66666666667</v>
      </c>
      <c r="BX76" s="209">
        <v>0.055</v>
      </c>
      <c r="BY76" s="121">
        <f t="shared" si="88"/>
        <v>2347.4</v>
      </c>
      <c r="BZ76" s="216"/>
      <c r="CA76" s="219">
        <v>5900</v>
      </c>
      <c r="CB76" s="218"/>
      <c r="CC76" s="210"/>
      <c r="CD76" s="211"/>
      <c r="CE76" s="210"/>
      <c r="CF76" s="210"/>
      <c r="CG76" s="210"/>
      <c r="CH76" s="212" t="s">
        <v>126</v>
      </c>
      <c r="CI76" s="212" t="s">
        <v>56</v>
      </c>
      <c r="CJ76" s="56">
        <f>($CG76+$CA76+$AZ76+$AT76+$AQ76+$AN76+$AK76+$AH76+$AE76+$Y76+$V76)/$AV76</f>
        <v>6.895652173913043</v>
      </c>
      <c r="CK76" s="56">
        <f>($CG76+$CA76+$AZ76+$AT76+$AQ76+$AN76+$AK76+$AH76+$AE76+$Y76+$V76)/$AW76</f>
        <v>1.0386378519973805</v>
      </c>
      <c r="CL76" s="56"/>
      <c r="CM76" s="210">
        <f t="shared" si="89"/>
        <v>5900</v>
      </c>
      <c r="CN76" s="210"/>
      <c r="CO76" s="210">
        <f t="shared" si="90"/>
        <v>0</v>
      </c>
      <c r="CP76" s="210">
        <f>AZ76+CM76</f>
        <v>25900</v>
      </c>
      <c r="CQ76" s="213" t="e">
        <f t="shared" si="92"/>
        <v>#DIV/0!</v>
      </c>
      <c r="CR76" s="121"/>
      <c r="CS76" s="121">
        <f>1000*12*H76</f>
        <v>120000</v>
      </c>
      <c r="CT76" s="121">
        <f t="shared" si="86"/>
        <v>106700</v>
      </c>
      <c r="CU76" s="214">
        <v>0.408</v>
      </c>
      <c r="CV76" s="121">
        <f>IF(CT76*CU76&lt;T76,CT76*CU76,T76)</f>
        <v>20000</v>
      </c>
      <c r="CW76" s="121">
        <f t="shared" si="91"/>
        <v>15000</v>
      </c>
      <c r="CX76" s="121">
        <f t="shared" si="87"/>
        <v>6.639130434782609</v>
      </c>
      <c r="CY76" s="121"/>
      <c r="CZ76" s="121"/>
    </row>
    <row r="77" spans="1:98" ht="7.5" customHeight="1" thickBot="1">
      <c r="A77" s="150"/>
      <c r="B77" s="86"/>
      <c r="C77" s="86"/>
      <c r="D77" s="86"/>
      <c r="E77" s="86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34"/>
      <c r="BC77" s="34"/>
      <c r="BD77" s="34"/>
      <c r="BE77" s="34"/>
      <c r="BF77" s="34"/>
      <c r="BI77" s="6"/>
      <c r="BJ77" s="6"/>
      <c r="BK77" s="87"/>
      <c r="BL77" s="87"/>
      <c r="BM77" s="38"/>
      <c r="BN77" s="38"/>
      <c r="BQ77" s="87"/>
      <c r="BR77" s="87"/>
      <c r="BT77" s="43"/>
      <c r="BU77" s="43"/>
      <c r="BV77" s="43"/>
      <c r="BW77" s="43"/>
      <c r="BX77" s="13"/>
      <c r="BY77" s="13">
        <f t="shared" si="88"/>
        <v>0</v>
      </c>
      <c r="BZ77" s="13"/>
      <c r="CJ77" s="6"/>
      <c r="CK77" s="6"/>
      <c r="CL77" s="6"/>
      <c r="CT77" s="13">
        <f t="shared" si="86"/>
        <v>0</v>
      </c>
    </row>
    <row r="78" spans="1:104" ht="24">
      <c r="A78" s="241">
        <v>15060233</v>
      </c>
      <c r="B78" s="242" t="s">
        <v>42</v>
      </c>
      <c r="C78" s="242" t="s">
        <v>43</v>
      </c>
      <c r="D78" s="242" t="s">
        <v>128</v>
      </c>
      <c r="E78" s="242" t="s">
        <v>129</v>
      </c>
      <c r="F78" s="67">
        <v>8307350</v>
      </c>
      <c r="G78" s="67">
        <v>0</v>
      </c>
      <c r="H78" s="67">
        <v>55</v>
      </c>
      <c r="I78" s="67">
        <v>0</v>
      </c>
      <c r="J78" s="67">
        <v>0</v>
      </c>
      <c r="K78" s="67">
        <v>0</v>
      </c>
      <c r="L78" s="67">
        <v>0</v>
      </c>
      <c r="M78" s="67">
        <v>0</v>
      </c>
      <c r="N78" s="67">
        <v>4.1</v>
      </c>
      <c r="O78" s="67">
        <v>3.3</v>
      </c>
      <c r="P78" s="67">
        <v>3.3</v>
      </c>
      <c r="Q78" s="67">
        <v>2.5</v>
      </c>
      <c r="R78" s="19">
        <v>815000</v>
      </c>
      <c r="S78" s="19">
        <v>1322000</v>
      </c>
      <c r="T78" s="19">
        <v>1155338</v>
      </c>
      <c r="U78" s="19">
        <v>0</v>
      </c>
      <c r="V78" s="19">
        <v>0</v>
      </c>
      <c r="W78" s="19">
        <v>0</v>
      </c>
      <c r="X78" s="19">
        <v>0</v>
      </c>
      <c r="Y78" s="19">
        <v>0</v>
      </c>
      <c r="Z78" s="19">
        <v>0</v>
      </c>
      <c r="AA78" s="19">
        <v>243386</v>
      </c>
      <c r="AB78" s="19">
        <v>0</v>
      </c>
      <c r="AC78" s="19">
        <v>250000</v>
      </c>
      <c r="AD78" s="19">
        <v>98000</v>
      </c>
      <c r="AE78" s="19">
        <v>150000</v>
      </c>
      <c r="AF78" s="19">
        <v>265062</v>
      </c>
      <c r="AG78" s="19">
        <v>0</v>
      </c>
      <c r="AH78" s="19">
        <v>0</v>
      </c>
      <c r="AI78" s="19">
        <v>0</v>
      </c>
      <c r="AJ78" s="19">
        <v>0</v>
      </c>
      <c r="AK78" s="19">
        <v>0</v>
      </c>
      <c r="AL78" s="19">
        <v>0</v>
      </c>
      <c r="AM78" s="19">
        <v>0</v>
      </c>
      <c r="AN78" s="19">
        <v>0</v>
      </c>
      <c r="AO78" s="19">
        <v>0</v>
      </c>
      <c r="AP78" s="19">
        <v>0</v>
      </c>
      <c r="AQ78" s="19">
        <v>0</v>
      </c>
      <c r="AR78" s="19">
        <v>0</v>
      </c>
      <c r="AS78" s="19">
        <v>11000</v>
      </c>
      <c r="AT78" s="19">
        <v>2000</v>
      </c>
      <c r="AU78" s="19">
        <v>20000</v>
      </c>
      <c r="AV78" s="19">
        <v>1167386</v>
      </c>
      <c r="AW78" s="51">
        <v>1474000</v>
      </c>
      <c r="AX78" s="51">
        <v>1690400</v>
      </c>
      <c r="AY78" s="3"/>
      <c r="AZ78" s="52">
        <v>1322000</v>
      </c>
      <c r="BA78" s="52"/>
      <c r="BB78" s="53">
        <f aca="true" t="shared" si="117" ref="BB78:BC82">AZ78/S78</f>
        <v>1</v>
      </c>
      <c r="BC78" s="53">
        <f t="shared" si="117"/>
        <v>0</v>
      </c>
      <c r="BD78" s="46">
        <f aca="true" t="shared" si="118" ref="BD78:BE82">-1+AZ78/R78</f>
        <v>0.6220858895705521</v>
      </c>
      <c r="BE78" s="46">
        <f t="shared" si="118"/>
        <v>-1</v>
      </c>
      <c r="BF78" s="6"/>
      <c r="BG78" s="89">
        <f aca="true" t="shared" si="119" ref="BG78:BH82">V78+Y78+AE78+AH78+AK78+AN78+AQ78+AT78+AZ78</f>
        <v>1474000</v>
      </c>
      <c r="BH78" s="89">
        <f t="shared" si="119"/>
        <v>285062</v>
      </c>
      <c r="BI78" s="44">
        <f aca="true" t="shared" si="120" ref="BI78:BJ82">BG78/(R78+U78+X78+AA78+AD78+AG78+AJ78+AM78+AP78+AS78)</f>
        <v>1.262650057478846</v>
      </c>
      <c r="BJ78" s="44">
        <f t="shared" si="120"/>
        <v>0.19339348710990503</v>
      </c>
      <c r="BK78" s="70">
        <f aca="true" t="shared" si="121" ref="BK78:BL82">IF(BI78&gt;=100%,0,(R78+U78+X78+AA78+AD78+AG78+AJ78+AM78+AP78+AS78)-(V78+Y78+AE78+AH78+AK78+AN78+AQ78+AT78+AZ78))</f>
        <v>0</v>
      </c>
      <c r="BL78" s="70">
        <f t="shared" si="121"/>
        <v>1188938</v>
      </c>
      <c r="BM78" s="10">
        <f t="shared" si="115"/>
        <v>1</v>
      </c>
      <c r="BN78" s="10">
        <f t="shared" si="115"/>
        <v>0.16863582584003786</v>
      </c>
      <c r="BO78" s="90">
        <f t="shared" si="116"/>
        <v>0</v>
      </c>
      <c r="BP78" s="90">
        <f t="shared" si="116"/>
        <v>1405338</v>
      </c>
      <c r="BQ78" s="70">
        <f aca="true" t="shared" si="122" ref="BQ78:BR82">IF(AA78&gt;BK78,0,BK78-AA78)</f>
        <v>0</v>
      </c>
      <c r="BR78" s="70">
        <f t="shared" si="122"/>
        <v>1188938</v>
      </c>
      <c r="BT78" s="41">
        <f aca="true" t="shared" si="123" ref="BT78:BW82">$AZ78/N78</f>
        <v>322439.0243902439</v>
      </c>
      <c r="BU78" s="41">
        <f t="shared" si="123"/>
        <v>400606.0606060606</v>
      </c>
      <c r="BV78" s="72">
        <f t="shared" si="123"/>
        <v>400606.0606060606</v>
      </c>
      <c r="BW78" s="243">
        <f t="shared" si="123"/>
        <v>528800</v>
      </c>
      <c r="BX78" s="203">
        <v>0.035</v>
      </c>
      <c r="BY78" s="114">
        <f t="shared" si="88"/>
        <v>20636.000000000004</v>
      </c>
      <c r="BZ78" s="215"/>
      <c r="CA78" s="195">
        <v>51600</v>
      </c>
      <c r="CB78" s="217"/>
      <c r="CC78" s="204"/>
      <c r="CD78" s="205"/>
      <c r="CE78" s="204"/>
      <c r="CF78" s="204"/>
      <c r="CG78" s="204"/>
      <c r="CH78" s="206" t="s">
        <v>143</v>
      </c>
      <c r="CI78" s="206" t="s">
        <v>47</v>
      </c>
      <c r="CJ78" s="53">
        <f>($CG78+$CA78+$AZ78+$AT78+$AQ78+$AN78+$AK78+$AH78+$AE78+$Y78+$V78)/$AV78</f>
        <v>1.3068513756375355</v>
      </c>
      <c r="CK78" s="53">
        <f>($CG78+$CA78+$AZ78+$AT78+$AQ78+$AN78+$AK78+$AH78+$AE78+$Y78+$V78)/$AW78</f>
        <v>1.0350067842605155</v>
      </c>
      <c r="CL78" s="53"/>
      <c r="CM78" s="204">
        <f t="shared" si="89"/>
        <v>51600</v>
      </c>
      <c r="CN78" s="204"/>
      <c r="CO78" s="204">
        <f t="shared" si="90"/>
        <v>1058386</v>
      </c>
      <c r="CP78" s="204">
        <f>AZ78+CM78</f>
        <v>1373600</v>
      </c>
      <c r="CQ78" s="207">
        <f t="shared" si="92"/>
        <v>0.29782517909344985</v>
      </c>
      <c r="CR78" s="114"/>
      <c r="CS78" s="114"/>
      <c r="CT78" s="114">
        <f t="shared" si="86"/>
        <v>1105500</v>
      </c>
      <c r="CU78" s="208">
        <v>0.83</v>
      </c>
      <c r="CV78" s="114">
        <f>IF(CT78*CU78&lt;T78,CT78*CU78,T78)</f>
        <v>917565</v>
      </c>
      <c r="CW78" s="114">
        <f t="shared" si="91"/>
        <v>991500</v>
      </c>
      <c r="CX78" s="114">
        <f t="shared" si="87"/>
        <v>1.262650057478846</v>
      </c>
      <c r="CY78" s="114"/>
      <c r="CZ78" s="114"/>
    </row>
    <row r="79" spans="1:104" ht="18" customHeight="1">
      <c r="A79" s="149">
        <v>44990260</v>
      </c>
      <c r="B79" s="49" t="s">
        <v>71</v>
      </c>
      <c r="C79" s="49" t="s">
        <v>43</v>
      </c>
      <c r="D79" s="49" t="s">
        <v>128</v>
      </c>
      <c r="E79" s="49" t="s">
        <v>130</v>
      </c>
      <c r="F79" s="73">
        <v>9920262</v>
      </c>
      <c r="G79" s="73">
        <v>0</v>
      </c>
      <c r="H79" s="73">
        <v>31</v>
      </c>
      <c r="I79" s="73">
        <v>0</v>
      </c>
      <c r="J79" s="73">
        <v>0</v>
      </c>
      <c r="K79" s="73">
        <v>0</v>
      </c>
      <c r="L79" s="73">
        <v>0</v>
      </c>
      <c r="M79" s="73">
        <v>0</v>
      </c>
      <c r="N79" s="73">
        <v>1.6</v>
      </c>
      <c r="O79" s="73">
        <v>2.3</v>
      </c>
      <c r="P79" s="73">
        <v>1.2</v>
      </c>
      <c r="Q79" s="73">
        <v>1.5</v>
      </c>
      <c r="R79" s="2">
        <v>381000</v>
      </c>
      <c r="S79" s="2">
        <v>462000</v>
      </c>
      <c r="T79" s="2">
        <v>938000</v>
      </c>
      <c r="U79" s="2">
        <v>0</v>
      </c>
      <c r="V79" s="2">
        <v>0</v>
      </c>
      <c r="W79" s="2">
        <v>0</v>
      </c>
      <c r="X79" s="91">
        <v>0</v>
      </c>
      <c r="Y79" s="2">
        <v>0</v>
      </c>
      <c r="Z79" s="2">
        <v>0</v>
      </c>
      <c r="AA79" s="2">
        <v>153582</v>
      </c>
      <c r="AB79" s="2">
        <v>126040</v>
      </c>
      <c r="AC79" s="2">
        <v>120000</v>
      </c>
      <c r="AD79" s="2">
        <v>92000</v>
      </c>
      <c r="AE79" s="2">
        <v>204000</v>
      </c>
      <c r="AF79" s="2">
        <v>150000</v>
      </c>
      <c r="AG79" s="2">
        <v>0</v>
      </c>
      <c r="AH79" s="2">
        <v>0</v>
      </c>
      <c r="AI79" s="2">
        <v>0</v>
      </c>
      <c r="AJ79" s="2">
        <v>6500</v>
      </c>
      <c r="AK79" s="2">
        <v>19500</v>
      </c>
      <c r="AL79" s="2">
        <v>19000</v>
      </c>
      <c r="AM79" s="2">
        <v>0</v>
      </c>
      <c r="AN79" s="2">
        <v>0</v>
      </c>
      <c r="AO79" s="2">
        <v>0</v>
      </c>
      <c r="AP79" s="2">
        <v>0</v>
      </c>
      <c r="AQ79" s="2">
        <v>0</v>
      </c>
      <c r="AR79" s="2">
        <v>0</v>
      </c>
      <c r="AS79" s="2">
        <v>40709</v>
      </c>
      <c r="AT79" s="2">
        <v>63460</v>
      </c>
      <c r="AU79" s="2">
        <v>76400</v>
      </c>
      <c r="AV79" s="2">
        <v>673791</v>
      </c>
      <c r="AW79" s="50">
        <v>875000</v>
      </c>
      <c r="AX79" s="50">
        <v>1303400</v>
      </c>
      <c r="AY79" s="3"/>
      <c r="AZ79" s="48">
        <v>462000</v>
      </c>
      <c r="BA79" s="48"/>
      <c r="BB79" s="4">
        <f t="shared" si="117"/>
        <v>1</v>
      </c>
      <c r="BC79" s="4">
        <f t="shared" si="117"/>
        <v>0</v>
      </c>
      <c r="BD79" s="5">
        <f t="shared" si="118"/>
        <v>0.21259842519685046</v>
      </c>
      <c r="BE79" s="5">
        <f t="shared" si="118"/>
        <v>-1</v>
      </c>
      <c r="BF79" s="6"/>
      <c r="BG79" s="7">
        <f t="shared" si="119"/>
        <v>748960</v>
      </c>
      <c r="BH79" s="7">
        <f t="shared" si="119"/>
        <v>245400</v>
      </c>
      <c r="BI79" s="8">
        <f t="shared" si="120"/>
        <v>1.1115613001657785</v>
      </c>
      <c r="BJ79" s="8">
        <f t="shared" si="120"/>
        <v>0.28045714285714285</v>
      </c>
      <c r="BK79" s="9">
        <f t="shared" si="121"/>
        <v>0</v>
      </c>
      <c r="BL79" s="9">
        <f t="shared" si="121"/>
        <v>629600</v>
      </c>
      <c r="BM79" s="10">
        <f t="shared" si="115"/>
        <v>0.8559542857142857</v>
      </c>
      <c r="BN79" s="10">
        <f t="shared" si="115"/>
        <v>0.18827681448519257</v>
      </c>
      <c r="BO79" s="11">
        <f t="shared" si="116"/>
        <v>126040</v>
      </c>
      <c r="BP79" s="11">
        <f t="shared" si="116"/>
        <v>1058000</v>
      </c>
      <c r="BQ79" s="12">
        <f t="shared" si="122"/>
        <v>0</v>
      </c>
      <c r="BR79" s="12">
        <f t="shared" si="122"/>
        <v>503560</v>
      </c>
      <c r="BT79" s="14">
        <f t="shared" si="123"/>
        <v>288750</v>
      </c>
      <c r="BU79" s="14">
        <f t="shared" si="123"/>
        <v>200869.56521739133</v>
      </c>
      <c r="BV79" s="15">
        <f t="shared" si="123"/>
        <v>385000</v>
      </c>
      <c r="BW79" s="244">
        <f t="shared" si="123"/>
        <v>308000</v>
      </c>
      <c r="BX79" s="223">
        <v>0.035</v>
      </c>
      <c r="BY79" s="74">
        <f t="shared" si="88"/>
        <v>12250.000000000002</v>
      </c>
      <c r="BZ79" s="224"/>
      <c r="CA79" s="226">
        <v>30600</v>
      </c>
      <c r="CB79" s="225"/>
      <c r="CC79" s="198"/>
      <c r="CD79" s="199"/>
      <c r="CE79" s="198"/>
      <c r="CF79" s="198"/>
      <c r="CG79" s="198"/>
      <c r="CH79" s="200" t="s">
        <v>143</v>
      </c>
      <c r="CI79" s="200" t="s">
        <v>47</v>
      </c>
      <c r="CJ79" s="4">
        <f>($CG79+$CA79+$AZ79+$AT79+$AQ79+$AN79+$AK79+$AH79+$AE79+$Y79+$V79)/$AV79</f>
        <v>1.156975976230018</v>
      </c>
      <c r="CK79" s="4">
        <f>($CG79+$CA79+$AZ79+$AT79+$AQ79+$AN79+$AK79+$AH79+$AE79+$Y79+$V79)/$AW79</f>
        <v>0.8909257142857143</v>
      </c>
      <c r="CL79" s="4"/>
      <c r="CM79" s="198">
        <f t="shared" si="89"/>
        <v>30600</v>
      </c>
      <c r="CN79" s="198"/>
      <c r="CO79" s="198">
        <f t="shared" si="90"/>
        <v>534582</v>
      </c>
      <c r="CP79" s="198">
        <f>AZ79+CM79</f>
        <v>492600</v>
      </c>
      <c r="CQ79" s="201">
        <f t="shared" si="92"/>
        <v>-0.07853238605115775</v>
      </c>
      <c r="CR79" s="74"/>
      <c r="CS79" s="74"/>
      <c r="CT79" s="74">
        <f t="shared" si="86"/>
        <v>656250</v>
      </c>
      <c r="CU79" s="202">
        <v>0.83</v>
      </c>
      <c r="CV79" s="74">
        <f>IF(CT79*CU79&lt;T79,CT79*CU79,T79)</f>
        <v>544687.5</v>
      </c>
      <c r="CW79" s="74">
        <f t="shared" si="91"/>
        <v>346500</v>
      </c>
      <c r="CX79" s="74">
        <f t="shared" si="87"/>
        <v>1.298622273078744</v>
      </c>
      <c r="CY79" s="74"/>
      <c r="CZ79" s="74"/>
    </row>
    <row r="80" spans="1:104" ht="24">
      <c r="A80" s="149">
        <v>45659028</v>
      </c>
      <c r="B80" s="49" t="s">
        <v>102</v>
      </c>
      <c r="C80" s="49" t="s">
        <v>43</v>
      </c>
      <c r="D80" s="49" t="s">
        <v>128</v>
      </c>
      <c r="E80" s="49" t="s">
        <v>131</v>
      </c>
      <c r="F80" s="73">
        <v>8414368</v>
      </c>
      <c r="G80" s="74"/>
      <c r="H80" s="73">
        <v>51</v>
      </c>
      <c r="I80" s="73">
        <v>0</v>
      </c>
      <c r="J80" s="73">
        <v>0</v>
      </c>
      <c r="K80" s="73">
        <v>0</v>
      </c>
      <c r="L80" s="73">
        <v>0</v>
      </c>
      <c r="M80" s="73">
        <v>0</v>
      </c>
      <c r="N80" s="73">
        <v>1.5</v>
      </c>
      <c r="O80" s="73">
        <v>1.7</v>
      </c>
      <c r="P80" s="73">
        <v>1.2</v>
      </c>
      <c r="Q80" s="73">
        <v>1.2</v>
      </c>
      <c r="R80" s="2">
        <v>237000</v>
      </c>
      <c r="S80" s="2">
        <v>510000</v>
      </c>
      <c r="T80" s="2">
        <v>612000</v>
      </c>
      <c r="U80" s="2">
        <v>0</v>
      </c>
      <c r="V80" s="2">
        <v>0</v>
      </c>
      <c r="W80" s="2">
        <v>0</v>
      </c>
      <c r="X80" s="2">
        <v>0</v>
      </c>
      <c r="Y80" s="2">
        <v>31170</v>
      </c>
      <c r="Z80" s="2">
        <v>12960</v>
      </c>
      <c r="AA80" s="2">
        <v>48321</v>
      </c>
      <c r="AB80" s="2">
        <v>0</v>
      </c>
      <c r="AC80" s="2">
        <v>0</v>
      </c>
      <c r="AD80" s="2">
        <v>3000</v>
      </c>
      <c r="AE80" s="2">
        <v>0</v>
      </c>
      <c r="AF80" s="2">
        <v>10000</v>
      </c>
      <c r="AG80" s="2">
        <v>0</v>
      </c>
      <c r="AH80" s="2">
        <v>0</v>
      </c>
      <c r="AI80" s="2">
        <v>0</v>
      </c>
      <c r="AJ80" s="2">
        <v>0</v>
      </c>
      <c r="AK80" s="2">
        <v>0</v>
      </c>
      <c r="AL80" s="2">
        <v>0</v>
      </c>
      <c r="AM80" s="2">
        <v>0</v>
      </c>
      <c r="AN80" s="2">
        <v>0</v>
      </c>
      <c r="AO80" s="2">
        <v>0</v>
      </c>
      <c r="AP80" s="2">
        <v>0</v>
      </c>
      <c r="AQ80" s="2">
        <v>0</v>
      </c>
      <c r="AR80" s="2">
        <v>0</v>
      </c>
      <c r="AS80" s="2">
        <v>103570</v>
      </c>
      <c r="AT80" s="2">
        <v>17000</v>
      </c>
      <c r="AU80" s="2">
        <v>10636</v>
      </c>
      <c r="AV80" s="2">
        <v>391891</v>
      </c>
      <c r="AW80" s="50">
        <v>558170</v>
      </c>
      <c r="AX80" s="50">
        <v>645596</v>
      </c>
      <c r="AY80" s="3"/>
      <c r="AZ80" s="48">
        <v>510000</v>
      </c>
      <c r="BA80" s="48"/>
      <c r="BB80" s="4">
        <f t="shared" si="117"/>
        <v>1</v>
      </c>
      <c r="BC80" s="4">
        <f t="shared" si="117"/>
        <v>0</v>
      </c>
      <c r="BD80" s="5">
        <f t="shared" si="118"/>
        <v>1.1518987341772151</v>
      </c>
      <c r="BE80" s="5">
        <f t="shared" si="118"/>
        <v>-1</v>
      </c>
      <c r="BF80" s="6"/>
      <c r="BG80" s="7">
        <f t="shared" si="119"/>
        <v>558170</v>
      </c>
      <c r="BH80" s="7">
        <f t="shared" si="119"/>
        <v>33596</v>
      </c>
      <c r="BI80" s="8">
        <f t="shared" si="120"/>
        <v>1.4242991035772703</v>
      </c>
      <c r="BJ80" s="8">
        <f t="shared" si="120"/>
        <v>0.06018954798717237</v>
      </c>
      <c r="BK80" s="9">
        <f t="shared" si="121"/>
        <v>0</v>
      </c>
      <c r="BL80" s="9">
        <f t="shared" si="121"/>
        <v>524574</v>
      </c>
      <c r="BM80" s="10">
        <f t="shared" si="115"/>
        <v>1</v>
      </c>
      <c r="BN80" s="10">
        <f t="shared" si="115"/>
        <v>0.05203873629948141</v>
      </c>
      <c r="BO80" s="11">
        <f t="shared" si="116"/>
        <v>0</v>
      </c>
      <c r="BP80" s="11">
        <f t="shared" si="116"/>
        <v>612000</v>
      </c>
      <c r="BQ80" s="12">
        <f t="shared" si="122"/>
        <v>0</v>
      </c>
      <c r="BR80" s="12">
        <f t="shared" si="122"/>
        <v>524574</v>
      </c>
      <c r="BT80" s="14">
        <f t="shared" si="123"/>
        <v>340000</v>
      </c>
      <c r="BU80" s="14">
        <f t="shared" si="123"/>
        <v>300000</v>
      </c>
      <c r="BV80" s="15">
        <f t="shared" si="123"/>
        <v>425000</v>
      </c>
      <c r="BW80" s="244">
        <f t="shared" si="123"/>
        <v>425000</v>
      </c>
      <c r="BX80" s="223">
        <v>0.035</v>
      </c>
      <c r="BY80" s="74">
        <f t="shared" si="88"/>
        <v>7814.380000000001</v>
      </c>
      <c r="BZ80" s="224"/>
      <c r="CA80" s="226">
        <v>19500</v>
      </c>
      <c r="CB80" s="225"/>
      <c r="CC80" s="198"/>
      <c r="CD80" s="199"/>
      <c r="CE80" s="198"/>
      <c r="CF80" s="198"/>
      <c r="CG80" s="198"/>
      <c r="CH80" s="200" t="s">
        <v>143</v>
      </c>
      <c r="CI80" s="200" t="s">
        <v>52</v>
      </c>
      <c r="CJ80" s="4">
        <f>($CG80+$CA80+$AZ80+$AT80+$AQ80+$AN80+$AK80+$AH80+$AE80+$Y80+$V80)/$AV80</f>
        <v>1.4740578375109405</v>
      </c>
      <c r="CK80" s="4">
        <f>($CG80+$CA80+$AZ80+$AT80+$AQ80+$AN80+$AK80+$AH80+$AE80+$Y80+$V80)/$AW80</f>
        <v>1.0349355930988766</v>
      </c>
      <c r="CL80" s="4"/>
      <c r="CM80" s="198">
        <f t="shared" si="89"/>
        <v>19500</v>
      </c>
      <c r="CN80" s="198"/>
      <c r="CO80" s="198">
        <f t="shared" si="90"/>
        <v>285321</v>
      </c>
      <c r="CP80" s="198">
        <f>AZ80+CM80</f>
        <v>529500</v>
      </c>
      <c r="CQ80" s="201">
        <f t="shared" si="92"/>
        <v>0.8558045149147802</v>
      </c>
      <c r="CR80" s="74"/>
      <c r="CS80" s="74"/>
      <c r="CT80" s="74">
        <f t="shared" si="86"/>
        <v>418627.5</v>
      </c>
      <c r="CU80" s="202">
        <v>0.83</v>
      </c>
      <c r="CV80" s="74">
        <f>IF(CT80*CU80&lt;T80,CT80*CU80,T80)</f>
        <v>347460.825</v>
      </c>
      <c r="CW80" s="74">
        <f t="shared" si="91"/>
        <v>382500</v>
      </c>
      <c r="CX80" s="74">
        <f t="shared" si="87"/>
        <v>1.4242991035772703</v>
      </c>
      <c r="CY80" s="74"/>
      <c r="CZ80" s="74"/>
    </row>
    <row r="81" spans="1:104" ht="36">
      <c r="A81" s="149">
        <v>75094924</v>
      </c>
      <c r="B81" s="49" t="s">
        <v>132</v>
      </c>
      <c r="C81" s="49" t="s">
        <v>43</v>
      </c>
      <c r="D81" s="49" t="s">
        <v>128</v>
      </c>
      <c r="E81" s="49" t="s">
        <v>133</v>
      </c>
      <c r="F81" s="73">
        <v>4123958</v>
      </c>
      <c r="G81" s="74"/>
      <c r="H81" s="73">
        <v>110</v>
      </c>
      <c r="I81" s="73">
        <v>0</v>
      </c>
      <c r="J81" s="73">
        <v>0</v>
      </c>
      <c r="K81" s="73">
        <v>0</v>
      </c>
      <c r="L81" s="73">
        <v>0</v>
      </c>
      <c r="M81" s="73">
        <v>0</v>
      </c>
      <c r="N81" s="73">
        <v>6.9</v>
      </c>
      <c r="O81" s="73">
        <v>7.5</v>
      </c>
      <c r="P81" s="73">
        <v>5</v>
      </c>
      <c r="Q81" s="73">
        <v>5.5</v>
      </c>
      <c r="R81" s="2">
        <v>214000</v>
      </c>
      <c r="S81" s="2">
        <v>447000</v>
      </c>
      <c r="T81" s="2">
        <v>523330</v>
      </c>
      <c r="U81" s="2">
        <v>0</v>
      </c>
      <c r="V81" s="2">
        <v>0</v>
      </c>
      <c r="W81" s="2">
        <v>0</v>
      </c>
      <c r="X81" s="2">
        <v>0</v>
      </c>
      <c r="Y81" s="2">
        <v>0</v>
      </c>
      <c r="Z81" s="2">
        <v>0</v>
      </c>
      <c r="AA81" s="2">
        <v>48200</v>
      </c>
      <c r="AB81" s="2">
        <v>30600</v>
      </c>
      <c r="AC81" s="2">
        <v>49540</v>
      </c>
      <c r="AD81" s="2">
        <v>65400</v>
      </c>
      <c r="AE81" s="2">
        <v>50000</v>
      </c>
      <c r="AF81" s="2">
        <v>60000</v>
      </c>
      <c r="AG81" s="2">
        <v>0</v>
      </c>
      <c r="AH81" s="2">
        <v>0</v>
      </c>
      <c r="AI81" s="2">
        <v>0</v>
      </c>
      <c r="AJ81" s="2">
        <v>0</v>
      </c>
      <c r="AK81" s="2">
        <v>0</v>
      </c>
      <c r="AL81" s="2">
        <v>0</v>
      </c>
      <c r="AM81" s="2">
        <v>0</v>
      </c>
      <c r="AN81" s="2">
        <v>0</v>
      </c>
      <c r="AO81" s="2">
        <v>0</v>
      </c>
      <c r="AP81" s="2">
        <v>58200</v>
      </c>
      <c r="AQ81" s="2">
        <v>58200</v>
      </c>
      <c r="AR81" s="2">
        <v>0</v>
      </c>
      <c r="AS81" s="2">
        <v>50169</v>
      </c>
      <c r="AT81" s="2">
        <v>57400</v>
      </c>
      <c r="AU81" s="2">
        <v>47377</v>
      </c>
      <c r="AV81" s="2">
        <v>435969</v>
      </c>
      <c r="AW81" s="50">
        <v>643200</v>
      </c>
      <c r="AX81" s="50">
        <v>682247</v>
      </c>
      <c r="AY81" s="3"/>
      <c r="AZ81" s="48">
        <v>447000</v>
      </c>
      <c r="BA81" s="48"/>
      <c r="BB81" s="4">
        <f t="shared" si="117"/>
        <v>1</v>
      </c>
      <c r="BC81" s="4">
        <f t="shared" si="117"/>
        <v>0</v>
      </c>
      <c r="BD81" s="5">
        <f t="shared" si="118"/>
        <v>1.088785046728972</v>
      </c>
      <c r="BE81" s="5">
        <f t="shared" si="118"/>
        <v>-1</v>
      </c>
      <c r="BF81" s="6"/>
      <c r="BG81" s="7">
        <f t="shared" si="119"/>
        <v>612600</v>
      </c>
      <c r="BH81" s="7">
        <f t="shared" si="119"/>
        <v>107377</v>
      </c>
      <c r="BI81" s="8">
        <f t="shared" si="120"/>
        <v>1.4051457787136241</v>
      </c>
      <c r="BJ81" s="8">
        <f t="shared" si="120"/>
        <v>0.16694185323383084</v>
      </c>
      <c r="BK81" s="9">
        <f t="shared" si="121"/>
        <v>0</v>
      </c>
      <c r="BL81" s="9">
        <f t="shared" si="121"/>
        <v>535823</v>
      </c>
      <c r="BM81" s="10">
        <f t="shared" si="115"/>
        <v>0.9524253731343284</v>
      </c>
      <c r="BN81" s="10">
        <f t="shared" si="115"/>
        <v>0.15738728055968</v>
      </c>
      <c r="BO81" s="11">
        <f t="shared" si="116"/>
        <v>30600</v>
      </c>
      <c r="BP81" s="11">
        <f t="shared" si="116"/>
        <v>574870</v>
      </c>
      <c r="BQ81" s="12">
        <f t="shared" si="122"/>
        <v>0</v>
      </c>
      <c r="BR81" s="12">
        <f t="shared" si="122"/>
        <v>505223</v>
      </c>
      <c r="BT81" s="14">
        <f t="shared" si="123"/>
        <v>64782.60869565217</v>
      </c>
      <c r="BU81" s="14">
        <f t="shared" si="123"/>
        <v>59600</v>
      </c>
      <c r="BV81" s="15">
        <f t="shared" si="123"/>
        <v>89400</v>
      </c>
      <c r="BW81" s="244">
        <f t="shared" si="123"/>
        <v>81272.72727272728</v>
      </c>
      <c r="BX81" s="223">
        <v>0.035</v>
      </c>
      <c r="BY81" s="74">
        <f t="shared" si="88"/>
        <v>9004.800000000001</v>
      </c>
      <c r="BZ81" s="224"/>
      <c r="CA81" s="226">
        <v>22500</v>
      </c>
      <c r="CB81" s="225"/>
      <c r="CC81" s="198"/>
      <c r="CD81" s="199"/>
      <c r="CE81" s="198"/>
      <c r="CF81" s="198"/>
      <c r="CG81" s="198"/>
      <c r="CH81" s="200" t="s">
        <v>143</v>
      </c>
      <c r="CI81" s="200" t="s">
        <v>52</v>
      </c>
      <c r="CJ81" s="4">
        <f>($CG81+$CA81+$AZ81+$AT81+$AQ81+$AN81+$AK81+$AH81+$AE81+$Y81+$V81)/$AV81</f>
        <v>1.4567549527604027</v>
      </c>
      <c r="CK81" s="4">
        <f>($CG81+$CA81+$AZ81+$AT81+$AQ81+$AN81+$AK81+$AH81+$AE81+$Y81+$V81)/$AW81</f>
        <v>0.9874067164179104</v>
      </c>
      <c r="CL81" s="4"/>
      <c r="CM81" s="198">
        <f t="shared" si="89"/>
        <v>22500</v>
      </c>
      <c r="CN81" s="198"/>
      <c r="CO81" s="198">
        <f t="shared" si="90"/>
        <v>262200</v>
      </c>
      <c r="CP81" s="198">
        <f>AZ81+CM81</f>
        <v>469500</v>
      </c>
      <c r="CQ81" s="201">
        <f t="shared" si="92"/>
        <v>0.7906178489702518</v>
      </c>
      <c r="CR81" s="74"/>
      <c r="CS81" s="74"/>
      <c r="CT81" s="74">
        <f t="shared" si="86"/>
        <v>482400</v>
      </c>
      <c r="CU81" s="202">
        <v>0.83</v>
      </c>
      <c r="CV81" s="74">
        <f>IF(CT81*CU81&lt;T81,CT81*CU81,T81)</f>
        <v>400392</v>
      </c>
      <c r="CW81" s="74">
        <f t="shared" si="91"/>
        <v>335250</v>
      </c>
      <c r="CX81" s="74">
        <f t="shared" si="87"/>
        <v>1.475334255417243</v>
      </c>
      <c r="CY81" s="74"/>
      <c r="CZ81" s="74"/>
    </row>
    <row r="82" spans="1:104" ht="36.75" thickBot="1">
      <c r="A82" s="245">
        <v>75094975</v>
      </c>
      <c r="B82" s="246" t="s">
        <v>134</v>
      </c>
      <c r="C82" s="246" t="s">
        <v>43</v>
      </c>
      <c r="D82" s="246" t="s">
        <v>128</v>
      </c>
      <c r="E82" s="246" t="s">
        <v>135</v>
      </c>
      <c r="F82" s="76">
        <v>5585320</v>
      </c>
      <c r="G82" s="121"/>
      <c r="H82" s="76">
        <v>10</v>
      </c>
      <c r="I82" s="76">
        <v>0</v>
      </c>
      <c r="J82" s="76">
        <v>0</v>
      </c>
      <c r="K82" s="76">
        <v>0</v>
      </c>
      <c r="L82" s="76">
        <v>0</v>
      </c>
      <c r="M82" s="76">
        <v>0</v>
      </c>
      <c r="N82" s="76">
        <v>0.7</v>
      </c>
      <c r="O82" s="76">
        <v>0.7</v>
      </c>
      <c r="P82" s="76">
        <v>0.4</v>
      </c>
      <c r="Q82" s="76">
        <v>0.4</v>
      </c>
      <c r="R82" s="17">
        <v>0</v>
      </c>
      <c r="S82" s="17">
        <v>208000</v>
      </c>
      <c r="T82" s="17">
        <v>316965</v>
      </c>
      <c r="U82" s="17">
        <v>0</v>
      </c>
      <c r="V82" s="17">
        <v>0</v>
      </c>
      <c r="W82" s="17">
        <v>0</v>
      </c>
      <c r="X82" s="17">
        <v>0</v>
      </c>
      <c r="Y82" s="17">
        <v>0</v>
      </c>
      <c r="Z82" s="17">
        <v>0</v>
      </c>
      <c r="AA82" s="17">
        <v>0</v>
      </c>
      <c r="AB82" s="17">
        <v>0</v>
      </c>
      <c r="AC82" s="17">
        <v>0</v>
      </c>
      <c r="AD82" s="17">
        <v>16000</v>
      </c>
      <c r="AE82" s="17">
        <v>12000</v>
      </c>
      <c r="AF82" s="17">
        <v>10000</v>
      </c>
      <c r="AG82" s="17">
        <v>0</v>
      </c>
      <c r="AH82" s="17">
        <v>0</v>
      </c>
      <c r="AI82" s="17">
        <v>0</v>
      </c>
      <c r="AJ82" s="17">
        <v>0</v>
      </c>
      <c r="AK82" s="17">
        <v>0</v>
      </c>
      <c r="AL82" s="17">
        <v>0</v>
      </c>
      <c r="AM82" s="17">
        <v>0</v>
      </c>
      <c r="AN82" s="17">
        <v>0</v>
      </c>
      <c r="AO82" s="17">
        <v>0</v>
      </c>
      <c r="AP82" s="17">
        <v>0</v>
      </c>
      <c r="AQ82" s="17">
        <v>0</v>
      </c>
      <c r="AR82" s="17">
        <v>0</v>
      </c>
      <c r="AS82" s="17">
        <v>45000</v>
      </c>
      <c r="AT82" s="17">
        <v>39000</v>
      </c>
      <c r="AU82" s="17">
        <v>14100</v>
      </c>
      <c r="AV82" s="17">
        <v>56000</v>
      </c>
      <c r="AW82" s="54">
        <v>259000</v>
      </c>
      <c r="AX82" s="54">
        <v>341065</v>
      </c>
      <c r="AY82" s="3"/>
      <c r="AZ82" s="55">
        <v>208000</v>
      </c>
      <c r="BA82" s="55"/>
      <c r="BB82" s="56">
        <f t="shared" si="117"/>
        <v>1</v>
      </c>
      <c r="BC82" s="56">
        <f t="shared" si="117"/>
        <v>0</v>
      </c>
      <c r="BD82" s="47" t="e">
        <f t="shared" si="118"/>
        <v>#DIV/0!</v>
      </c>
      <c r="BE82" s="47">
        <f t="shared" si="118"/>
        <v>-1</v>
      </c>
      <c r="BF82" s="6"/>
      <c r="BG82" s="77">
        <f t="shared" si="119"/>
        <v>259000</v>
      </c>
      <c r="BH82" s="77">
        <f t="shared" si="119"/>
        <v>24100</v>
      </c>
      <c r="BI82" s="45">
        <f t="shared" si="120"/>
        <v>4.245901639344262</v>
      </c>
      <c r="BJ82" s="45">
        <f t="shared" si="120"/>
        <v>0.09305019305019305</v>
      </c>
      <c r="BK82" s="78">
        <f t="shared" si="121"/>
        <v>0</v>
      </c>
      <c r="BL82" s="78">
        <f t="shared" si="121"/>
        <v>234900</v>
      </c>
      <c r="BM82" s="79">
        <f t="shared" si="115"/>
        <v>1</v>
      </c>
      <c r="BN82" s="79">
        <f t="shared" si="115"/>
        <v>0.07066101769457435</v>
      </c>
      <c r="BO82" s="115">
        <f t="shared" si="116"/>
        <v>0</v>
      </c>
      <c r="BP82" s="115">
        <f t="shared" si="116"/>
        <v>316965</v>
      </c>
      <c r="BQ82" s="116">
        <f t="shared" si="122"/>
        <v>0</v>
      </c>
      <c r="BR82" s="116">
        <f t="shared" si="122"/>
        <v>234900</v>
      </c>
      <c r="BT82" s="42">
        <f t="shared" si="123"/>
        <v>297142.85714285716</v>
      </c>
      <c r="BU82" s="42">
        <f t="shared" si="123"/>
        <v>297142.85714285716</v>
      </c>
      <c r="BV82" s="80">
        <f t="shared" si="123"/>
        <v>520000</v>
      </c>
      <c r="BW82" s="247">
        <f t="shared" si="123"/>
        <v>520000</v>
      </c>
      <c r="BX82" s="209">
        <v>0.035</v>
      </c>
      <c r="BY82" s="121">
        <f t="shared" si="88"/>
        <v>3626</v>
      </c>
      <c r="BZ82" s="216"/>
      <c r="CA82" s="219">
        <v>9100</v>
      </c>
      <c r="CB82" s="218"/>
      <c r="CC82" s="210"/>
      <c r="CD82" s="211"/>
      <c r="CE82" s="210"/>
      <c r="CF82" s="210"/>
      <c r="CG82" s="210"/>
      <c r="CH82" s="212" t="s">
        <v>143</v>
      </c>
      <c r="CI82" s="212" t="s">
        <v>52</v>
      </c>
      <c r="CJ82" s="56">
        <f>($CG82+$CA82+$AZ82+$AT82+$AQ82+$AN82+$AK82+$AH82+$AE82+$Y82+$V82)/$AV82</f>
        <v>4.7875</v>
      </c>
      <c r="CK82" s="56">
        <f>($CG82+$CA82+$AZ82+$AT82+$AQ82+$AN82+$AK82+$AH82+$AE82+$Y82+$V82)/$AW82</f>
        <v>1.0351351351351352</v>
      </c>
      <c r="CL82" s="56"/>
      <c r="CM82" s="210">
        <f t="shared" si="89"/>
        <v>9100</v>
      </c>
      <c r="CN82" s="210"/>
      <c r="CO82" s="210">
        <f t="shared" si="90"/>
        <v>0</v>
      </c>
      <c r="CP82" s="210">
        <f>AZ82+CM82</f>
        <v>217100</v>
      </c>
      <c r="CQ82" s="213" t="e">
        <f t="shared" si="92"/>
        <v>#DIV/0!</v>
      </c>
      <c r="CR82" s="121"/>
      <c r="CS82" s="121"/>
      <c r="CT82" s="121">
        <f t="shared" si="86"/>
        <v>194250</v>
      </c>
      <c r="CU82" s="214">
        <v>0.83</v>
      </c>
      <c r="CV82" s="121">
        <f>IF(CT82*CU82&lt;T82,CT82*CU82,T82)</f>
        <v>161227.5</v>
      </c>
      <c r="CW82" s="121">
        <f t="shared" si="91"/>
        <v>156000</v>
      </c>
      <c r="CX82" s="121">
        <f t="shared" si="87"/>
        <v>4.625</v>
      </c>
      <c r="CY82" s="121"/>
      <c r="CZ82" s="121"/>
    </row>
    <row r="83" spans="1:98" ht="8.25" customHeight="1" thickBot="1">
      <c r="A83" s="150"/>
      <c r="B83" s="86"/>
      <c r="C83" s="86"/>
      <c r="D83" s="86"/>
      <c r="E83" s="86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34"/>
      <c r="BC83" s="34"/>
      <c r="BD83" s="34"/>
      <c r="BE83" s="34"/>
      <c r="BF83" s="34"/>
      <c r="BI83" s="6"/>
      <c r="BJ83" s="6"/>
      <c r="BK83" s="87"/>
      <c r="BL83" s="87"/>
      <c r="BM83" s="38"/>
      <c r="BN83" s="38"/>
      <c r="BQ83" s="87"/>
      <c r="BR83" s="87"/>
      <c r="BT83" s="43"/>
      <c r="BU83" s="43"/>
      <c r="BV83" s="43"/>
      <c r="BW83" s="43"/>
      <c r="BX83" s="13"/>
      <c r="BY83" s="13">
        <f t="shared" si="88"/>
        <v>0</v>
      </c>
      <c r="BZ83" s="13"/>
      <c r="CB83" s="196"/>
      <c r="CC83" s="32"/>
      <c r="CD83" s="197"/>
      <c r="CE83" s="32"/>
      <c r="CF83" s="32"/>
      <c r="CG83" s="32"/>
      <c r="CJ83" s="6"/>
      <c r="CK83" s="6"/>
      <c r="CL83" s="6"/>
      <c r="CM83" s="32"/>
      <c r="CO83" s="32"/>
      <c r="CP83" s="32"/>
      <c r="CQ83" s="154"/>
      <c r="CT83" s="13">
        <f t="shared" si="86"/>
        <v>0</v>
      </c>
    </row>
    <row r="84" spans="1:104" ht="60">
      <c r="A84" s="241">
        <v>26908042</v>
      </c>
      <c r="B84" s="242" t="s">
        <v>127</v>
      </c>
      <c r="C84" s="242" t="s">
        <v>43</v>
      </c>
      <c r="D84" s="242" t="s">
        <v>136</v>
      </c>
      <c r="E84" s="242" t="s">
        <v>138</v>
      </c>
      <c r="F84" s="67">
        <v>9733318</v>
      </c>
      <c r="G84" s="114"/>
      <c r="H84" s="67">
        <v>140</v>
      </c>
      <c r="I84" s="67">
        <v>0</v>
      </c>
      <c r="J84" s="67">
        <v>0</v>
      </c>
      <c r="K84" s="67">
        <v>0</v>
      </c>
      <c r="L84" s="67">
        <v>0</v>
      </c>
      <c r="M84" s="67">
        <v>0</v>
      </c>
      <c r="N84" s="67">
        <v>2.3</v>
      </c>
      <c r="O84" s="67">
        <v>1</v>
      </c>
      <c r="P84" s="67">
        <v>1.8</v>
      </c>
      <c r="Q84" s="67">
        <v>0.5</v>
      </c>
      <c r="R84" s="19">
        <v>174000</v>
      </c>
      <c r="S84" s="19">
        <v>441700</v>
      </c>
      <c r="T84" s="19">
        <v>498000</v>
      </c>
      <c r="U84" s="19">
        <v>0</v>
      </c>
      <c r="V84" s="19">
        <v>0</v>
      </c>
      <c r="W84" s="19">
        <v>0</v>
      </c>
      <c r="X84" s="19">
        <v>0</v>
      </c>
      <c r="Y84" s="19">
        <v>0</v>
      </c>
      <c r="Z84" s="19">
        <v>0</v>
      </c>
      <c r="AA84" s="19">
        <v>0</v>
      </c>
      <c r="AB84" s="19">
        <v>29400</v>
      </c>
      <c r="AC84" s="19">
        <v>0</v>
      </c>
      <c r="AD84" s="19">
        <v>0</v>
      </c>
      <c r="AE84" s="19">
        <v>0</v>
      </c>
      <c r="AF84" s="19">
        <v>0</v>
      </c>
      <c r="AG84" s="19">
        <v>0</v>
      </c>
      <c r="AH84" s="19">
        <v>0</v>
      </c>
      <c r="AI84" s="19">
        <v>0</v>
      </c>
      <c r="AJ84" s="19">
        <v>0</v>
      </c>
      <c r="AK84" s="19">
        <v>0</v>
      </c>
      <c r="AL84" s="19">
        <v>0</v>
      </c>
      <c r="AM84" s="19">
        <v>0</v>
      </c>
      <c r="AN84" s="19">
        <v>0</v>
      </c>
      <c r="AO84" s="19">
        <v>0</v>
      </c>
      <c r="AP84" s="19">
        <v>298000</v>
      </c>
      <c r="AQ84" s="19">
        <v>0</v>
      </c>
      <c r="AR84" s="19">
        <v>0</v>
      </c>
      <c r="AS84" s="19">
        <v>106556</v>
      </c>
      <c r="AT84" s="19">
        <v>40900</v>
      </c>
      <c r="AU84" s="19">
        <v>16000</v>
      </c>
      <c r="AV84" s="19">
        <v>578556</v>
      </c>
      <c r="AW84" s="51">
        <v>512000</v>
      </c>
      <c r="AX84" s="51">
        <v>514000</v>
      </c>
      <c r="AY84" s="3"/>
      <c r="AZ84" s="48">
        <v>441700</v>
      </c>
      <c r="BA84" s="48"/>
      <c r="BB84" s="4">
        <f>AZ84/S84</f>
        <v>1</v>
      </c>
      <c r="BC84" s="4">
        <f>BA84/T84</f>
        <v>0</v>
      </c>
      <c r="BD84" s="5">
        <f>-1+AZ84/R84</f>
        <v>1.538505747126437</v>
      </c>
      <c r="BE84" s="5">
        <f>-1+BA84/S84</f>
        <v>-1</v>
      </c>
      <c r="BF84" s="6"/>
      <c r="BG84" s="7">
        <f>V84+Y84+AE84+AH84+AK84+AN84+AQ84+AT84+AZ84</f>
        <v>482600</v>
      </c>
      <c r="BH84" s="7">
        <f>W84+Z84+AF84+AI84+AL84+AO84+AR84+AU84+BA84</f>
        <v>16000</v>
      </c>
      <c r="BI84" s="8">
        <f>BG84/(R84+U84+X84+AA84+AD84+AG84+AJ84+AM84+AP84+AS84)</f>
        <v>0.8341457006754748</v>
      </c>
      <c r="BJ84" s="8">
        <f>BH84/(S84+V84+Y84+AB84+AE84+AH84+AK84+AN84+AQ84+AT84)</f>
        <v>0.03125</v>
      </c>
      <c r="BK84" s="9">
        <f>IF(BI84&gt;=100%,0,(R84+U84+X84+AA84+AD84+AG84+AJ84+AM84+AP84+AS84)-(V84+Y84+AE84+AH84+AK84+AN84+AQ84+AT84+AZ84))</f>
        <v>95956</v>
      </c>
      <c r="BL84" s="9">
        <f>IF(BJ84&gt;=100%,0,(S84+V84+Y84+AB84+AE84+AH84+AK84+AN84+AQ84+AT84)-(W84+Z84+AF84+AI84+AL84+AO84+AR84+AU84+BA84))</f>
        <v>496000</v>
      </c>
      <c r="BM84" s="10">
        <f t="shared" si="115"/>
        <v>0.942578125</v>
      </c>
      <c r="BN84" s="10">
        <f t="shared" si="115"/>
        <v>0.0311284046692607</v>
      </c>
      <c r="BO84" s="11">
        <f t="shared" si="116"/>
        <v>29400</v>
      </c>
      <c r="BP84" s="11">
        <f t="shared" si="116"/>
        <v>498000</v>
      </c>
      <c r="BQ84" s="12">
        <f>IF(AA84&gt;BK84,0,BK84-AA84)</f>
        <v>95956</v>
      </c>
      <c r="BR84" s="12">
        <f>IF(AB84&gt;BL84,0,BL84-AB84)</f>
        <v>466600</v>
      </c>
      <c r="BT84" s="14">
        <f>$AZ84/N84</f>
        <v>192043.47826086957</v>
      </c>
      <c r="BU84" s="14">
        <f>$AZ84/O84</f>
        <v>441700</v>
      </c>
      <c r="BV84" s="15">
        <f>$AZ84/P84</f>
        <v>245388.88888888888</v>
      </c>
      <c r="BW84" s="244">
        <f>$AZ84/Q84</f>
        <v>883400</v>
      </c>
      <c r="BX84" s="203">
        <v>0.13</v>
      </c>
      <c r="BY84" s="114">
        <f t="shared" si="88"/>
        <v>26624</v>
      </c>
      <c r="BZ84" s="215"/>
      <c r="CA84" s="195">
        <v>26000</v>
      </c>
      <c r="CB84" s="217"/>
      <c r="CC84" s="204"/>
      <c r="CD84" s="205"/>
      <c r="CE84" s="204"/>
      <c r="CF84" s="204"/>
      <c r="CG84" s="204"/>
      <c r="CH84" s="206" t="s">
        <v>137</v>
      </c>
      <c r="CI84" s="264" t="s">
        <v>50</v>
      </c>
      <c r="CJ84" s="92">
        <f>($CG84+$CA84+$AZ84+$AT84+$AQ84+$AN84+$AK84+$AH84+$AE84+$Y84+$V84)/$AV84</f>
        <v>0.8790851706662794</v>
      </c>
      <c r="CK84" s="4">
        <f>($CG84+$CA84+$AZ84+$AT84+$AQ84+$AN84+$AK84+$AH84+$AE84+$Y84+$V84)/$AW84</f>
        <v>0.993359375</v>
      </c>
      <c r="CL84" s="4"/>
      <c r="CM84" s="198">
        <f t="shared" si="89"/>
        <v>26000</v>
      </c>
      <c r="CN84" s="198"/>
      <c r="CO84" s="198">
        <f t="shared" si="90"/>
        <v>174000</v>
      </c>
      <c r="CP84" s="198">
        <f>AZ84+CM84</f>
        <v>467700</v>
      </c>
      <c r="CQ84" s="201">
        <f t="shared" si="92"/>
        <v>1.6879310344827587</v>
      </c>
      <c r="CR84" s="74"/>
      <c r="CS84" s="74"/>
      <c r="CT84" s="74">
        <f t="shared" si="86"/>
        <v>384000</v>
      </c>
      <c r="CU84" s="202">
        <v>0.63</v>
      </c>
      <c r="CV84" s="74">
        <f>IF(CT84*CU84&lt;T84,CT84*CU84,T84)</f>
        <v>241920</v>
      </c>
      <c r="CW84" s="74">
        <f t="shared" si="91"/>
        <v>331275</v>
      </c>
      <c r="CX84" s="74">
        <f t="shared" si="87"/>
        <v>0.884961870588154</v>
      </c>
      <c r="CY84" s="74"/>
      <c r="CZ84" s="74"/>
    </row>
    <row r="85" spans="1:104" ht="60.75" thickBot="1">
      <c r="A85" s="245">
        <v>70803978</v>
      </c>
      <c r="B85" s="246" t="s">
        <v>112</v>
      </c>
      <c r="C85" s="268" t="s">
        <v>43</v>
      </c>
      <c r="D85" s="246" t="s">
        <v>136</v>
      </c>
      <c r="E85" s="268" t="s">
        <v>271</v>
      </c>
      <c r="F85" s="76">
        <v>9642384</v>
      </c>
      <c r="G85" s="76"/>
      <c r="H85" s="76">
        <v>120</v>
      </c>
      <c r="I85" s="76"/>
      <c r="J85" s="76"/>
      <c r="K85" s="76"/>
      <c r="L85" s="76"/>
      <c r="M85" s="76"/>
      <c r="N85" s="76"/>
      <c r="O85" s="76">
        <v>3</v>
      </c>
      <c r="P85" s="76"/>
      <c r="Q85" s="76">
        <v>3</v>
      </c>
      <c r="R85" s="17">
        <v>0</v>
      </c>
      <c r="S85" s="17">
        <v>0</v>
      </c>
      <c r="T85" s="17">
        <v>700000</v>
      </c>
      <c r="U85" s="17">
        <v>0</v>
      </c>
      <c r="V85" s="17">
        <v>0</v>
      </c>
      <c r="W85" s="17">
        <v>0</v>
      </c>
      <c r="X85" s="111">
        <v>0</v>
      </c>
      <c r="Y85" s="17">
        <v>0</v>
      </c>
      <c r="Z85" s="17">
        <v>0</v>
      </c>
      <c r="AA85" s="17">
        <v>0</v>
      </c>
      <c r="AB85" s="17">
        <v>700000</v>
      </c>
      <c r="AC85" s="17">
        <v>300000</v>
      </c>
      <c r="AD85" s="17">
        <v>0</v>
      </c>
      <c r="AE85" s="17">
        <v>0</v>
      </c>
      <c r="AF85" s="17">
        <v>70000</v>
      </c>
      <c r="AG85" s="17">
        <v>0</v>
      </c>
      <c r="AH85" s="17">
        <v>0</v>
      </c>
      <c r="AI85" s="17">
        <v>0</v>
      </c>
      <c r="AJ85" s="17">
        <v>0</v>
      </c>
      <c r="AK85" s="17">
        <v>0</v>
      </c>
      <c r="AL85" s="17">
        <v>0</v>
      </c>
      <c r="AM85" s="17">
        <v>0</v>
      </c>
      <c r="AN85" s="17">
        <v>0</v>
      </c>
      <c r="AO85" s="17">
        <v>0</v>
      </c>
      <c r="AP85" s="17">
        <v>0</v>
      </c>
      <c r="AQ85" s="17">
        <v>0</v>
      </c>
      <c r="AR85" s="17">
        <v>0</v>
      </c>
      <c r="AS85" s="17">
        <v>0</v>
      </c>
      <c r="AT85" s="17">
        <v>290000</v>
      </c>
      <c r="AU85" s="17">
        <v>230000</v>
      </c>
      <c r="AV85" s="17">
        <v>0</v>
      </c>
      <c r="AW85" s="54">
        <v>990000</v>
      </c>
      <c r="AX85" s="54">
        <v>1300000</v>
      </c>
      <c r="AY85" s="3"/>
      <c r="AZ85" s="48"/>
      <c r="BA85" s="48"/>
      <c r="BB85" s="4"/>
      <c r="BC85" s="4"/>
      <c r="BD85" s="5"/>
      <c r="BE85" s="5" t="e">
        <f>-1+BA85/S85</f>
        <v>#DIV/0!</v>
      </c>
      <c r="BF85" s="6"/>
      <c r="BG85" s="7"/>
      <c r="BH85" s="7"/>
      <c r="BI85" s="8"/>
      <c r="BJ85" s="8"/>
      <c r="BK85" s="9"/>
      <c r="BL85" s="9"/>
      <c r="BM85" s="10"/>
      <c r="BN85" s="10"/>
      <c r="BO85" s="11"/>
      <c r="BP85" s="11"/>
      <c r="BQ85" s="12"/>
      <c r="BR85" s="12"/>
      <c r="BT85" s="14"/>
      <c r="BU85" s="14"/>
      <c r="BV85" s="15"/>
      <c r="BW85" s="244"/>
      <c r="BX85" s="209">
        <v>0.13</v>
      </c>
      <c r="BY85" s="121">
        <f t="shared" si="88"/>
        <v>51480</v>
      </c>
      <c r="BZ85" s="216"/>
      <c r="CA85" s="219">
        <v>51000</v>
      </c>
      <c r="CB85" s="218"/>
      <c r="CC85" s="210"/>
      <c r="CD85" s="211"/>
      <c r="CE85" s="210"/>
      <c r="CF85" s="210"/>
      <c r="CG85" s="210"/>
      <c r="CH85" s="212" t="s">
        <v>137</v>
      </c>
      <c r="CI85" s="266" t="s">
        <v>52</v>
      </c>
      <c r="CJ85" s="92"/>
      <c r="CK85" s="4"/>
      <c r="CL85" s="4"/>
      <c r="CM85" s="198"/>
      <c r="CN85" s="198"/>
      <c r="CO85" s="198">
        <f t="shared" si="90"/>
        <v>0</v>
      </c>
      <c r="CP85" s="198"/>
      <c r="CQ85" s="201"/>
      <c r="CR85" s="74"/>
      <c r="CS85" s="74"/>
      <c r="CT85" s="74">
        <f t="shared" si="86"/>
        <v>742500</v>
      </c>
      <c r="CU85" s="202">
        <v>0.63</v>
      </c>
      <c r="CV85" s="74">
        <f>IF(CT85*CU85&lt;T85,CT85*CU85,T85)</f>
        <v>467775</v>
      </c>
      <c r="CW85" s="74">
        <f t="shared" si="91"/>
        <v>0</v>
      </c>
      <c r="CX85" s="74" t="e">
        <f t="shared" si="87"/>
        <v>#DIV/0!</v>
      </c>
      <c r="CY85" s="74"/>
      <c r="CZ85" s="74"/>
    </row>
    <row r="86" spans="1:98" ht="7.5" customHeight="1" thickBot="1">
      <c r="A86" s="150"/>
      <c r="B86" s="86"/>
      <c r="C86" s="86"/>
      <c r="D86" s="86"/>
      <c r="E86" s="86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34"/>
      <c r="BC86" s="34"/>
      <c r="BD86" s="34"/>
      <c r="BE86" s="34"/>
      <c r="BF86" s="34"/>
      <c r="BI86" s="6"/>
      <c r="BJ86" s="6"/>
      <c r="BK86" s="87"/>
      <c r="BL86" s="87"/>
      <c r="BM86" s="38"/>
      <c r="BN86" s="38"/>
      <c r="BQ86" s="87"/>
      <c r="BR86" s="87"/>
      <c r="BT86" s="43"/>
      <c r="BU86" s="43"/>
      <c r="BV86" s="43"/>
      <c r="BW86" s="43"/>
      <c r="BX86" s="13"/>
      <c r="BY86" s="13">
        <f t="shared" si="88"/>
        <v>0</v>
      </c>
      <c r="BZ86" s="13"/>
      <c r="CJ86" s="6"/>
      <c r="CK86" s="6"/>
      <c r="CL86" s="6"/>
      <c r="CT86" s="13">
        <f t="shared" si="86"/>
        <v>0</v>
      </c>
    </row>
    <row r="87" spans="1:104" ht="60">
      <c r="A87" s="254">
        <v>45659028</v>
      </c>
      <c r="B87" s="255" t="s">
        <v>102</v>
      </c>
      <c r="C87" s="255" t="s">
        <v>43</v>
      </c>
      <c r="D87" s="255" t="s">
        <v>141</v>
      </c>
      <c r="E87" s="255" t="s">
        <v>142</v>
      </c>
      <c r="F87" s="167">
        <v>8199096</v>
      </c>
      <c r="G87" s="168"/>
      <c r="H87" s="167">
        <v>32</v>
      </c>
      <c r="I87" s="167">
        <v>0</v>
      </c>
      <c r="J87" s="167">
        <v>0</v>
      </c>
      <c r="K87" s="167">
        <v>0</v>
      </c>
      <c r="L87" s="167">
        <v>0</v>
      </c>
      <c r="M87" s="167">
        <v>0</v>
      </c>
      <c r="N87" s="167">
        <v>0.6</v>
      </c>
      <c r="O87" s="167">
        <v>0.6</v>
      </c>
      <c r="P87" s="167">
        <v>0.4</v>
      </c>
      <c r="Q87" s="167">
        <v>0.4</v>
      </c>
      <c r="R87" s="165">
        <v>83000</v>
      </c>
      <c r="S87" s="165">
        <v>130000</v>
      </c>
      <c r="T87" s="165">
        <v>202000</v>
      </c>
      <c r="U87" s="165">
        <v>0</v>
      </c>
      <c r="V87" s="165">
        <v>0</v>
      </c>
      <c r="W87" s="165">
        <v>0</v>
      </c>
      <c r="X87" s="165">
        <v>0</v>
      </c>
      <c r="Y87" s="165">
        <v>0</v>
      </c>
      <c r="Z87" s="165">
        <v>0</v>
      </c>
      <c r="AA87" s="165">
        <v>9423</v>
      </c>
      <c r="AB87" s="165">
        <v>8994</v>
      </c>
      <c r="AC87" s="165">
        <v>9495</v>
      </c>
      <c r="AD87" s="165">
        <v>7000</v>
      </c>
      <c r="AE87" s="165">
        <v>30000</v>
      </c>
      <c r="AF87" s="165">
        <v>20000</v>
      </c>
      <c r="AG87" s="165">
        <v>0</v>
      </c>
      <c r="AH87" s="165">
        <v>0</v>
      </c>
      <c r="AI87" s="165">
        <v>0</v>
      </c>
      <c r="AJ87" s="165">
        <v>0</v>
      </c>
      <c r="AK87" s="165">
        <v>0</v>
      </c>
      <c r="AL87" s="165">
        <v>0</v>
      </c>
      <c r="AM87" s="165">
        <v>0</v>
      </c>
      <c r="AN87" s="165">
        <v>0</v>
      </c>
      <c r="AO87" s="165">
        <v>0</v>
      </c>
      <c r="AP87" s="165">
        <v>0</v>
      </c>
      <c r="AQ87" s="165">
        <v>0</v>
      </c>
      <c r="AR87" s="165">
        <v>0</v>
      </c>
      <c r="AS87" s="165">
        <v>0</v>
      </c>
      <c r="AT87" s="165">
        <v>0</v>
      </c>
      <c r="AU87" s="165">
        <v>0</v>
      </c>
      <c r="AV87" s="165">
        <v>99423</v>
      </c>
      <c r="AW87" s="166">
        <v>168994</v>
      </c>
      <c r="AX87" s="166">
        <v>234495</v>
      </c>
      <c r="AY87" s="3"/>
      <c r="AZ87" s="169">
        <v>130000</v>
      </c>
      <c r="BA87" s="169"/>
      <c r="BB87" s="170">
        <f aca="true" t="shared" si="124" ref="BB87:BC89">AZ87/S87</f>
        <v>1</v>
      </c>
      <c r="BC87" s="170">
        <f t="shared" si="124"/>
        <v>0</v>
      </c>
      <c r="BD87" s="171">
        <f aca="true" t="shared" si="125" ref="BD87:BE89">-1+AZ87/R87</f>
        <v>0.5662650602409638</v>
      </c>
      <c r="BE87" s="171">
        <f t="shared" si="125"/>
        <v>-1</v>
      </c>
      <c r="BF87" s="6"/>
      <c r="BG87" s="172">
        <f aca="true" t="shared" si="126" ref="BG87:BH89">V87+Y87+AE87+AH87+AK87+AN87+AQ87+AT87+AZ87</f>
        <v>160000</v>
      </c>
      <c r="BH87" s="172">
        <f t="shared" si="126"/>
        <v>20000</v>
      </c>
      <c r="BI87" s="173">
        <f aca="true" t="shared" si="127" ref="BI87:BJ89">BG87/(R87+U87+X87+AA87+AD87+AG87+AJ87+AM87+AP87+AS87)</f>
        <v>1.6092855777838126</v>
      </c>
      <c r="BJ87" s="173">
        <f t="shared" si="127"/>
        <v>0.1183473969490041</v>
      </c>
      <c r="BK87" s="174">
        <f aca="true" t="shared" si="128" ref="BK87:BL89">IF(BI87&gt;=100%,0,(R87+U87+X87+AA87+AD87+AG87+AJ87+AM87+AP87+AS87)-(V87+Y87+AE87+AH87+AK87+AN87+AQ87+AT87+AZ87))</f>
        <v>0</v>
      </c>
      <c r="BL87" s="174">
        <f t="shared" si="128"/>
        <v>148994</v>
      </c>
      <c r="BM87" s="6">
        <f t="shared" si="115"/>
        <v>0.9467791755920328</v>
      </c>
      <c r="BN87" s="6">
        <f t="shared" si="115"/>
        <v>0.08528966502484062</v>
      </c>
      <c r="BO87" s="175">
        <f t="shared" si="116"/>
        <v>8994</v>
      </c>
      <c r="BP87" s="175">
        <f t="shared" si="116"/>
        <v>214495</v>
      </c>
      <c r="BQ87" s="174">
        <f aca="true" t="shared" si="129" ref="BQ87:BR89">IF(AA87&gt;BK87,0,BK87-AA87)</f>
        <v>0</v>
      </c>
      <c r="BR87" s="174">
        <f t="shared" si="129"/>
        <v>140000</v>
      </c>
      <c r="BT87" s="176">
        <f aca="true" t="shared" si="130" ref="BT87:BW89">$AZ87/N87</f>
        <v>216666.6666666667</v>
      </c>
      <c r="BU87" s="176">
        <f t="shared" si="130"/>
        <v>216666.6666666667</v>
      </c>
      <c r="BV87" s="177">
        <f t="shared" si="130"/>
        <v>325000</v>
      </c>
      <c r="BW87" s="256">
        <f t="shared" si="130"/>
        <v>325000</v>
      </c>
      <c r="BX87" s="203">
        <v>0.066</v>
      </c>
      <c r="BY87" s="114">
        <f t="shared" si="88"/>
        <v>4461.441600000001</v>
      </c>
      <c r="BZ87" s="215"/>
      <c r="CA87" s="195">
        <v>4000</v>
      </c>
      <c r="CB87" s="217"/>
      <c r="CC87" s="204"/>
      <c r="CD87" s="205"/>
      <c r="CE87" s="204"/>
      <c r="CF87" s="204"/>
      <c r="CG87" s="204"/>
      <c r="CH87" s="206" t="s">
        <v>143</v>
      </c>
      <c r="CI87" s="264" t="s">
        <v>52</v>
      </c>
      <c r="CJ87" s="106">
        <f>($CG87+$CA87+$AZ87+$AT87+$AQ87+$AN87+$AK87+$AH87+$AE87+$Y87+$V87)/$AV87</f>
        <v>1.649517717228408</v>
      </c>
      <c r="CK87" s="53">
        <f>($CG87+$CA87+$AZ87+$AT87+$AQ87+$AN87+$AK87+$AH87+$AE87+$Y87+$V87)/$AW87</f>
        <v>0.9704486549818336</v>
      </c>
      <c r="CL87" s="53"/>
      <c r="CM87" s="204">
        <f t="shared" si="89"/>
        <v>4000</v>
      </c>
      <c r="CN87" s="204"/>
      <c r="CO87" s="204">
        <f t="shared" si="90"/>
        <v>92423</v>
      </c>
      <c r="CP87" s="204">
        <f>AZ87+CM87</f>
        <v>134000</v>
      </c>
      <c r="CQ87" s="207">
        <f t="shared" si="92"/>
        <v>0.4498555554353354</v>
      </c>
      <c r="CR87" s="114"/>
      <c r="CS87" s="114"/>
      <c r="CT87" s="114">
        <f t="shared" si="86"/>
        <v>126745.5</v>
      </c>
      <c r="CU87" s="208">
        <v>0.62</v>
      </c>
      <c r="CV87" s="114">
        <f>IF(CT87*CU87&lt;T87,CT87*CU87,T87)</f>
        <v>78582.21</v>
      </c>
      <c r="CW87" s="114">
        <f t="shared" si="91"/>
        <v>97500</v>
      </c>
      <c r="CX87" s="114">
        <f t="shared" si="87"/>
        <v>1.6997475433249851</v>
      </c>
      <c r="CY87" s="114"/>
      <c r="CZ87" s="114"/>
    </row>
    <row r="88" spans="1:104" ht="60">
      <c r="A88" s="149">
        <v>44990260</v>
      </c>
      <c r="B88" s="49" t="s">
        <v>71</v>
      </c>
      <c r="C88" s="49" t="s">
        <v>43</v>
      </c>
      <c r="D88" s="49" t="s">
        <v>141</v>
      </c>
      <c r="E88" s="248" t="s">
        <v>280</v>
      </c>
      <c r="F88" s="73">
        <v>5085198</v>
      </c>
      <c r="G88" s="74"/>
      <c r="H88" s="73">
        <v>35</v>
      </c>
      <c r="I88" s="73">
        <v>0</v>
      </c>
      <c r="J88" s="73">
        <v>0</v>
      </c>
      <c r="K88" s="73">
        <v>0</v>
      </c>
      <c r="L88" s="73">
        <v>0</v>
      </c>
      <c r="M88" s="73">
        <v>0</v>
      </c>
      <c r="N88" s="73">
        <v>0</v>
      </c>
      <c r="O88" s="73">
        <v>1.9</v>
      </c>
      <c r="P88" s="73">
        <v>0</v>
      </c>
      <c r="Q88" s="73">
        <v>1.5</v>
      </c>
      <c r="R88" s="2">
        <v>0</v>
      </c>
      <c r="S88" s="2">
        <v>0</v>
      </c>
      <c r="T88" s="2">
        <v>664000</v>
      </c>
      <c r="U88" s="2">
        <v>0</v>
      </c>
      <c r="V88" s="2">
        <v>0</v>
      </c>
      <c r="W88" s="2">
        <v>0</v>
      </c>
      <c r="X88" s="2">
        <v>0</v>
      </c>
      <c r="Y88" s="2">
        <v>0</v>
      </c>
      <c r="Z88" s="2">
        <v>0</v>
      </c>
      <c r="AA88" s="2">
        <v>0</v>
      </c>
      <c r="AB88" s="2">
        <v>0</v>
      </c>
      <c r="AC88" s="2">
        <v>45000</v>
      </c>
      <c r="AD88" s="2">
        <v>0</v>
      </c>
      <c r="AE88" s="2">
        <v>0</v>
      </c>
      <c r="AF88" s="2">
        <v>40000</v>
      </c>
      <c r="AG88" s="2">
        <v>0</v>
      </c>
      <c r="AH88" s="2">
        <v>0</v>
      </c>
      <c r="AI88" s="2">
        <v>0</v>
      </c>
      <c r="AJ88" s="2">
        <v>0</v>
      </c>
      <c r="AK88" s="2">
        <v>0</v>
      </c>
      <c r="AL88" s="2">
        <v>0</v>
      </c>
      <c r="AM88" s="2">
        <v>0</v>
      </c>
      <c r="AN88" s="2">
        <v>0</v>
      </c>
      <c r="AO88" s="2">
        <v>0</v>
      </c>
      <c r="AP88" s="2">
        <v>0</v>
      </c>
      <c r="AQ88" s="2">
        <v>0</v>
      </c>
      <c r="AR88" s="2">
        <v>0</v>
      </c>
      <c r="AS88" s="2">
        <v>0</v>
      </c>
      <c r="AT88" s="2">
        <v>0</v>
      </c>
      <c r="AU88" s="2">
        <v>4000</v>
      </c>
      <c r="AV88" s="2">
        <v>0</v>
      </c>
      <c r="AW88" s="50">
        <v>0</v>
      </c>
      <c r="AX88" s="50">
        <v>753000</v>
      </c>
      <c r="AY88" s="3"/>
      <c r="AZ88" s="48"/>
      <c r="BA88" s="48"/>
      <c r="BB88" s="4" t="e">
        <f>AZ88/S88</f>
        <v>#DIV/0!</v>
      </c>
      <c r="BC88" s="4">
        <f>BA88/T88</f>
        <v>0</v>
      </c>
      <c r="BD88" s="5" t="e">
        <f>-1+AZ88/R88</f>
        <v>#DIV/0!</v>
      </c>
      <c r="BE88" s="5" t="e">
        <f>-1+BA88/S88</f>
        <v>#DIV/0!</v>
      </c>
      <c r="BF88" s="178"/>
      <c r="BG88" s="7">
        <f>V88+Y88+AE88+AH88+AK88+AN88+AQ88+AT88+AZ88</f>
        <v>0</v>
      </c>
      <c r="BH88" s="7">
        <f>W88+Z88+AF88+AI88+AL88+AO88+AR88+AU88+BA88</f>
        <v>44000</v>
      </c>
      <c r="BI88" s="8" t="e">
        <f>BG88/(R88+U88+X88+AA88+AD88+AG88+AJ88+AM88+AP88+AS88)</f>
        <v>#DIV/0!</v>
      </c>
      <c r="BJ88" s="8" t="e">
        <f>BH88/(S88+V88+Y88+AB88+AE88+AH88+AK88+AN88+AQ88+AT88)</f>
        <v>#DIV/0!</v>
      </c>
      <c r="BK88" s="12" t="e">
        <f>IF(BI88&gt;=100%,0,(R88+U88+X88+AA88+AD88+AG88+AJ88+AM88+AP88+AS88)-(V88+Y88+AE88+AH88+AK88+AN88+AQ88+AT88+AZ88))</f>
        <v>#DIV/0!</v>
      </c>
      <c r="BL88" s="12" t="e">
        <f>IF(BJ88&gt;=100%,0,(S88+V88+Y88+AB88+AE88+AH88+AK88+AN88+AQ88+AT88)-(W88+Z88+AF88+AI88+AL88+AO88+AR88+AU88+BA88))</f>
        <v>#DIV/0!</v>
      </c>
      <c r="BM88" s="178" t="e">
        <f>BG88/AW88</f>
        <v>#DIV/0!</v>
      </c>
      <c r="BN88" s="178">
        <f>BH88/AX88</f>
        <v>0.05843293492695883</v>
      </c>
      <c r="BO88" s="11">
        <f>IF(BG88&lt;AW88,AW88-BG88,0)</f>
        <v>0</v>
      </c>
      <c r="BP88" s="11">
        <f>IF(BH88&lt;AX88,AX88-BH88,0)</f>
        <v>709000</v>
      </c>
      <c r="BQ88" s="12" t="e">
        <f>IF(AA88&gt;BK88,0,BK88-AA88)</f>
        <v>#DIV/0!</v>
      </c>
      <c r="BR88" s="12" t="e">
        <f>IF(AB88&gt;BL88,0,BL88-AB88)</f>
        <v>#DIV/0!</v>
      </c>
      <c r="BS88" s="179"/>
      <c r="BT88" s="14" t="e">
        <f>$AZ88/N88</f>
        <v>#DIV/0!</v>
      </c>
      <c r="BU88" s="14">
        <f>$AZ88/O88</f>
        <v>0</v>
      </c>
      <c r="BV88" s="15" t="e">
        <f>$AZ88/P88</f>
        <v>#DIV/0!</v>
      </c>
      <c r="BW88" s="244">
        <f>$AZ88/Q88</f>
        <v>0</v>
      </c>
      <c r="BX88" s="223">
        <v>0.066</v>
      </c>
      <c r="BY88" s="74">
        <f>AX88*BX88*0.4</f>
        <v>19879.2</v>
      </c>
      <c r="BZ88" s="224"/>
      <c r="CA88" s="226">
        <v>20000</v>
      </c>
      <c r="CB88" s="225"/>
      <c r="CC88" s="198"/>
      <c r="CD88" s="199"/>
      <c r="CE88" s="198"/>
      <c r="CF88" s="198"/>
      <c r="CG88" s="198"/>
      <c r="CH88" s="200" t="s">
        <v>143</v>
      </c>
      <c r="CI88" s="265" t="s">
        <v>47</v>
      </c>
      <c r="CJ88" s="92" t="e">
        <f>($CG88+$CA88+$AZ88+$AT88+$AQ88+$AN88+$AK88+$AH88+$AE88+$Y88+$V88)/$AV88</f>
        <v>#DIV/0!</v>
      </c>
      <c r="CK88" s="4" t="e">
        <f>($CG88+$CA88+$AZ88+$AT88+$AQ88+$AN88+$AK88+$AH88+$AE88+$Y88+$V88)/$AW88</f>
        <v>#DIV/0!</v>
      </c>
      <c r="CL88" s="4"/>
      <c r="CM88" s="198">
        <f>CA88+CG88</f>
        <v>20000</v>
      </c>
      <c r="CN88" s="198"/>
      <c r="CO88" s="198">
        <f>R88+AA88</f>
        <v>0</v>
      </c>
      <c r="CP88" s="198">
        <f>AZ88+CM88</f>
        <v>20000</v>
      </c>
      <c r="CQ88" s="201" t="e">
        <f>-1+CP88/CO88</f>
        <v>#DIV/0!</v>
      </c>
      <c r="CR88" s="74"/>
      <c r="CS88" s="74"/>
      <c r="CT88" s="74">
        <f t="shared" si="86"/>
        <v>0</v>
      </c>
      <c r="CU88" s="202">
        <v>0.62</v>
      </c>
      <c r="CV88" s="74">
        <f>IF(CT88*CU88&lt;T88,CT88*CU88,T88)</f>
        <v>0</v>
      </c>
      <c r="CW88" s="74">
        <f t="shared" si="91"/>
        <v>0</v>
      </c>
      <c r="CX88" s="74" t="e">
        <f t="shared" si="87"/>
        <v>#DIV/0!</v>
      </c>
      <c r="CY88" s="74"/>
      <c r="CZ88" s="74"/>
    </row>
    <row r="89" spans="1:104" ht="60.75" thickBot="1">
      <c r="A89" s="151">
        <v>60554665</v>
      </c>
      <c r="B89" s="107" t="s">
        <v>227</v>
      </c>
      <c r="C89" s="107" t="s">
        <v>43</v>
      </c>
      <c r="D89" s="107" t="s">
        <v>141</v>
      </c>
      <c r="E89" s="107" t="s">
        <v>228</v>
      </c>
      <c r="F89" s="94">
        <v>4434694</v>
      </c>
      <c r="G89" s="95"/>
      <c r="H89" s="94">
        <v>17</v>
      </c>
      <c r="I89" s="94">
        <v>0</v>
      </c>
      <c r="J89" s="94">
        <v>0</v>
      </c>
      <c r="K89" s="94">
        <v>0</v>
      </c>
      <c r="L89" s="94">
        <v>0</v>
      </c>
      <c r="M89" s="94">
        <v>0</v>
      </c>
      <c r="N89" s="94">
        <v>1</v>
      </c>
      <c r="O89" s="94"/>
      <c r="P89" s="94">
        <v>0.6</v>
      </c>
      <c r="Q89" s="94"/>
      <c r="R89" s="33">
        <v>80000</v>
      </c>
      <c r="S89" s="33">
        <v>203644</v>
      </c>
      <c r="T89" s="33"/>
      <c r="U89" s="33">
        <v>0</v>
      </c>
      <c r="V89" s="33">
        <v>0</v>
      </c>
      <c r="W89" s="33"/>
      <c r="X89" s="33">
        <v>0</v>
      </c>
      <c r="Y89" s="33">
        <v>0</v>
      </c>
      <c r="Z89" s="33"/>
      <c r="AA89" s="33">
        <v>40000</v>
      </c>
      <c r="AB89" s="33">
        <v>82730</v>
      </c>
      <c r="AC89" s="33"/>
      <c r="AD89" s="33">
        <v>0</v>
      </c>
      <c r="AE89" s="33">
        <v>0</v>
      </c>
      <c r="AF89" s="33"/>
      <c r="AG89" s="33">
        <v>0</v>
      </c>
      <c r="AH89" s="33">
        <v>0</v>
      </c>
      <c r="AI89" s="33"/>
      <c r="AJ89" s="33">
        <v>0</v>
      </c>
      <c r="AK89" s="33">
        <v>0</v>
      </c>
      <c r="AL89" s="33"/>
      <c r="AM89" s="33">
        <v>0</v>
      </c>
      <c r="AN89" s="33">
        <v>0</v>
      </c>
      <c r="AO89" s="33"/>
      <c r="AP89" s="33">
        <v>0</v>
      </c>
      <c r="AQ89" s="33">
        <v>0</v>
      </c>
      <c r="AR89" s="33"/>
      <c r="AS89" s="33">
        <v>25000</v>
      </c>
      <c r="AT89" s="33">
        <v>8785</v>
      </c>
      <c r="AU89" s="33"/>
      <c r="AV89" s="33">
        <v>145000</v>
      </c>
      <c r="AW89" s="96">
        <v>295159</v>
      </c>
      <c r="AX89" s="96"/>
      <c r="AY89" s="3"/>
      <c r="AZ89" s="123">
        <v>88000</v>
      </c>
      <c r="BA89" s="123"/>
      <c r="BB89" s="124">
        <f t="shared" si="124"/>
        <v>0.4321266523933924</v>
      </c>
      <c r="BC89" s="124" t="e">
        <f t="shared" si="124"/>
        <v>#DIV/0!</v>
      </c>
      <c r="BD89" s="160">
        <f t="shared" si="125"/>
        <v>0.10000000000000009</v>
      </c>
      <c r="BE89" s="160">
        <f t="shared" si="125"/>
        <v>-1</v>
      </c>
      <c r="BF89" s="6"/>
      <c r="BG89" s="100">
        <f t="shared" si="126"/>
        <v>96785</v>
      </c>
      <c r="BH89" s="100">
        <f t="shared" si="126"/>
        <v>0</v>
      </c>
      <c r="BI89" s="125">
        <f t="shared" si="127"/>
        <v>0.6674827586206896</v>
      </c>
      <c r="BJ89" s="125">
        <f t="shared" si="127"/>
        <v>0</v>
      </c>
      <c r="BK89" s="9">
        <f t="shared" si="128"/>
        <v>48215</v>
      </c>
      <c r="BL89" s="9">
        <f t="shared" si="128"/>
        <v>295159</v>
      </c>
      <c r="BM89" s="6">
        <f t="shared" si="115"/>
        <v>0.32790800890367566</v>
      </c>
      <c r="BN89" s="6" t="e">
        <f t="shared" si="115"/>
        <v>#DIV/0!</v>
      </c>
      <c r="BO89" s="161">
        <f t="shared" si="116"/>
        <v>198374</v>
      </c>
      <c r="BP89" s="161">
        <f t="shared" si="116"/>
        <v>0</v>
      </c>
      <c r="BQ89" s="9">
        <f t="shared" si="129"/>
        <v>8215</v>
      </c>
      <c r="BR89" s="9">
        <f t="shared" si="129"/>
        <v>212429</v>
      </c>
      <c r="BT89" s="162">
        <f t="shared" si="130"/>
        <v>88000</v>
      </c>
      <c r="BU89" s="162" t="e">
        <f t="shared" si="130"/>
        <v>#DIV/0!</v>
      </c>
      <c r="BV89" s="163">
        <f t="shared" si="130"/>
        <v>146666.6666666667</v>
      </c>
      <c r="BW89" s="253" t="e">
        <f t="shared" si="130"/>
        <v>#DIV/0!</v>
      </c>
      <c r="BX89" s="209">
        <v>0.066</v>
      </c>
      <c r="BY89" s="121">
        <f t="shared" si="88"/>
        <v>0</v>
      </c>
      <c r="BZ89" s="216"/>
      <c r="CA89" s="219">
        <v>7800</v>
      </c>
      <c r="CB89" s="218"/>
      <c r="CC89" s="210"/>
      <c r="CD89" s="211"/>
      <c r="CE89" s="210"/>
      <c r="CF89" s="210"/>
      <c r="CG89" s="210"/>
      <c r="CH89" s="212" t="s">
        <v>143</v>
      </c>
      <c r="CI89" s="266" t="s">
        <v>52</v>
      </c>
      <c r="CJ89" s="92">
        <f>($CG89+$CA89+$AZ89+$AT89+$AQ89+$AN89+$AK89+$AH89+$AE89+$Y89+$V89)/$AV89</f>
        <v>0.7212758620689655</v>
      </c>
      <c r="CK89" s="4">
        <f>($CG89+$CA89+$AZ89+$AT89+$AQ89+$AN89+$AK89+$AH89+$AE89+$Y89+$V89)/$AW89</f>
        <v>0.35433444346945203</v>
      </c>
      <c r="CL89" s="4"/>
      <c r="CM89" s="198">
        <f t="shared" si="89"/>
        <v>7800</v>
      </c>
      <c r="CN89" s="198"/>
      <c r="CO89" s="198">
        <f t="shared" si="90"/>
        <v>120000</v>
      </c>
      <c r="CP89" s="198">
        <f>AZ89+CM89</f>
        <v>95800</v>
      </c>
      <c r="CQ89" s="201">
        <f t="shared" si="92"/>
        <v>-0.20166666666666666</v>
      </c>
      <c r="CR89" s="74"/>
      <c r="CS89" s="74"/>
      <c r="CT89" s="74">
        <f t="shared" si="86"/>
        <v>0</v>
      </c>
      <c r="CU89" s="202">
        <v>0.62</v>
      </c>
      <c r="CV89" s="74">
        <f>IF(CT89*CU89&lt;T89,CT89*CU89,T89)</f>
        <v>0</v>
      </c>
      <c r="CW89" s="74">
        <f t="shared" si="91"/>
        <v>152733</v>
      </c>
      <c r="CX89" s="74">
        <f t="shared" si="87"/>
        <v>2.0355793103448274</v>
      </c>
      <c r="CY89" s="74"/>
      <c r="CZ89" s="74"/>
    </row>
    <row r="90" spans="1:98" ht="7.5" customHeight="1" thickBot="1">
      <c r="A90" s="150"/>
      <c r="B90" s="86"/>
      <c r="C90" s="86"/>
      <c r="D90" s="86"/>
      <c r="E90" s="86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34"/>
      <c r="BC90" s="34"/>
      <c r="BD90" s="34"/>
      <c r="BE90" s="34"/>
      <c r="BF90" s="34"/>
      <c r="BI90" s="6"/>
      <c r="BJ90" s="6"/>
      <c r="BK90" s="87"/>
      <c r="BL90" s="87"/>
      <c r="BM90" s="38"/>
      <c r="BN90" s="38"/>
      <c r="BQ90" s="87"/>
      <c r="BR90" s="87"/>
      <c r="BT90" s="43"/>
      <c r="BU90" s="43"/>
      <c r="BV90" s="43"/>
      <c r="BW90" s="43"/>
      <c r="BX90" s="13"/>
      <c r="BY90" s="13">
        <f t="shared" si="88"/>
        <v>0</v>
      </c>
      <c r="BZ90" s="13"/>
      <c r="CJ90" s="6"/>
      <c r="CK90" s="6"/>
      <c r="CL90" s="6"/>
      <c r="CT90" s="13">
        <f t="shared" si="86"/>
        <v>0</v>
      </c>
    </row>
    <row r="91" spans="1:98" ht="7.5" customHeight="1" thickBot="1">
      <c r="A91" s="150"/>
      <c r="B91" s="86"/>
      <c r="C91" s="86"/>
      <c r="D91" s="86"/>
      <c r="E91" s="86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34"/>
      <c r="BC91" s="34"/>
      <c r="BD91" s="34"/>
      <c r="BE91" s="34"/>
      <c r="BF91" s="34"/>
      <c r="BI91" s="6"/>
      <c r="BJ91" s="6"/>
      <c r="BK91" s="87"/>
      <c r="BL91" s="87"/>
      <c r="BM91" s="38"/>
      <c r="BN91" s="38"/>
      <c r="BQ91" s="87"/>
      <c r="BR91" s="87"/>
      <c r="BT91" s="43"/>
      <c r="BU91" s="43"/>
      <c r="BV91" s="43"/>
      <c r="BW91" s="43"/>
      <c r="BX91" s="13"/>
      <c r="BY91" s="13">
        <f t="shared" si="88"/>
        <v>0</v>
      </c>
      <c r="BZ91" s="13"/>
      <c r="CB91" s="196"/>
      <c r="CC91" s="32"/>
      <c r="CD91" s="197"/>
      <c r="CE91" s="32"/>
      <c r="CF91" s="32"/>
      <c r="CG91" s="32"/>
      <c r="CJ91" s="6"/>
      <c r="CK91" s="6"/>
      <c r="CL91" s="6"/>
      <c r="CM91" s="32"/>
      <c r="CO91" s="32"/>
      <c r="CP91" s="32"/>
      <c r="CQ91" s="154"/>
      <c r="CT91" s="13">
        <f t="shared" si="86"/>
        <v>0</v>
      </c>
    </row>
    <row r="92" spans="1:104" ht="28.5" customHeight="1">
      <c r="A92" s="241">
        <v>15060233</v>
      </c>
      <c r="B92" s="242" t="s">
        <v>42</v>
      </c>
      <c r="C92" s="242" t="s">
        <v>43</v>
      </c>
      <c r="D92" s="242" t="s">
        <v>145</v>
      </c>
      <c r="E92" s="242" t="s">
        <v>146</v>
      </c>
      <c r="F92" s="67">
        <v>8496850</v>
      </c>
      <c r="G92" s="67">
        <v>0</v>
      </c>
      <c r="H92" s="67">
        <v>0</v>
      </c>
      <c r="I92" s="67">
        <v>0</v>
      </c>
      <c r="J92" s="67">
        <v>0</v>
      </c>
      <c r="K92" s="67">
        <v>0</v>
      </c>
      <c r="L92" s="67">
        <v>0</v>
      </c>
      <c r="M92" s="67">
        <v>0</v>
      </c>
      <c r="N92" s="67">
        <v>3</v>
      </c>
      <c r="O92" s="67">
        <v>2.1</v>
      </c>
      <c r="P92" s="67">
        <v>2</v>
      </c>
      <c r="Q92" s="67">
        <v>1.5</v>
      </c>
      <c r="R92" s="19">
        <v>570000</v>
      </c>
      <c r="S92" s="19">
        <v>627000</v>
      </c>
      <c r="T92" s="19">
        <v>754200</v>
      </c>
      <c r="U92" s="19">
        <v>0</v>
      </c>
      <c r="V92" s="19">
        <v>0</v>
      </c>
      <c r="W92" s="19">
        <v>0</v>
      </c>
      <c r="X92" s="19">
        <v>0</v>
      </c>
      <c r="Y92" s="19">
        <v>0</v>
      </c>
      <c r="Z92" s="19">
        <v>0</v>
      </c>
      <c r="AA92" s="19">
        <v>70299</v>
      </c>
      <c r="AB92" s="19">
        <v>77329</v>
      </c>
      <c r="AC92" s="19">
        <v>120000</v>
      </c>
      <c r="AD92" s="19">
        <v>46050</v>
      </c>
      <c r="AE92" s="19">
        <v>30000</v>
      </c>
      <c r="AF92" s="19">
        <v>80000</v>
      </c>
      <c r="AG92" s="19">
        <v>0</v>
      </c>
      <c r="AH92" s="19">
        <v>0</v>
      </c>
      <c r="AI92" s="19">
        <v>0</v>
      </c>
      <c r="AJ92" s="19">
        <v>0</v>
      </c>
      <c r="AK92" s="19">
        <v>0</v>
      </c>
      <c r="AL92" s="19">
        <v>0</v>
      </c>
      <c r="AM92" s="19">
        <v>0</v>
      </c>
      <c r="AN92" s="19">
        <v>0</v>
      </c>
      <c r="AO92" s="19">
        <v>0</v>
      </c>
      <c r="AP92" s="19">
        <v>0</v>
      </c>
      <c r="AQ92" s="19">
        <v>0</v>
      </c>
      <c r="AR92" s="19">
        <v>0</v>
      </c>
      <c r="AS92" s="19">
        <v>18595</v>
      </c>
      <c r="AT92" s="19">
        <v>5000</v>
      </c>
      <c r="AU92" s="19">
        <v>73355</v>
      </c>
      <c r="AV92" s="19">
        <v>704944</v>
      </c>
      <c r="AW92" s="51">
        <v>739329</v>
      </c>
      <c r="AX92" s="51">
        <v>1027555</v>
      </c>
      <c r="AY92" s="3"/>
      <c r="AZ92" s="52">
        <v>627000</v>
      </c>
      <c r="BA92" s="52"/>
      <c r="BB92" s="53">
        <f aca="true" t="shared" si="131" ref="BB92:BB108">AZ92/S92</f>
        <v>1</v>
      </c>
      <c r="BC92" s="53">
        <f aca="true" t="shared" si="132" ref="BC92:BC108">BA92/T92</f>
        <v>0</v>
      </c>
      <c r="BD92" s="46">
        <f aca="true" t="shared" si="133" ref="BD92:BD99">-1+AZ92/R92</f>
        <v>0.10000000000000009</v>
      </c>
      <c r="BE92" s="46">
        <f aca="true" t="shared" si="134" ref="BE92:BE99">-1+BA92/S92</f>
        <v>-1</v>
      </c>
      <c r="BF92" s="6"/>
      <c r="BG92" s="89">
        <f aca="true" t="shared" si="135" ref="BG92:BG108">V92+Y92+AE92+AH92+AK92+AN92+AQ92+AT92+AZ92</f>
        <v>662000</v>
      </c>
      <c r="BH92" s="89">
        <f aca="true" t="shared" si="136" ref="BH92:BH108">W92+Z92+AF92+AI92+AL92+AO92+AR92+AU92+BA92</f>
        <v>153355</v>
      </c>
      <c r="BI92" s="44">
        <f aca="true" t="shared" si="137" ref="BI92:BI108">BG92/(R92+U92+X92+AA92+AD92+AG92+AJ92+AM92+AP92+AS92)</f>
        <v>0.9390816859211512</v>
      </c>
      <c r="BJ92" s="44">
        <f aca="true" t="shared" si="138" ref="BJ92:BJ108">BH92/(S92+V92+Y92+AB92+AE92+AH92+AK92+AN92+AQ92+AT92)</f>
        <v>0.2074245701169574</v>
      </c>
      <c r="BK92" s="70">
        <f aca="true" t="shared" si="139" ref="BK92:BK108">IF(BI92&gt;=100%,0,(R92+U92+X92+AA92+AD92+AG92+AJ92+AM92+AP92+AS92)-(V92+Y92+AE92+AH92+AK92+AN92+AQ92+AT92+AZ92))</f>
        <v>42944</v>
      </c>
      <c r="BL92" s="70">
        <f aca="true" t="shared" si="140" ref="BL92:BL108">IF(BJ92&gt;=100%,0,(S92+V92+Y92+AB92+AE92+AH92+AK92+AN92+AQ92+AT92)-(W92+Z92+AF92+AI92+AL92+AO92+AR92+AU92+BA92))</f>
        <v>585974</v>
      </c>
      <c r="BM92" s="10">
        <f t="shared" si="115"/>
        <v>0.8954065104980327</v>
      </c>
      <c r="BN92" s="10">
        <f t="shared" si="115"/>
        <v>0.14924261961646823</v>
      </c>
      <c r="BO92" s="90">
        <f t="shared" si="116"/>
        <v>77329</v>
      </c>
      <c r="BP92" s="90">
        <f t="shared" si="116"/>
        <v>874200</v>
      </c>
      <c r="BQ92" s="70">
        <f aca="true" t="shared" si="141" ref="BQ92:BQ108">IF(AA92&gt;BK92,0,BK92-AA92)</f>
        <v>0</v>
      </c>
      <c r="BR92" s="70">
        <f aca="true" t="shared" si="142" ref="BR92:BR108">IF(AB92&gt;BL92,0,BL92-AB92)</f>
        <v>508645</v>
      </c>
      <c r="BT92" s="41">
        <f aca="true" t="shared" si="143" ref="BT92:BT100">$AZ92/N92</f>
        <v>209000</v>
      </c>
      <c r="BU92" s="41">
        <f aca="true" t="shared" si="144" ref="BU92:BU100">$AZ92/O92</f>
        <v>298571.4285714286</v>
      </c>
      <c r="BV92" s="72">
        <f aca="true" t="shared" si="145" ref="BV92:BV100">$AZ92/P92</f>
        <v>313500</v>
      </c>
      <c r="BW92" s="243">
        <f aca="true" t="shared" si="146" ref="BW92:BW101">$AZ92/Q92</f>
        <v>418000</v>
      </c>
      <c r="BX92" s="229">
        <v>0.09</v>
      </c>
      <c r="BY92" s="114">
        <f t="shared" si="88"/>
        <v>26615.844</v>
      </c>
      <c r="BZ92" s="231"/>
      <c r="CA92" s="195">
        <v>26000</v>
      </c>
      <c r="CB92" s="217"/>
      <c r="CC92" s="204"/>
      <c r="CD92" s="205"/>
      <c r="CE92" s="204"/>
      <c r="CF92" s="204"/>
      <c r="CG92" s="204"/>
      <c r="CH92" s="206" t="s">
        <v>147</v>
      </c>
      <c r="CI92" s="264" t="s">
        <v>47</v>
      </c>
      <c r="CJ92" s="106">
        <f aca="true" t="shared" si="147" ref="CJ92:CJ109">($CG92+$CA92+$AZ92+$AT92+$AQ92+$AN92+$AK92+$AH92+$AE92+$Y92+$V92)/$AV92</f>
        <v>0.9759640482080846</v>
      </c>
      <c r="CK92" s="53">
        <f aca="true" t="shared" si="148" ref="CK92:CK109">($CG92+$CA92+$AZ92+$AT92+$AQ92+$AN92+$AK92+$AH92+$AE92+$Y92+$V92)/$AW92</f>
        <v>0.9305735335689523</v>
      </c>
      <c r="CL92" s="53"/>
      <c r="CM92" s="204">
        <f t="shared" si="89"/>
        <v>26000</v>
      </c>
      <c r="CN92" s="204"/>
      <c r="CO92" s="204">
        <f t="shared" si="90"/>
        <v>640299</v>
      </c>
      <c r="CP92" s="204">
        <f aca="true" t="shared" si="149" ref="CP92:CP109">AZ92+CM92</f>
        <v>653000</v>
      </c>
      <c r="CQ92" s="207">
        <f t="shared" si="92"/>
        <v>0.019836045347564113</v>
      </c>
      <c r="CR92" s="114"/>
      <c r="CS92" s="114"/>
      <c r="CT92" s="114">
        <f t="shared" si="86"/>
        <v>554496.75</v>
      </c>
      <c r="CU92" s="208">
        <v>0.71</v>
      </c>
      <c r="CV92" s="114">
        <f aca="true" t="shared" si="150" ref="CV92:CV109">IF(CT92*CU92&lt;T92,CT92*CU92,T92)</f>
        <v>393692.6925</v>
      </c>
      <c r="CW92" s="114">
        <f t="shared" si="91"/>
        <v>470250</v>
      </c>
      <c r="CX92" s="114">
        <f t="shared" si="87"/>
        <v>1.0487769241244695</v>
      </c>
      <c r="CY92" s="114"/>
      <c r="CZ92" s="114"/>
    </row>
    <row r="93" spans="1:104" ht="24">
      <c r="A93" s="149">
        <v>15060306</v>
      </c>
      <c r="B93" s="49" t="s">
        <v>64</v>
      </c>
      <c r="C93" s="49" t="s">
        <v>43</v>
      </c>
      <c r="D93" s="49" t="s">
        <v>145</v>
      </c>
      <c r="E93" s="49" t="s">
        <v>282</v>
      </c>
      <c r="F93" s="73">
        <v>5067947</v>
      </c>
      <c r="G93" s="73">
        <v>0</v>
      </c>
      <c r="H93" s="73">
        <v>0</v>
      </c>
      <c r="I93" s="73">
        <v>0</v>
      </c>
      <c r="J93" s="73">
        <v>0</v>
      </c>
      <c r="K93" s="73">
        <v>0</v>
      </c>
      <c r="L93" s="73">
        <v>0</v>
      </c>
      <c r="M93" s="73">
        <v>0</v>
      </c>
      <c r="N93" s="73">
        <v>0.6</v>
      </c>
      <c r="O93" s="73">
        <v>0.6</v>
      </c>
      <c r="P93" s="73">
        <v>0.5</v>
      </c>
      <c r="Q93" s="73">
        <v>0.5</v>
      </c>
      <c r="R93" s="2">
        <v>31000</v>
      </c>
      <c r="S93" s="2">
        <v>55000</v>
      </c>
      <c r="T93" s="2">
        <v>105000</v>
      </c>
      <c r="U93" s="2">
        <v>0</v>
      </c>
      <c r="V93" s="2">
        <v>0</v>
      </c>
      <c r="W93" s="2">
        <v>0</v>
      </c>
      <c r="X93" s="2">
        <v>10000</v>
      </c>
      <c r="Y93" s="2">
        <v>0</v>
      </c>
      <c r="Z93" s="2">
        <v>0</v>
      </c>
      <c r="AA93" s="2">
        <v>45000</v>
      </c>
      <c r="AB93" s="2">
        <v>48000</v>
      </c>
      <c r="AC93" s="2">
        <v>85000</v>
      </c>
      <c r="AD93" s="2">
        <v>78000</v>
      </c>
      <c r="AE93" s="2">
        <v>80000</v>
      </c>
      <c r="AF93" s="2">
        <v>85000</v>
      </c>
      <c r="AG93" s="2">
        <v>0</v>
      </c>
      <c r="AH93" s="2">
        <v>0</v>
      </c>
      <c r="AI93" s="2">
        <v>0</v>
      </c>
      <c r="AJ93" s="2">
        <v>0</v>
      </c>
      <c r="AK93" s="2">
        <v>0</v>
      </c>
      <c r="AL93" s="2">
        <v>0</v>
      </c>
      <c r="AM93" s="2">
        <v>0</v>
      </c>
      <c r="AN93" s="2">
        <v>0</v>
      </c>
      <c r="AO93" s="2">
        <v>0</v>
      </c>
      <c r="AP93" s="2">
        <v>0</v>
      </c>
      <c r="AQ93" s="2">
        <v>0</v>
      </c>
      <c r="AR93" s="2">
        <v>0</v>
      </c>
      <c r="AS93" s="2">
        <v>5250</v>
      </c>
      <c r="AT93" s="2">
        <v>7000</v>
      </c>
      <c r="AU93" s="2">
        <v>10186</v>
      </c>
      <c r="AV93" s="2">
        <v>169250</v>
      </c>
      <c r="AW93" s="50">
        <v>190000</v>
      </c>
      <c r="AX93" s="50">
        <v>285186</v>
      </c>
      <c r="AY93" s="3"/>
      <c r="AZ93" s="48">
        <v>55000</v>
      </c>
      <c r="BA93" s="48"/>
      <c r="BB93" s="4">
        <f t="shared" si="131"/>
        <v>1</v>
      </c>
      <c r="BC93" s="4">
        <f t="shared" si="132"/>
        <v>0</v>
      </c>
      <c r="BD93" s="5">
        <f t="shared" si="133"/>
        <v>0.7741935483870968</v>
      </c>
      <c r="BE93" s="5">
        <f t="shared" si="134"/>
        <v>-1</v>
      </c>
      <c r="BF93" s="6"/>
      <c r="BG93" s="7">
        <f t="shared" si="135"/>
        <v>142000</v>
      </c>
      <c r="BH93" s="7">
        <f t="shared" si="136"/>
        <v>95186</v>
      </c>
      <c r="BI93" s="8">
        <f t="shared" si="137"/>
        <v>0.8389955686853766</v>
      </c>
      <c r="BJ93" s="8">
        <f t="shared" si="138"/>
        <v>0.5009789473684211</v>
      </c>
      <c r="BK93" s="9">
        <f t="shared" si="139"/>
        <v>27250</v>
      </c>
      <c r="BL93" s="9">
        <f t="shared" si="140"/>
        <v>94814</v>
      </c>
      <c r="BM93" s="10">
        <f t="shared" si="115"/>
        <v>0.7473684210526316</v>
      </c>
      <c r="BN93" s="10">
        <f t="shared" si="115"/>
        <v>0.33376813728584154</v>
      </c>
      <c r="BO93" s="11">
        <f t="shared" si="116"/>
        <v>48000</v>
      </c>
      <c r="BP93" s="11">
        <f t="shared" si="116"/>
        <v>190000</v>
      </c>
      <c r="BQ93" s="12">
        <f t="shared" si="141"/>
        <v>0</v>
      </c>
      <c r="BR93" s="12">
        <f t="shared" si="142"/>
        <v>46814</v>
      </c>
      <c r="BT93" s="14">
        <f t="shared" si="143"/>
        <v>91666.66666666667</v>
      </c>
      <c r="BU93" s="14">
        <f t="shared" si="144"/>
        <v>91666.66666666667</v>
      </c>
      <c r="BV93" s="15">
        <f t="shared" si="145"/>
        <v>110000</v>
      </c>
      <c r="BW93" s="244">
        <f t="shared" si="146"/>
        <v>110000</v>
      </c>
      <c r="BX93" s="230">
        <v>0.09</v>
      </c>
      <c r="BY93" s="74">
        <f t="shared" si="88"/>
        <v>6840</v>
      </c>
      <c r="BZ93" s="232"/>
      <c r="CA93" s="226">
        <v>7000</v>
      </c>
      <c r="CB93" s="225"/>
      <c r="CC93" s="198"/>
      <c r="CD93" s="199"/>
      <c r="CE93" s="198"/>
      <c r="CF93" s="198"/>
      <c r="CG93" s="198"/>
      <c r="CH93" s="200" t="s">
        <v>147</v>
      </c>
      <c r="CI93" s="265" t="s">
        <v>52</v>
      </c>
      <c r="CJ93" s="92">
        <f t="shared" si="147"/>
        <v>0.880354505169867</v>
      </c>
      <c r="CK93" s="4">
        <f t="shared" si="148"/>
        <v>0.7842105263157895</v>
      </c>
      <c r="CL93" s="4"/>
      <c r="CM93" s="198">
        <f aca="true" t="shared" si="151" ref="CM93:CM132">CA93+CG93</f>
        <v>7000</v>
      </c>
      <c r="CN93" s="198"/>
      <c r="CO93" s="198">
        <f aca="true" t="shared" si="152" ref="CO93:CO132">R93+AA93</f>
        <v>76000</v>
      </c>
      <c r="CP93" s="198">
        <f t="shared" si="149"/>
        <v>62000</v>
      </c>
      <c r="CQ93" s="201">
        <f aca="true" t="shared" si="153" ref="CQ93:CQ99">-1+CP93/CO93</f>
        <v>-0.1842105263157895</v>
      </c>
      <c r="CR93" s="74"/>
      <c r="CS93" s="74"/>
      <c r="CT93" s="74">
        <f t="shared" si="86"/>
        <v>142500</v>
      </c>
      <c r="CU93" s="202">
        <v>0.71</v>
      </c>
      <c r="CV93" s="74">
        <f t="shared" si="150"/>
        <v>101175</v>
      </c>
      <c r="CW93" s="74">
        <f t="shared" si="91"/>
        <v>41250</v>
      </c>
      <c r="CX93" s="74">
        <f t="shared" si="87"/>
        <v>1.122599704579025</v>
      </c>
      <c r="CY93" s="74"/>
      <c r="CZ93" s="74"/>
    </row>
    <row r="94" spans="1:104" ht="24">
      <c r="A94" s="149">
        <v>26304856</v>
      </c>
      <c r="B94" s="49" t="s">
        <v>48</v>
      </c>
      <c r="C94" s="49" t="s">
        <v>43</v>
      </c>
      <c r="D94" s="49" t="s">
        <v>145</v>
      </c>
      <c r="E94" s="49" t="s">
        <v>148</v>
      </c>
      <c r="F94" s="73">
        <v>3940396</v>
      </c>
      <c r="G94" s="74"/>
      <c r="H94" s="73">
        <v>0</v>
      </c>
      <c r="I94" s="73">
        <v>0</v>
      </c>
      <c r="J94" s="73">
        <v>0</v>
      </c>
      <c r="K94" s="73">
        <v>0</v>
      </c>
      <c r="L94" s="73">
        <v>0</v>
      </c>
      <c r="M94" s="73">
        <v>0</v>
      </c>
      <c r="N94" s="73">
        <v>1.4</v>
      </c>
      <c r="O94" s="73">
        <v>3.8</v>
      </c>
      <c r="P94" s="73">
        <v>1</v>
      </c>
      <c r="Q94" s="73">
        <v>3</v>
      </c>
      <c r="R94" s="2">
        <v>136000</v>
      </c>
      <c r="S94" s="2">
        <v>264000</v>
      </c>
      <c r="T94" s="2">
        <v>850360</v>
      </c>
      <c r="U94" s="2">
        <v>0</v>
      </c>
      <c r="V94" s="2">
        <v>0</v>
      </c>
      <c r="W94" s="2">
        <v>0</v>
      </c>
      <c r="X94" s="2">
        <v>0</v>
      </c>
      <c r="Y94" s="2">
        <v>15000</v>
      </c>
      <c r="Z94" s="2">
        <v>12000</v>
      </c>
      <c r="AA94" s="2">
        <v>64201</v>
      </c>
      <c r="AB94" s="2">
        <v>179762</v>
      </c>
      <c r="AC94" s="2">
        <v>180000</v>
      </c>
      <c r="AD94" s="2">
        <v>0</v>
      </c>
      <c r="AE94" s="2">
        <v>2000</v>
      </c>
      <c r="AF94" s="2">
        <v>2000</v>
      </c>
      <c r="AG94" s="2">
        <v>0</v>
      </c>
      <c r="AH94" s="2">
        <v>0</v>
      </c>
      <c r="AI94" s="2">
        <v>0</v>
      </c>
      <c r="AJ94" s="2">
        <v>0</v>
      </c>
      <c r="AK94" s="2">
        <v>0</v>
      </c>
      <c r="AL94" s="2">
        <v>0</v>
      </c>
      <c r="AM94" s="2">
        <v>0</v>
      </c>
      <c r="AN94" s="2">
        <v>0</v>
      </c>
      <c r="AO94" s="2">
        <v>0</v>
      </c>
      <c r="AP94" s="2">
        <v>0</v>
      </c>
      <c r="AQ94" s="2">
        <v>0</v>
      </c>
      <c r="AR94" s="2">
        <v>0</v>
      </c>
      <c r="AS94" s="2">
        <v>69695</v>
      </c>
      <c r="AT94" s="2">
        <v>145400</v>
      </c>
      <c r="AU94" s="2">
        <v>170440</v>
      </c>
      <c r="AV94" s="2">
        <v>269896</v>
      </c>
      <c r="AW94" s="50">
        <v>606162</v>
      </c>
      <c r="AX94" s="50">
        <v>1214800</v>
      </c>
      <c r="AY94" s="3"/>
      <c r="AZ94" s="48">
        <v>264000</v>
      </c>
      <c r="BA94" s="48"/>
      <c r="BB94" s="4">
        <f t="shared" si="131"/>
        <v>1</v>
      </c>
      <c r="BC94" s="4">
        <f t="shared" si="132"/>
        <v>0</v>
      </c>
      <c r="BD94" s="5">
        <f t="shared" si="133"/>
        <v>0.9411764705882353</v>
      </c>
      <c r="BE94" s="5">
        <f t="shared" si="134"/>
        <v>-1</v>
      </c>
      <c r="BF94" s="6"/>
      <c r="BG94" s="7">
        <f t="shared" si="135"/>
        <v>426400</v>
      </c>
      <c r="BH94" s="7">
        <f t="shared" si="136"/>
        <v>184440</v>
      </c>
      <c r="BI94" s="8">
        <f t="shared" si="137"/>
        <v>1.579867800930729</v>
      </c>
      <c r="BJ94" s="8">
        <f t="shared" si="138"/>
        <v>0.3042750947766439</v>
      </c>
      <c r="BK94" s="9">
        <f t="shared" si="139"/>
        <v>0</v>
      </c>
      <c r="BL94" s="9">
        <f t="shared" si="140"/>
        <v>421722</v>
      </c>
      <c r="BM94" s="10">
        <f t="shared" si="115"/>
        <v>0.7034423141008509</v>
      </c>
      <c r="BN94" s="10">
        <f t="shared" si="115"/>
        <v>0.1518274613105038</v>
      </c>
      <c r="BO94" s="11">
        <f t="shared" si="116"/>
        <v>179762</v>
      </c>
      <c r="BP94" s="11">
        <f t="shared" si="116"/>
        <v>1030360</v>
      </c>
      <c r="BQ94" s="12">
        <f t="shared" si="141"/>
        <v>0</v>
      </c>
      <c r="BR94" s="12">
        <f t="shared" si="142"/>
        <v>241960</v>
      </c>
      <c r="BT94" s="14">
        <f t="shared" si="143"/>
        <v>188571.42857142858</v>
      </c>
      <c r="BU94" s="14">
        <f t="shared" si="144"/>
        <v>69473.68421052632</v>
      </c>
      <c r="BV94" s="15">
        <f t="shared" si="145"/>
        <v>264000</v>
      </c>
      <c r="BW94" s="244">
        <f t="shared" si="146"/>
        <v>88000</v>
      </c>
      <c r="BX94" s="230">
        <v>0.09</v>
      </c>
      <c r="BY94" s="74">
        <f t="shared" si="88"/>
        <v>21821.832</v>
      </c>
      <c r="BZ94" s="232"/>
      <c r="CA94" s="226">
        <v>21000</v>
      </c>
      <c r="CB94" s="225"/>
      <c r="CC94" s="198"/>
      <c r="CD94" s="199"/>
      <c r="CE94" s="198"/>
      <c r="CF94" s="198"/>
      <c r="CG94" s="198"/>
      <c r="CH94" s="200" t="s">
        <v>147</v>
      </c>
      <c r="CI94" s="265" t="s">
        <v>50</v>
      </c>
      <c r="CJ94" s="92">
        <f t="shared" si="147"/>
        <v>1.6576755491003943</v>
      </c>
      <c r="CK94" s="4">
        <f t="shared" si="148"/>
        <v>0.7380865181255176</v>
      </c>
      <c r="CL94" s="4"/>
      <c r="CM94" s="198">
        <f t="shared" si="151"/>
        <v>21000</v>
      </c>
      <c r="CN94" s="198"/>
      <c r="CO94" s="198">
        <f t="shared" si="152"/>
        <v>200201</v>
      </c>
      <c r="CP94" s="198">
        <f t="shared" si="149"/>
        <v>285000</v>
      </c>
      <c r="CQ94" s="201">
        <f t="shared" si="153"/>
        <v>0.4235693128405953</v>
      </c>
      <c r="CR94" s="74"/>
      <c r="CS94" s="74"/>
      <c r="CT94" s="74">
        <f t="shared" si="86"/>
        <v>454621.5</v>
      </c>
      <c r="CU94" s="202">
        <v>0.71</v>
      </c>
      <c r="CV94" s="74">
        <f t="shared" si="150"/>
        <v>322781.26499999996</v>
      </c>
      <c r="CW94" s="74">
        <f t="shared" si="91"/>
        <v>198000</v>
      </c>
      <c r="CX94" s="74">
        <f t="shared" si="87"/>
        <v>2.245909535524795</v>
      </c>
      <c r="CY94" s="74"/>
      <c r="CZ94" s="74"/>
    </row>
    <row r="95" spans="1:104" ht="36">
      <c r="A95" s="149">
        <v>26594706</v>
      </c>
      <c r="B95" s="49" t="s">
        <v>149</v>
      </c>
      <c r="C95" s="49" t="s">
        <v>43</v>
      </c>
      <c r="D95" s="49" t="s">
        <v>145</v>
      </c>
      <c r="E95" s="49" t="s">
        <v>150</v>
      </c>
      <c r="F95" s="73">
        <v>4576756</v>
      </c>
      <c r="G95" s="74"/>
      <c r="H95" s="73">
        <v>0</v>
      </c>
      <c r="I95" s="73">
        <v>0</v>
      </c>
      <c r="J95" s="73">
        <v>0</v>
      </c>
      <c r="K95" s="73">
        <v>0</v>
      </c>
      <c r="L95" s="73">
        <v>0</v>
      </c>
      <c r="M95" s="73">
        <v>0</v>
      </c>
      <c r="N95" s="73">
        <v>1.5</v>
      </c>
      <c r="O95" s="73">
        <v>1.2</v>
      </c>
      <c r="P95" s="73">
        <v>1.3</v>
      </c>
      <c r="Q95" s="73">
        <v>1</v>
      </c>
      <c r="R95" s="2">
        <v>342400</v>
      </c>
      <c r="S95" s="2">
        <v>376600</v>
      </c>
      <c r="T95" s="2">
        <v>397305</v>
      </c>
      <c r="U95" s="2">
        <v>0</v>
      </c>
      <c r="V95" s="2">
        <v>0</v>
      </c>
      <c r="W95" s="2">
        <v>0</v>
      </c>
      <c r="X95" s="2">
        <v>28740</v>
      </c>
      <c r="Y95" s="2">
        <v>0</v>
      </c>
      <c r="Z95" s="2">
        <v>0</v>
      </c>
      <c r="AA95" s="2">
        <v>67499</v>
      </c>
      <c r="AB95" s="2">
        <v>52249</v>
      </c>
      <c r="AC95" s="2">
        <v>55000</v>
      </c>
      <c r="AD95" s="2">
        <v>42208</v>
      </c>
      <c r="AE95" s="2">
        <v>46500</v>
      </c>
      <c r="AF95" s="2">
        <v>40000</v>
      </c>
      <c r="AG95" s="2">
        <v>0</v>
      </c>
      <c r="AH95" s="2">
        <v>0</v>
      </c>
      <c r="AI95" s="2">
        <v>0</v>
      </c>
      <c r="AJ95" s="2">
        <v>33320</v>
      </c>
      <c r="AK95" s="2">
        <v>7600</v>
      </c>
      <c r="AL95" s="2">
        <v>7772</v>
      </c>
      <c r="AM95" s="2">
        <v>0</v>
      </c>
      <c r="AN95" s="2">
        <v>0</v>
      </c>
      <c r="AO95" s="2">
        <v>0</v>
      </c>
      <c r="AP95" s="2">
        <v>0</v>
      </c>
      <c r="AQ95" s="2">
        <v>0</v>
      </c>
      <c r="AR95" s="2">
        <v>0</v>
      </c>
      <c r="AS95" s="2">
        <v>48251</v>
      </c>
      <c r="AT95" s="2">
        <v>17500</v>
      </c>
      <c r="AU95" s="2">
        <v>8500</v>
      </c>
      <c r="AV95" s="2">
        <v>562418</v>
      </c>
      <c r="AW95" s="50">
        <v>500449</v>
      </c>
      <c r="AX95" s="50">
        <v>508577</v>
      </c>
      <c r="AY95" s="3"/>
      <c r="AZ95" s="48">
        <v>376600</v>
      </c>
      <c r="BA95" s="48"/>
      <c r="BB95" s="4">
        <f t="shared" si="131"/>
        <v>1</v>
      </c>
      <c r="BC95" s="4">
        <f t="shared" si="132"/>
        <v>0</v>
      </c>
      <c r="BD95" s="5">
        <f t="shared" si="133"/>
        <v>0.09988317757009346</v>
      </c>
      <c r="BE95" s="5">
        <f t="shared" si="134"/>
        <v>-1</v>
      </c>
      <c r="BF95" s="6"/>
      <c r="BG95" s="7">
        <f t="shared" si="135"/>
        <v>448200</v>
      </c>
      <c r="BH95" s="7">
        <f t="shared" si="136"/>
        <v>56272</v>
      </c>
      <c r="BI95" s="8">
        <f t="shared" si="137"/>
        <v>0.7969161726687268</v>
      </c>
      <c r="BJ95" s="8">
        <f t="shared" si="138"/>
        <v>0.11244302616250607</v>
      </c>
      <c r="BK95" s="9">
        <f t="shared" si="139"/>
        <v>114218</v>
      </c>
      <c r="BL95" s="9">
        <f t="shared" si="140"/>
        <v>444177</v>
      </c>
      <c r="BM95" s="10">
        <f t="shared" si="115"/>
        <v>0.8955957550119992</v>
      </c>
      <c r="BN95" s="10">
        <f t="shared" si="115"/>
        <v>0.11064597887832128</v>
      </c>
      <c r="BO95" s="11">
        <f t="shared" si="116"/>
        <v>52249</v>
      </c>
      <c r="BP95" s="11">
        <f t="shared" si="116"/>
        <v>452305</v>
      </c>
      <c r="BQ95" s="12">
        <f t="shared" si="141"/>
        <v>46719</v>
      </c>
      <c r="BR95" s="12">
        <f t="shared" si="142"/>
        <v>391928</v>
      </c>
      <c r="BT95" s="14">
        <f t="shared" si="143"/>
        <v>251066.66666666666</v>
      </c>
      <c r="BU95" s="14">
        <f t="shared" si="144"/>
        <v>313833.3333333334</v>
      </c>
      <c r="BV95" s="15">
        <f t="shared" si="145"/>
        <v>289692.3076923077</v>
      </c>
      <c r="BW95" s="244">
        <f t="shared" si="146"/>
        <v>376600</v>
      </c>
      <c r="BX95" s="230">
        <v>0.09</v>
      </c>
      <c r="BY95" s="74">
        <f t="shared" si="88"/>
        <v>18016.164</v>
      </c>
      <c r="BZ95" s="232"/>
      <c r="CA95" s="226">
        <v>18000</v>
      </c>
      <c r="CB95" s="225"/>
      <c r="CC95" s="198"/>
      <c r="CD95" s="199"/>
      <c r="CE95" s="198"/>
      <c r="CF95" s="198"/>
      <c r="CG95" s="198"/>
      <c r="CH95" s="200" t="s">
        <v>147</v>
      </c>
      <c r="CI95" s="265" t="s">
        <v>52</v>
      </c>
      <c r="CJ95" s="92">
        <f t="shared" si="147"/>
        <v>0.828920838237752</v>
      </c>
      <c r="CK95" s="4">
        <f t="shared" si="148"/>
        <v>0.9315634560164971</v>
      </c>
      <c r="CL95" s="4"/>
      <c r="CM95" s="198">
        <f t="shared" si="151"/>
        <v>18000</v>
      </c>
      <c r="CN95" s="198"/>
      <c r="CO95" s="198">
        <f t="shared" si="152"/>
        <v>409899</v>
      </c>
      <c r="CP95" s="198">
        <f t="shared" si="149"/>
        <v>394600</v>
      </c>
      <c r="CQ95" s="201">
        <f t="shared" si="153"/>
        <v>-0.037323828552887406</v>
      </c>
      <c r="CR95" s="74"/>
      <c r="CS95" s="74"/>
      <c r="CT95" s="74">
        <f t="shared" si="86"/>
        <v>375336.75</v>
      </c>
      <c r="CU95" s="202">
        <v>0.71</v>
      </c>
      <c r="CV95" s="74">
        <f t="shared" si="150"/>
        <v>266489.09249999997</v>
      </c>
      <c r="CW95" s="74">
        <f t="shared" si="91"/>
        <v>282450</v>
      </c>
      <c r="CX95" s="74">
        <f t="shared" si="87"/>
        <v>0.8898168266307266</v>
      </c>
      <c r="CY95" s="74"/>
      <c r="CZ95" s="74"/>
    </row>
    <row r="96" spans="1:104" ht="36">
      <c r="A96" s="149">
        <v>26594706</v>
      </c>
      <c r="B96" s="49" t="s">
        <v>149</v>
      </c>
      <c r="C96" s="49" t="s">
        <v>43</v>
      </c>
      <c r="D96" s="49" t="s">
        <v>145</v>
      </c>
      <c r="E96" s="49" t="s">
        <v>151</v>
      </c>
      <c r="F96" s="73">
        <v>7050514</v>
      </c>
      <c r="G96" s="74"/>
      <c r="H96" s="73">
        <v>0</v>
      </c>
      <c r="I96" s="73">
        <v>0</v>
      </c>
      <c r="J96" s="73">
        <v>0</v>
      </c>
      <c r="K96" s="73">
        <v>0</v>
      </c>
      <c r="L96" s="73">
        <v>0</v>
      </c>
      <c r="M96" s="73">
        <v>0</v>
      </c>
      <c r="N96" s="73">
        <v>1</v>
      </c>
      <c r="O96" s="73">
        <v>1</v>
      </c>
      <c r="P96" s="73">
        <v>0.8</v>
      </c>
      <c r="Q96" s="73">
        <v>0.8</v>
      </c>
      <c r="R96" s="2">
        <v>342400</v>
      </c>
      <c r="S96" s="2">
        <v>278000</v>
      </c>
      <c r="T96" s="2">
        <v>307875</v>
      </c>
      <c r="U96" s="2">
        <v>0</v>
      </c>
      <c r="V96" s="2">
        <v>0</v>
      </c>
      <c r="W96" s="2">
        <v>0</v>
      </c>
      <c r="X96" s="2">
        <v>28740</v>
      </c>
      <c r="Y96" s="2">
        <v>0</v>
      </c>
      <c r="Z96" s="2">
        <v>0</v>
      </c>
      <c r="AA96" s="2">
        <v>67499</v>
      </c>
      <c r="AB96" s="2">
        <v>47249</v>
      </c>
      <c r="AC96" s="2">
        <v>50000</v>
      </c>
      <c r="AD96" s="2">
        <v>42208</v>
      </c>
      <c r="AE96" s="2">
        <v>55500</v>
      </c>
      <c r="AF96" s="2">
        <v>50000</v>
      </c>
      <c r="AG96" s="2">
        <v>0</v>
      </c>
      <c r="AH96" s="2">
        <v>0</v>
      </c>
      <c r="AI96" s="2">
        <v>0</v>
      </c>
      <c r="AJ96" s="2">
        <v>33320</v>
      </c>
      <c r="AK96" s="2">
        <v>15000</v>
      </c>
      <c r="AL96" s="2">
        <v>14360</v>
      </c>
      <c r="AM96" s="2">
        <v>0</v>
      </c>
      <c r="AN96" s="2">
        <v>0</v>
      </c>
      <c r="AO96" s="2">
        <v>0</v>
      </c>
      <c r="AP96" s="2">
        <v>0</v>
      </c>
      <c r="AQ96" s="2">
        <v>0</v>
      </c>
      <c r="AR96" s="2">
        <v>0</v>
      </c>
      <c r="AS96" s="2">
        <v>48251</v>
      </c>
      <c r="AT96" s="2">
        <v>24000</v>
      </c>
      <c r="AU96" s="2">
        <v>25000</v>
      </c>
      <c r="AV96" s="2">
        <v>562418</v>
      </c>
      <c r="AW96" s="50">
        <v>419749</v>
      </c>
      <c r="AX96" s="50">
        <v>447235</v>
      </c>
      <c r="AY96" s="3"/>
      <c r="AZ96" s="48">
        <v>278000</v>
      </c>
      <c r="BA96" s="48"/>
      <c r="BB96" s="4">
        <f t="shared" si="131"/>
        <v>1</v>
      </c>
      <c r="BC96" s="4">
        <f t="shared" si="132"/>
        <v>0</v>
      </c>
      <c r="BD96" s="5">
        <f t="shared" si="133"/>
        <v>-0.1880841121495327</v>
      </c>
      <c r="BE96" s="5">
        <f t="shared" si="134"/>
        <v>-1</v>
      </c>
      <c r="BF96" s="6"/>
      <c r="BG96" s="7">
        <f t="shared" si="135"/>
        <v>372500</v>
      </c>
      <c r="BH96" s="7">
        <f t="shared" si="136"/>
        <v>89360</v>
      </c>
      <c r="BI96" s="8">
        <f t="shared" si="137"/>
        <v>0.6623187735812154</v>
      </c>
      <c r="BJ96" s="8">
        <f t="shared" si="138"/>
        <v>0.21288913136183768</v>
      </c>
      <c r="BK96" s="9">
        <f t="shared" si="139"/>
        <v>189918</v>
      </c>
      <c r="BL96" s="9">
        <f t="shared" si="140"/>
        <v>330389</v>
      </c>
      <c r="BM96" s="10">
        <f t="shared" si="115"/>
        <v>0.8874351100300417</v>
      </c>
      <c r="BN96" s="10">
        <f t="shared" si="115"/>
        <v>0.19980547139646943</v>
      </c>
      <c r="BO96" s="11">
        <f t="shared" si="116"/>
        <v>47249</v>
      </c>
      <c r="BP96" s="11">
        <f t="shared" si="116"/>
        <v>357875</v>
      </c>
      <c r="BQ96" s="12">
        <f t="shared" si="141"/>
        <v>122419</v>
      </c>
      <c r="BR96" s="12">
        <f t="shared" si="142"/>
        <v>283140</v>
      </c>
      <c r="BT96" s="14">
        <f t="shared" si="143"/>
        <v>278000</v>
      </c>
      <c r="BU96" s="14">
        <f t="shared" si="144"/>
        <v>278000</v>
      </c>
      <c r="BV96" s="15">
        <f t="shared" si="145"/>
        <v>347500</v>
      </c>
      <c r="BW96" s="244">
        <f t="shared" si="146"/>
        <v>347500</v>
      </c>
      <c r="BX96" s="230">
        <v>0.09</v>
      </c>
      <c r="BY96" s="74">
        <f t="shared" si="88"/>
        <v>15110.964</v>
      </c>
      <c r="BZ96" s="232"/>
      <c r="CA96" s="226">
        <v>15000</v>
      </c>
      <c r="CB96" s="225"/>
      <c r="CC96" s="198"/>
      <c r="CD96" s="199"/>
      <c r="CE96" s="198"/>
      <c r="CF96" s="198"/>
      <c r="CG96" s="198"/>
      <c r="CH96" s="200" t="s">
        <v>147</v>
      </c>
      <c r="CI96" s="265" t="s">
        <v>52</v>
      </c>
      <c r="CJ96" s="92">
        <f t="shared" si="147"/>
        <v>0.6889893282220697</v>
      </c>
      <c r="CK96" s="4">
        <f t="shared" si="148"/>
        <v>0.9231707520446744</v>
      </c>
      <c r="CL96" s="4"/>
      <c r="CM96" s="198">
        <f t="shared" si="151"/>
        <v>15000</v>
      </c>
      <c r="CN96" s="198"/>
      <c r="CO96" s="198">
        <f t="shared" si="152"/>
        <v>409899</v>
      </c>
      <c r="CP96" s="198">
        <f t="shared" si="149"/>
        <v>293000</v>
      </c>
      <c r="CQ96" s="201">
        <f t="shared" si="153"/>
        <v>-0.2851897662594932</v>
      </c>
      <c r="CR96" s="74"/>
      <c r="CS96" s="74"/>
      <c r="CT96" s="74">
        <f t="shared" si="86"/>
        <v>314811.75</v>
      </c>
      <c r="CU96" s="202">
        <v>0.71</v>
      </c>
      <c r="CV96" s="74">
        <f t="shared" si="150"/>
        <v>223516.3425</v>
      </c>
      <c r="CW96" s="74">
        <f t="shared" si="91"/>
        <v>208500</v>
      </c>
      <c r="CX96" s="74">
        <f t="shared" si="87"/>
        <v>0.7463292426629304</v>
      </c>
      <c r="CY96" s="74"/>
      <c r="CZ96" s="74"/>
    </row>
    <row r="97" spans="1:104" ht="36">
      <c r="A97" s="149">
        <v>26594706</v>
      </c>
      <c r="B97" s="49" t="s">
        <v>149</v>
      </c>
      <c r="C97" s="49" t="s">
        <v>43</v>
      </c>
      <c r="D97" s="49" t="s">
        <v>145</v>
      </c>
      <c r="E97" s="49" t="s">
        <v>152</v>
      </c>
      <c r="F97" s="73">
        <v>7192717</v>
      </c>
      <c r="G97" s="74"/>
      <c r="H97" s="73">
        <v>0</v>
      </c>
      <c r="I97" s="73">
        <v>0</v>
      </c>
      <c r="J97" s="73">
        <v>0</v>
      </c>
      <c r="K97" s="73">
        <v>0</v>
      </c>
      <c r="L97" s="73">
        <v>0</v>
      </c>
      <c r="M97" s="73">
        <v>0</v>
      </c>
      <c r="N97" s="73">
        <v>1.7</v>
      </c>
      <c r="O97" s="73">
        <v>1.4</v>
      </c>
      <c r="P97" s="73">
        <v>1.5</v>
      </c>
      <c r="Q97" s="73">
        <v>1.2</v>
      </c>
      <c r="R97" s="2">
        <v>342400</v>
      </c>
      <c r="S97" s="2">
        <v>376600</v>
      </c>
      <c r="T97" s="2">
        <v>449337</v>
      </c>
      <c r="U97" s="2">
        <v>0</v>
      </c>
      <c r="V97" s="2">
        <v>0</v>
      </c>
      <c r="W97" s="2">
        <v>0</v>
      </c>
      <c r="X97" s="2">
        <v>28740</v>
      </c>
      <c r="Y97" s="2">
        <v>0</v>
      </c>
      <c r="Z97" s="2">
        <v>0</v>
      </c>
      <c r="AA97" s="2">
        <v>67499</v>
      </c>
      <c r="AB97" s="2">
        <v>67249</v>
      </c>
      <c r="AC97" s="2">
        <v>71000</v>
      </c>
      <c r="AD97" s="2">
        <v>42208</v>
      </c>
      <c r="AE97" s="2">
        <v>61400</v>
      </c>
      <c r="AF97" s="2">
        <v>50000</v>
      </c>
      <c r="AG97" s="2">
        <v>0</v>
      </c>
      <c r="AH97" s="2">
        <v>0</v>
      </c>
      <c r="AI97" s="2">
        <v>0</v>
      </c>
      <c r="AJ97" s="2">
        <v>33320</v>
      </c>
      <c r="AK97" s="2">
        <v>12000</v>
      </c>
      <c r="AL97" s="2">
        <v>12000</v>
      </c>
      <c r="AM97" s="2">
        <v>0</v>
      </c>
      <c r="AN97" s="2">
        <v>0</v>
      </c>
      <c r="AO97" s="2">
        <v>0</v>
      </c>
      <c r="AP97" s="2">
        <v>0</v>
      </c>
      <c r="AQ97" s="2">
        <v>0</v>
      </c>
      <c r="AR97" s="2">
        <v>0</v>
      </c>
      <c r="AS97" s="2">
        <v>48251</v>
      </c>
      <c r="AT97" s="2">
        <v>15000</v>
      </c>
      <c r="AU97" s="2">
        <v>12000</v>
      </c>
      <c r="AV97" s="2">
        <v>562418</v>
      </c>
      <c r="AW97" s="50">
        <v>532249</v>
      </c>
      <c r="AX97" s="50">
        <v>594337</v>
      </c>
      <c r="AY97" s="3"/>
      <c r="AZ97" s="48">
        <v>376600</v>
      </c>
      <c r="BA97" s="48"/>
      <c r="BB97" s="4">
        <f t="shared" si="131"/>
        <v>1</v>
      </c>
      <c r="BC97" s="4">
        <f t="shared" si="132"/>
        <v>0</v>
      </c>
      <c r="BD97" s="5">
        <f t="shared" si="133"/>
        <v>0.09988317757009346</v>
      </c>
      <c r="BE97" s="5">
        <f t="shared" si="134"/>
        <v>-1</v>
      </c>
      <c r="BF97" s="6"/>
      <c r="BG97" s="7">
        <f t="shared" si="135"/>
        <v>465000</v>
      </c>
      <c r="BH97" s="7">
        <f t="shared" si="136"/>
        <v>74000</v>
      </c>
      <c r="BI97" s="8">
        <f t="shared" si="137"/>
        <v>0.8267871938664837</v>
      </c>
      <c r="BJ97" s="8">
        <f t="shared" si="138"/>
        <v>0.13903267079881784</v>
      </c>
      <c r="BK97" s="9">
        <f t="shared" si="139"/>
        <v>97418</v>
      </c>
      <c r="BL97" s="9">
        <f t="shared" si="140"/>
        <v>458249</v>
      </c>
      <c r="BM97" s="10">
        <f t="shared" si="115"/>
        <v>0.8736512421817608</v>
      </c>
      <c r="BN97" s="10">
        <f t="shared" si="115"/>
        <v>0.12450848592633472</v>
      </c>
      <c r="BO97" s="11">
        <f t="shared" si="116"/>
        <v>67249</v>
      </c>
      <c r="BP97" s="11">
        <f t="shared" si="116"/>
        <v>520337</v>
      </c>
      <c r="BQ97" s="12">
        <f t="shared" si="141"/>
        <v>29919</v>
      </c>
      <c r="BR97" s="12">
        <f t="shared" si="142"/>
        <v>391000</v>
      </c>
      <c r="BT97" s="14">
        <f t="shared" si="143"/>
        <v>221529.41176470587</v>
      </c>
      <c r="BU97" s="14">
        <f t="shared" si="144"/>
        <v>269000</v>
      </c>
      <c r="BV97" s="15">
        <f t="shared" si="145"/>
        <v>251066.66666666666</v>
      </c>
      <c r="BW97" s="244">
        <f t="shared" si="146"/>
        <v>313833.3333333334</v>
      </c>
      <c r="BX97" s="230">
        <v>0.09</v>
      </c>
      <c r="BY97" s="74">
        <f t="shared" si="88"/>
        <v>19160.964</v>
      </c>
      <c r="BZ97" s="232"/>
      <c r="CA97" s="226">
        <v>19000</v>
      </c>
      <c r="CB97" s="225"/>
      <c r="CC97" s="198"/>
      <c r="CD97" s="199"/>
      <c r="CE97" s="198"/>
      <c r="CF97" s="198"/>
      <c r="CG97" s="198"/>
      <c r="CH97" s="200" t="s">
        <v>147</v>
      </c>
      <c r="CI97" s="265" t="s">
        <v>52</v>
      </c>
      <c r="CJ97" s="92">
        <f t="shared" si="147"/>
        <v>0.8605698964115658</v>
      </c>
      <c r="CK97" s="4">
        <f t="shared" si="148"/>
        <v>0.909348819819295</v>
      </c>
      <c r="CL97" s="4"/>
      <c r="CM97" s="198">
        <f t="shared" si="151"/>
        <v>19000</v>
      </c>
      <c r="CN97" s="198"/>
      <c r="CO97" s="198">
        <f t="shared" si="152"/>
        <v>409899</v>
      </c>
      <c r="CP97" s="198">
        <f t="shared" si="149"/>
        <v>395600</v>
      </c>
      <c r="CQ97" s="201">
        <f t="shared" si="153"/>
        <v>-0.03488420318175944</v>
      </c>
      <c r="CR97" s="74"/>
      <c r="CS97" s="74"/>
      <c r="CT97" s="74">
        <f t="shared" si="86"/>
        <v>399186.75</v>
      </c>
      <c r="CU97" s="202">
        <v>0.71</v>
      </c>
      <c r="CV97" s="74">
        <f t="shared" si="150"/>
        <v>283422.59249999997</v>
      </c>
      <c r="CW97" s="74">
        <f t="shared" si="91"/>
        <v>282450</v>
      </c>
      <c r="CX97" s="74">
        <f t="shared" si="87"/>
        <v>0.9463584024693378</v>
      </c>
      <c r="CY97" s="74"/>
      <c r="CZ97" s="74"/>
    </row>
    <row r="98" spans="1:104" ht="36">
      <c r="A98" s="149">
        <v>26594706</v>
      </c>
      <c r="B98" s="49" t="s">
        <v>149</v>
      </c>
      <c r="C98" s="49" t="s">
        <v>43</v>
      </c>
      <c r="D98" s="49" t="s">
        <v>145</v>
      </c>
      <c r="E98" s="49" t="s">
        <v>153</v>
      </c>
      <c r="F98" s="73">
        <v>3994230</v>
      </c>
      <c r="G98" s="74"/>
      <c r="H98" s="73">
        <v>0</v>
      </c>
      <c r="I98" s="73">
        <v>0</v>
      </c>
      <c r="J98" s="73">
        <v>0</v>
      </c>
      <c r="K98" s="73">
        <v>0</v>
      </c>
      <c r="L98" s="73">
        <v>0</v>
      </c>
      <c r="M98" s="73">
        <v>0</v>
      </c>
      <c r="N98" s="73">
        <v>1</v>
      </c>
      <c r="O98" s="73">
        <v>1.2</v>
      </c>
      <c r="P98" s="73">
        <v>0.8</v>
      </c>
      <c r="Q98" s="73">
        <v>1</v>
      </c>
      <c r="R98" s="2">
        <v>342400</v>
      </c>
      <c r="S98" s="2">
        <v>276000</v>
      </c>
      <c r="T98" s="2">
        <v>397305</v>
      </c>
      <c r="U98" s="2">
        <v>0</v>
      </c>
      <c r="V98" s="2">
        <v>0</v>
      </c>
      <c r="W98" s="2">
        <v>0</v>
      </c>
      <c r="X98" s="2">
        <v>28740</v>
      </c>
      <c r="Y98" s="2">
        <v>0</v>
      </c>
      <c r="Z98" s="2">
        <v>0</v>
      </c>
      <c r="AA98" s="2">
        <v>67499</v>
      </c>
      <c r="AB98" s="2">
        <v>47249</v>
      </c>
      <c r="AC98" s="2">
        <v>49600</v>
      </c>
      <c r="AD98" s="2">
        <v>42208</v>
      </c>
      <c r="AE98" s="2">
        <v>45400</v>
      </c>
      <c r="AF98" s="2">
        <v>42000</v>
      </c>
      <c r="AG98" s="2">
        <v>0</v>
      </c>
      <c r="AH98" s="2">
        <v>0</v>
      </c>
      <c r="AI98" s="2">
        <v>0</v>
      </c>
      <c r="AJ98" s="2">
        <v>33320</v>
      </c>
      <c r="AK98" s="2">
        <v>5500</v>
      </c>
      <c r="AL98" s="2">
        <v>6760</v>
      </c>
      <c r="AM98" s="2">
        <v>0</v>
      </c>
      <c r="AN98" s="2">
        <v>0</v>
      </c>
      <c r="AO98" s="2">
        <v>0</v>
      </c>
      <c r="AP98" s="2">
        <v>0</v>
      </c>
      <c r="AQ98" s="2">
        <v>0</v>
      </c>
      <c r="AR98" s="2">
        <v>0</v>
      </c>
      <c r="AS98" s="2">
        <v>48251</v>
      </c>
      <c r="AT98" s="2">
        <v>27300</v>
      </c>
      <c r="AU98" s="2">
        <v>43000</v>
      </c>
      <c r="AV98" s="2">
        <v>562418</v>
      </c>
      <c r="AW98" s="50">
        <v>401449</v>
      </c>
      <c r="AX98" s="50">
        <v>538665</v>
      </c>
      <c r="AY98" s="3"/>
      <c r="AZ98" s="48">
        <v>276000</v>
      </c>
      <c r="BA98" s="48"/>
      <c r="BB98" s="4">
        <f t="shared" si="131"/>
        <v>1</v>
      </c>
      <c r="BC98" s="4">
        <f t="shared" si="132"/>
        <v>0</v>
      </c>
      <c r="BD98" s="5">
        <f t="shared" si="133"/>
        <v>-0.1939252336448598</v>
      </c>
      <c r="BE98" s="5">
        <f t="shared" si="134"/>
        <v>-1</v>
      </c>
      <c r="BF98" s="6"/>
      <c r="BG98" s="7">
        <f t="shared" si="135"/>
        <v>354200</v>
      </c>
      <c r="BH98" s="7">
        <f t="shared" si="136"/>
        <v>91760</v>
      </c>
      <c r="BI98" s="8">
        <f t="shared" si="137"/>
        <v>0.6297806969193731</v>
      </c>
      <c r="BJ98" s="8">
        <f t="shared" si="138"/>
        <v>0.22857199793747152</v>
      </c>
      <c r="BK98" s="9">
        <f t="shared" si="139"/>
        <v>208218</v>
      </c>
      <c r="BL98" s="9">
        <f t="shared" si="140"/>
        <v>309689</v>
      </c>
      <c r="BM98" s="10">
        <f t="shared" si="115"/>
        <v>0.8823038542878423</v>
      </c>
      <c r="BN98" s="10">
        <f t="shared" si="115"/>
        <v>0.17034706171739392</v>
      </c>
      <c r="BO98" s="11">
        <f t="shared" si="116"/>
        <v>47249</v>
      </c>
      <c r="BP98" s="11">
        <f t="shared" si="116"/>
        <v>446905</v>
      </c>
      <c r="BQ98" s="12">
        <f t="shared" si="141"/>
        <v>140719</v>
      </c>
      <c r="BR98" s="12">
        <f t="shared" si="142"/>
        <v>262440</v>
      </c>
      <c r="BT98" s="14">
        <f t="shared" si="143"/>
        <v>276000</v>
      </c>
      <c r="BU98" s="14">
        <f t="shared" si="144"/>
        <v>230000</v>
      </c>
      <c r="BV98" s="15">
        <f t="shared" si="145"/>
        <v>345000</v>
      </c>
      <c r="BW98" s="244">
        <f t="shared" si="146"/>
        <v>276000</v>
      </c>
      <c r="BX98" s="230">
        <v>0.09</v>
      </c>
      <c r="BY98" s="74">
        <f t="shared" si="88"/>
        <v>14452.163999999999</v>
      </c>
      <c r="BZ98" s="232"/>
      <c r="CA98" s="226">
        <v>14000</v>
      </c>
      <c r="CB98" s="225"/>
      <c r="CC98" s="198"/>
      <c r="CD98" s="199"/>
      <c r="CE98" s="198"/>
      <c r="CF98" s="198"/>
      <c r="CG98" s="198"/>
      <c r="CH98" s="200" t="s">
        <v>147</v>
      </c>
      <c r="CI98" s="265" t="s">
        <v>52</v>
      </c>
      <c r="CJ98" s="92">
        <f t="shared" si="147"/>
        <v>0.6546732145841705</v>
      </c>
      <c r="CK98" s="4">
        <f t="shared" si="148"/>
        <v>0.9171775244177965</v>
      </c>
      <c r="CL98" s="4"/>
      <c r="CM98" s="198">
        <f t="shared" si="151"/>
        <v>14000</v>
      </c>
      <c r="CN98" s="198"/>
      <c r="CO98" s="198">
        <f t="shared" si="152"/>
        <v>409899</v>
      </c>
      <c r="CP98" s="198">
        <f t="shared" si="149"/>
        <v>290000</v>
      </c>
      <c r="CQ98" s="201">
        <f t="shared" si="153"/>
        <v>-0.2925086423728772</v>
      </c>
      <c r="CR98" s="74"/>
      <c r="CS98" s="74"/>
      <c r="CT98" s="74">
        <f t="shared" si="86"/>
        <v>301086.75</v>
      </c>
      <c r="CU98" s="202">
        <v>0.71</v>
      </c>
      <c r="CV98" s="74">
        <f t="shared" si="150"/>
        <v>213771.5925</v>
      </c>
      <c r="CW98" s="74">
        <f t="shared" si="91"/>
        <v>207000</v>
      </c>
      <c r="CX98" s="74">
        <f t="shared" si="87"/>
        <v>0.7137911660010882</v>
      </c>
      <c r="CY98" s="74"/>
      <c r="CZ98" s="74"/>
    </row>
    <row r="99" spans="1:104" ht="36">
      <c r="A99" s="149">
        <v>26594706</v>
      </c>
      <c r="B99" s="49" t="s">
        <v>149</v>
      </c>
      <c r="C99" s="49" t="s">
        <v>43</v>
      </c>
      <c r="D99" s="49" t="s">
        <v>145</v>
      </c>
      <c r="E99" s="49" t="s">
        <v>154</v>
      </c>
      <c r="F99" s="73">
        <v>8577498</v>
      </c>
      <c r="G99" s="74"/>
      <c r="H99" s="73">
        <v>0</v>
      </c>
      <c r="I99" s="73">
        <v>0</v>
      </c>
      <c r="J99" s="73">
        <v>0</v>
      </c>
      <c r="K99" s="73">
        <v>0</v>
      </c>
      <c r="L99" s="73">
        <v>0</v>
      </c>
      <c r="M99" s="73">
        <v>0</v>
      </c>
      <c r="N99" s="73">
        <v>1.5</v>
      </c>
      <c r="O99" s="73">
        <v>1.4</v>
      </c>
      <c r="P99" s="73">
        <v>1.3</v>
      </c>
      <c r="Q99" s="73">
        <v>0.8</v>
      </c>
      <c r="R99" s="2">
        <v>342400</v>
      </c>
      <c r="S99" s="2">
        <v>376600</v>
      </c>
      <c r="T99" s="2">
        <v>429825</v>
      </c>
      <c r="U99" s="2">
        <v>0</v>
      </c>
      <c r="V99" s="2">
        <v>0</v>
      </c>
      <c r="W99" s="2">
        <v>0</v>
      </c>
      <c r="X99" s="2">
        <v>28740</v>
      </c>
      <c r="Y99" s="2">
        <v>0</v>
      </c>
      <c r="Z99" s="2">
        <v>0</v>
      </c>
      <c r="AA99" s="2">
        <v>67499</v>
      </c>
      <c r="AB99" s="2">
        <v>77249</v>
      </c>
      <c r="AC99" s="2">
        <v>881860</v>
      </c>
      <c r="AD99" s="2">
        <v>42208</v>
      </c>
      <c r="AE99" s="2">
        <v>50000</v>
      </c>
      <c r="AF99" s="2">
        <v>47000</v>
      </c>
      <c r="AG99" s="2">
        <v>0</v>
      </c>
      <c r="AH99" s="2">
        <v>0</v>
      </c>
      <c r="AI99" s="2">
        <v>0</v>
      </c>
      <c r="AJ99" s="2">
        <v>33320</v>
      </c>
      <c r="AK99" s="2">
        <v>12300</v>
      </c>
      <c r="AL99" s="2">
        <v>12000</v>
      </c>
      <c r="AM99" s="2">
        <v>0</v>
      </c>
      <c r="AN99" s="2">
        <v>0</v>
      </c>
      <c r="AO99" s="2">
        <v>0</v>
      </c>
      <c r="AP99" s="2">
        <v>0</v>
      </c>
      <c r="AQ99" s="2">
        <v>0</v>
      </c>
      <c r="AR99" s="2">
        <v>0</v>
      </c>
      <c r="AS99" s="2">
        <v>48251</v>
      </c>
      <c r="AT99" s="2">
        <v>25000</v>
      </c>
      <c r="AU99" s="2">
        <v>10000</v>
      </c>
      <c r="AV99" s="2">
        <v>562418</v>
      </c>
      <c r="AW99" s="50">
        <v>541149</v>
      </c>
      <c r="AX99" s="50">
        <v>580685</v>
      </c>
      <c r="AY99" s="3"/>
      <c r="AZ99" s="48">
        <v>376600</v>
      </c>
      <c r="BA99" s="48"/>
      <c r="BB99" s="4">
        <f t="shared" si="131"/>
        <v>1</v>
      </c>
      <c r="BC99" s="4">
        <f t="shared" si="132"/>
        <v>0</v>
      </c>
      <c r="BD99" s="5">
        <f t="shared" si="133"/>
        <v>0.09988317757009346</v>
      </c>
      <c r="BE99" s="5">
        <f t="shared" si="134"/>
        <v>-1</v>
      </c>
      <c r="BF99" s="6"/>
      <c r="BG99" s="7">
        <f t="shared" si="135"/>
        <v>463900</v>
      </c>
      <c r="BH99" s="7">
        <f t="shared" si="136"/>
        <v>69000</v>
      </c>
      <c r="BI99" s="8">
        <f t="shared" si="137"/>
        <v>0.824831353192821</v>
      </c>
      <c r="BJ99" s="8">
        <f t="shared" si="138"/>
        <v>0.12750647233941115</v>
      </c>
      <c r="BK99" s="9">
        <f t="shared" si="139"/>
        <v>98518</v>
      </c>
      <c r="BL99" s="9">
        <f t="shared" si="140"/>
        <v>472149</v>
      </c>
      <c r="BM99" s="10">
        <f t="shared" si="115"/>
        <v>0.8572500364964178</v>
      </c>
      <c r="BN99" s="10">
        <f t="shared" si="115"/>
        <v>0.118825180605664</v>
      </c>
      <c r="BO99" s="11">
        <f t="shared" si="116"/>
        <v>77249</v>
      </c>
      <c r="BP99" s="11">
        <f t="shared" si="116"/>
        <v>511685</v>
      </c>
      <c r="BQ99" s="12">
        <f t="shared" si="141"/>
        <v>31019</v>
      </c>
      <c r="BR99" s="12">
        <f t="shared" si="142"/>
        <v>394900</v>
      </c>
      <c r="BT99" s="14">
        <f t="shared" si="143"/>
        <v>251066.66666666666</v>
      </c>
      <c r="BU99" s="14">
        <f t="shared" si="144"/>
        <v>269000</v>
      </c>
      <c r="BV99" s="15">
        <f t="shared" si="145"/>
        <v>289692.3076923077</v>
      </c>
      <c r="BW99" s="244">
        <f t="shared" si="146"/>
        <v>470750</v>
      </c>
      <c r="BX99" s="230">
        <v>0.09</v>
      </c>
      <c r="BY99" s="74">
        <f t="shared" si="88"/>
        <v>19481.363999999998</v>
      </c>
      <c r="BZ99" s="232"/>
      <c r="CA99" s="226">
        <v>20000</v>
      </c>
      <c r="CB99" s="225"/>
      <c r="CC99" s="198"/>
      <c r="CD99" s="199"/>
      <c r="CE99" s="198"/>
      <c r="CF99" s="198"/>
      <c r="CG99" s="198"/>
      <c r="CH99" s="200" t="s">
        <v>147</v>
      </c>
      <c r="CI99" s="265" t="s">
        <v>52</v>
      </c>
      <c r="CJ99" s="92">
        <f t="shared" si="147"/>
        <v>0.8603920927139601</v>
      </c>
      <c r="CK99" s="4">
        <f t="shared" si="148"/>
        <v>0.8942084342759573</v>
      </c>
      <c r="CL99" s="4"/>
      <c r="CM99" s="198">
        <f t="shared" si="151"/>
        <v>20000</v>
      </c>
      <c r="CN99" s="198"/>
      <c r="CO99" s="198">
        <f t="shared" si="152"/>
        <v>409899</v>
      </c>
      <c r="CP99" s="198">
        <f t="shared" si="149"/>
        <v>396600</v>
      </c>
      <c r="CQ99" s="201">
        <f t="shared" si="153"/>
        <v>-0.03244457781063137</v>
      </c>
      <c r="CR99" s="74"/>
      <c r="CS99" s="74"/>
      <c r="CT99" s="74">
        <f t="shared" si="86"/>
        <v>405861.75</v>
      </c>
      <c r="CU99" s="202">
        <v>0.71</v>
      </c>
      <c r="CV99" s="74">
        <f t="shared" si="150"/>
        <v>288161.84249999997</v>
      </c>
      <c r="CW99" s="74">
        <f t="shared" si="91"/>
        <v>282450</v>
      </c>
      <c r="CX99" s="74">
        <f t="shared" si="87"/>
        <v>0.9621829315562447</v>
      </c>
      <c r="CY99" s="74"/>
      <c r="CZ99" s="74"/>
    </row>
    <row r="100" spans="1:104" ht="36">
      <c r="A100" s="149">
        <v>26652935</v>
      </c>
      <c r="B100" s="49" t="s">
        <v>66</v>
      </c>
      <c r="C100" s="49" t="s">
        <v>43</v>
      </c>
      <c r="D100" s="49" t="s">
        <v>145</v>
      </c>
      <c r="E100" s="49" t="s">
        <v>66</v>
      </c>
      <c r="F100" s="74">
        <v>4809258</v>
      </c>
      <c r="G100" s="73">
        <v>0</v>
      </c>
      <c r="H100" s="73">
        <v>0</v>
      </c>
      <c r="I100" s="73">
        <v>0</v>
      </c>
      <c r="J100" s="73">
        <v>0</v>
      </c>
      <c r="K100" s="73">
        <v>0</v>
      </c>
      <c r="L100" s="73">
        <v>0</v>
      </c>
      <c r="M100" s="73">
        <v>0</v>
      </c>
      <c r="N100" s="73">
        <v>0.9</v>
      </c>
      <c r="O100" s="73">
        <v>0.5</v>
      </c>
      <c r="P100" s="73">
        <v>0.9</v>
      </c>
      <c r="Q100" s="73">
        <v>0.5</v>
      </c>
      <c r="R100" s="2">
        <v>0</v>
      </c>
      <c r="S100" s="2">
        <v>234000</v>
      </c>
      <c r="T100" s="2">
        <v>279020</v>
      </c>
      <c r="U100" s="2">
        <v>0</v>
      </c>
      <c r="V100" s="2">
        <v>0</v>
      </c>
      <c r="W100" s="2">
        <v>0</v>
      </c>
      <c r="X100" s="2">
        <v>0</v>
      </c>
      <c r="Y100" s="2">
        <v>0</v>
      </c>
      <c r="Z100" s="2">
        <v>0</v>
      </c>
      <c r="AA100" s="2">
        <v>0</v>
      </c>
      <c r="AB100" s="2">
        <v>0</v>
      </c>
      <c r="AC100" s="2">
        <v>0</v>
      </c>
      <c r="AD100" s="2">
        <v>0</v>
      </c>
      <c r="AE100" s="2">
        <v>0</v>
      </c>
      <c r="AF100" s="2">
        <v>0</v>
      </c>
      <c r="AG100" s="2">
        <v>0</v>
      </c>
      <c r="AH100" s="2">
        <v>0</v>
      </c>
      <c r="AI100" s="2">
        <v>0</v>
      </c>
      <c r="AJ100" s="2">
        <v>0</v>
      </c>
      <c r="AK100" s="2">
        <v>0</v>
      </c>
      <c r="AL100" s="2">
        <v>0</v>
      </c>
      <c r="AM100" s="2">
        <v>0</v>
      </c>
      <c r="AN100" s="2">
        <v>0</v>
      </c>
      <c r="AO100" s="2">
        <v>0</v>
      </c>
      <c r="AP100" s="2">
        <v>0</v>
      </c>
      <c r="AQ100" s="2">
        <v>26610</v>
      </c>
      <c r="AR100" s="2">
        <v>0</v>
      </c>
      <c r="AS100" s="2">
        <v>0</v>
      </c>
      <c r="AT100" s="2">
        <v>0</v>
      </c>
      <c r="AU100" s="2">
        <v>0</v>
      </c>
      <c r="AV100" s="2">
        <v>0</v>
      </c>
      <c r="AW100" s="50">
        <v>260610</v>
      </c>
      <c r="AX100" s="50">
        <v>279020</v>
      </c>
      <c r="AY100" s="3"/>
      <c r="AZ100" s="48">
        <v>234000</v>
      </c>
      <c r="BA100" s="48"/>
      <c r="BB100" s="4">
        <f t="shared" si="131"/>
        <v>1</v>
      </c>
      <c r="BC100" s="4">
        <f t="shared" si="132"/>
        <v>0</v>
      </c>
      <c r="BD100" s="5"/>
      <c r="BE100" s="5"/>
      <c r="BF100" s="6"/>
      <c r="BG100" s="7">
        <f t="shared" si="135"/>
        <v>260610</v>
      </c>
      <c r="BH100" s="7">
        <f t="shared" si="136"/>
        <v>0</v>
      </c>
      <c r="BI100" s="8" t="e">
        <f t="shared" si="137"/>
        <v>#DIV/0!</v>
      </c>
      <c r="BJ100" s="8">
        <f t="shared" si="138"/>
        <v>0</v>
      </c>
      <c r="BK100" s="9" t="e">
        <f t="shared" si="139"/>
        <v>#DIV/0!</v>
      </c>
      <c r="BL100" s="9">
        <f t="shared" si="140"/>
        <v>260610</v>
      </c>
      <c r="BM100" s="10">
        <f t="shared" si="115"/>
        <v>1</v>
      </c>
      <c r="BN100" s="10">
        <f t="shared" si="115"/>
        <v>0</v>
      </c>
      <c r="BO100" s="11">
        <f t="shared" si="116"/>
        <v>0</v>
      </c>
      <c r="BP100" s="11">
        <f t="shared" si="116"/>
        <v>279020</v>
      </c>
      <c r="BQ100" s="12" t="e">
        <f t="shared" si="141"/>
        <v>#DIV/0!</v>
      </c>
      <c r="BR100" s="12">
        <f t="shared" si="142"/>
        <v>260610</v>
      </c>
      <c r="BT100" s="14">
        <f t="shared" si="143"/>
        <v>260000</v>
      </c>
      <c r="BU100" s="14">
        <f t="shared" si="144"/>
        <v>468000</v>
      </c>
      <c r="BV100" s="15">
        <f t="shared" si="145"/>
        <v>260000</v>
      </c>
      <c r="BW100" s="244">
        <f t="shared" si="146"/>
        <v>468000</v>
      </c>
      <c r="BX100" s="230">
        <v>0.09</v>
      </c>
      <c r="BY100" s="74">
        <f t="shared" si="88"/>
        <v>9381.96</v>
      </c>
      <c r="BZ100" s="232"/>
      <c r="CA100" s="226">
        <v>9000</v>
      </c>
      <c r="CB100" s="225"/>
      <c r="CC100" s="198"/>
      <c r="CD100" s="199"/>
      <c r="CE100" s="198"/>
      <c r="CF100" s="198"/>
      <c r="CG100" s="198"/>
      <c r="CH100" s="200" t="s">
        <v>147</v>
      </c>
      <c r="CI100" s="265" t="s">
        <v>52</v>
      </c>
      <c r="CJ100" s="92" t="e">
        <f t="shared" si="147"/>
        <v>#DIV/0!</v>
      </c>
      <c r="CK100" s="4">
        <f t="shared" si="148"/>
        <v>1.0345343616898814</v>
      </c>
      <c r="CL100" s="4"/>
      <c r="CM100" s="198">
        <f t="shared" si="151"/>
        <v>9000</v>
      </c>
      <c r="CN100" s="198"/>
      <c r="CO100" s="198">
        <f t="shared" si="152"/>
        <v>0</v>
      </c>
      <c r="CP100" s="198">
        <f t="shared" si="149"/>
        <v>243000</v>
      </c>
      <c r="CQ100" s="201"/>
      <c r="CR100" s="74"/>
      <c r="CS100" s="74"/>
      <c r="CT100" s="74">
        <f t="shared" si="86"/>
        <v>195457.5</v>
      </c>
      <c r="CU100" s="202">
        <v>0.71</v>
      </c>
      <c r="CV100" s="74">
        <f t="shared" si="150"/>
        <v>138774.82499999998</v>
      </c>
      <c r="CW100" s="74">
        <f t="shared" si="91"/>
        <v>175500</v>
      </c>
      <c r="CX100" s="74" t="e">
        <f t="shared" si="87"/>
        <v>#DIV/0!</v>
      </c>
      <c r="CY100" s="74"/>
      <c r="CZ100" s="74"/>
    </row>
    <row r="101" spans="1:104" ht="24">
      <c r="A101" s="149">
        <v>26908042</v>
      </c>
      <c r="B101" s="49" t="s">
        <v>127</v>
      </c>
      <c r="C101" s="49" t="s">
        <v>43</v>
      </c>
      <c r="D101" s="49" t="s">
        <v>145</v>
      </c>
      <c r="E101" s="49" t="s">
        <v>148</v>
      </c>
      <c r="F101" s="73">
        <v>7781687</v>
      </c>
      <c r="G101" s="74"/>
      <c r="H101" s="73">
        <v>0</v>
      </c>
      <c r="I101" s="73">
        <v>0</v>
      </c>
      <c r="J101" s="73">
        <v>0</v>
      </c>
      <c r="K101" s="73">
        <v>0</v>
      </c>
      <c r="L101" s="73">
        <v>0</v>
      </c>
      <c r="M101" s="73">
        <v>0</v>
      </c>
      <c r="N101" s="73">
        <v>1</v>
      </c>
      <c r="O101" s="73">
        <v>1</v>
      </c>
      <c r="P101" s="73">
        <v>0</v>
      </c>
      <c r="Q101" s="73">
        <v>1</v>
      </c>
      <c r="R101" s="2">
        <v>95000</v>
      </c>
      <c r="S101" s="2">
        <v>236000</v>
      </c>
      <c r="T101" s="2">
        <v>346000</v>
      </c>
      <c r="U101" s="2">
        <v>0</v>
      </c>
      <c r="V101" s="2">
        <v>0</v>
      </c>
      <c r="W101" s="2">
        <v>0</v>
      </c>
      <c r="X101" s="2">
        <v>0</v>
      </c>
      <c r="Y101" s="2">
        <v>0</v>
      </c>
      <c r="Z101" s="2">
        <v>0</v>
      </c>
      <c r="AA101" s="2">
        <v>0</v>
      </c>
      <c r="AB101" s="2">
        <v>22950</v>
      </c>
      <c r="AC101" s="2">
        <v>0</v>
      </c>
      <c r="AD101" s="2">
        <v>0</v>
      </c>
      <c r="AE101" s="2">
        <v>0</v>
      </c>
      <c r="AF101" s="2">
        <v>0</v>
      </c>
      <c r="AG101" s="2">
        <v>0</v>
      </c>
      <c r="AH101" s="2">
        <v>0</v>
      </c>
      <c r="AI101" s="2">
        <v>0</v>
      </c>
      <c r="AJ101" s="2">
        <v>0</v>
      </c>
      <c r="AK101" s="2">
        <v>0</v>
      </c>
      <c r="AL101" s="2">
        <v>0</v>
      </c>
      <c r="AM101" s="2">
        <v>0</v>
      </c>
      <c r="AN101" s="2">
        <v>0</v>
      </c>
      <c r="AO101" s="2">
        <v>0</v>
      </c>
      <c r="AP101" s="2">
        <v>297800</v>
      </c>
      <c r="AQ101" s="2">
        <v>0</v>
      </c>
      <c r="AR101" s="2">
        <v>0</v>
      </c>
      <c r="AS101" s="2">
        <v>0</v>
      </c>
      <c r="AT101" s="2">
        <v>30000</v>
      </c>
      <c r="AU101" s="2">
        <v>0</v>
      </c>
      <c r="AV101" s="2">
        <v>392800</v>
      </c>
      <c r="AW101" s="50">
        <v>288950</v>
      </c>
      <c r="AX101" s="50">
        <v>346000</v>
      </c>
      <c r="AY101" s="3"/>
      <c r="AZ101" s="48">
        <v>236000</v>
      </c>
      <c r="BA101" s="48"/>
      <c r="BB101" s="4">
        <f t="shared" si="131"/>
        <v>1</v>
      </c>
      <c r="BC101" s="4">
        <f t="shared" si="132"/>
        <v>0</v>
      </c>
      <c r="BD101" s="5">
        <f aca="true" t="shared" si="154" ref="BD101:BE103">-1+AZ101/R101</f>
        <v>1.4842105263157896</v>
      </c>
      <c r="BE101" s="5">
        <f t="shared" si="154"/>
        <v>-1</v>
      </c>
      <c r="BF101" s="6"/>
      <c r="BG101" s="7">
        <f t="shared" si="135"/>
        <v>266000</v>
      </c>
      <c r="BH101" s="7">
        <f t="shared" si="136"/>
        <v>0</v>
      </c>
      <c r="BI101" s="8">
        <f t="shared" si="137"/>
        <v>0.6771894093686355</v>
      </c>
      <c r="BJ101" s="8">
        <f t="shared" si="138"/>
        <v>0</v>
      </c>
      <c r="BK101" s="9">
        <f t="shared" si="139"/>
        <v>126800</v>
      </c>
      <c r="BL101" s="9">
        <f t="shared" si="140"/>
        <v>288950</v>
      </c>
      <c r="BM101" s="10">
        <f t="shared" si="115"/>
        <v>0.9205744938570687</v>
      </c>
      <c r="BN101" s="10">
        <f t="shared" si="115"/>
        <v>0</v>
      </c>
      <c r="BO101" s="11">
        <f t="shared" si="116"/>
        <v>22950</v>
      </c>
      <c r="BP101" s="11">
        <f t="shared" si="116"/>
        <v>346000</v>
      </c>
      <c r="BQ101" s="12">
        <f t="shared" si="141"/>
        <v>126800</v>
      </c>
      <c r="BR101" s="12">
        <f t="shared" si="142"/>
        <v>266000</v>
      </c>
      <c r="BT101" s="14">
        <f aca="true" t="shared" si="155" ref="BT101:BT108">$AZ101/N101</f>
        <v>236000</v>
      </c>
      <c r="BU101" s="14">
        <f aca="true" t="shared" si="156" ref="BU101:BU108">$AZ101/O101</f>
        <v>236000</v>
      </c>
      <c r="BV101" s="15"/>
      <c r="BW101" s="244">
        <f t="shared" si="146"/>
        <v>236000</v>
      </c>
      <c r="BX101" s="230">
        <v>0.09</v>
      </c>
      <c r="BY101" s="74">
        <f t="shared" si="88"/>
        <v>10402.2</v>
      </c>
      <c r="BZ101" s="232"/>
      <c r="CA101" s="226">
        <v>10000</v>
      </c>
      <c r="CB101" s="225"/>
      <c r="CC101" s="198"/>
      <c r="CD101" s="199"/>
      <c r="CE101" s="198"/>
      <c r="CF101" s="198"/>
      <c r="CG101" s="198"/>
      <c r="CH101" s="200" t="s">
        <v>147</v>
      </c>
      <c r="CI101" s="265" t="s">
        <v>50</v>
      </c>
      <c r="CJ101" s="92">
        <f t="shared" si="147"/>
        <v>0.7026476578411406</v>
      </c>
      <c r="CK101" s="4">
        <f t="shared" si="148"/>
        <v>0.9551825575359059</v>
      </c>
      <c r="CL101" s="4"/>
      <c r="CM101" s="198">
        <f t="shared" si="151"/>
        <v>10000</v>
      </c>
      <c r="CN101" s="198"/>
      <c r="CO101" s="198">
        <f t="shared" si="152"/>
        <v>95000</v>
      </c>
      <c r="CP101" s="198">
        <f t="shared" si="149"/>
        <v>246000</v>
      </c>
      <c r="CQ101" s="201">
        <f>-1+CP101/CO101</f>
        <v>1.5894736842105264</v>
      </c>
      <c r="CR101" s="74"/>
      <c r="CS101" s="74"/>
      <c r="CT101" s="74">
        <f t="shared" si="86"/>
        <v>216712.5</v>
      </c>
      <c r="CU101" s="202">
        <v>0.71</v>
      </c>
      <c r="CV101" s="74">
        <f t="shared" si="150"/>
        <v>153865.875</v>
      </c>
      <c r="CW101" s="74">
        <f t="shared" si="91"/>
        <v>177000</v>
      </c>
      <c r="CX101" s="74">
        <f t="shared" si="87"/>
        <v>0.7356160896130346</v>
      </c>
      <c r="CY101" s="74"/>
      <c r="CZ101" s="74"/>
    </row>
    <row r="102" spans="1:104" ht="24">
      <c r="A102" s="149">
        <v>45659028</v>
      </c>
      <c r="B102" s="49" t="s">
        <v>102</v>
      </c>
      <c r="C102" s="49" t="s">
        <v>43</v>
      </c>
      <c r="D102" s="49" t="s">
        <v>145</v>
      </c>
      <c r="E102" s="49" t="s">
        <v>155</v>
      </c>
      <c r="F102" s="73">
        <v>9459540</v>
      </c>
      <c r="G102" s="74"/>
      <c r="H102" s="73">
        <v>0</v>
      </c>
      <c r="I102" s="73">
        <v>0</v>
      </c>
      <c r="J102" s="73">
        <v>0</v>
      </c>
      <c r="K102" s="73">
        <v>0</v>
      </c>
      <c r="L102" s="73">
        <v>0</v>
      </c>
      <c r="M102" s="73">
        <v>0</v>
      </c>
      <c r="N102" s="73">
        <v>2.4</v>
      </c>
      <c r="O102" s="73">
        <v>2.4</v>
      </c>
      <c r="P102" s="73">
        <v>2</v>
      </c>
      <c r="Q102" s="73">
        <v>2</v>
      </c>
      <c r="R102" s="2">
        <v>451000</v>
      </c>
      <c r="S102" s="2">
        <v>496100</v>
      </c>
      <c r="T102" s="2">
        <v>701000</v>
      </c>
      <c r="U102" s="2">
        <v>0</v>
      </c>
      <c r="V102" s="2">
        <v>0</v>
      </c>
      <c r="W102" s="2">
        <v>0</v>
      </c>
      <c r="X102" s="2">
        <v>0</v>
      </c>
      <c r="Y102" s="2">
        <v>63000</v>
      </c>
      <c r="Z102" s="2">
        <v>0</v>
      </c>
      <c r="AA102" s="2">
        <v>52956</v>
      </c>
      <c r="AB102" s="2">
        <v>53214</v>
      </c>
      <c r="AC102" s="2">
        <v>55724</v>
      </c>
      <c r="AD102" s="2">
        <v>90000</v>
      </c>
      <c r="AE102" s="2">
        <v>152000</v>
      </c>
      <c r="AF102" s="2">
        <v>122000</v>
      </c>
      <c r="AG102" s="2">
        <v>0</v>
      </c>
      <c r="AH102" s="2">
        <v>0</v>
      </c>
      <c r="AI102" s="2">
        <v>0</v>
      </c>
      <c r="AJ102" s="2">
        <v>0</v>
      </c>
      <c r="AK102" s="2">
        <v>0</v>
      </c>
      <c r="AL102" s="2">
        <v>0</v>
      </c>
      <c r="AM102" s="2">
        <v>0</v>
      </c>
      <c r="AN102" s="2">
        <v>0</v>
      </c>
      <c r="AO102" s="2">
        <v>0</v>
      </c>
      <c r="AP102" s="2">
        <v>0</v>
      </c>
      <c r="AQ102" s="2">
        <v>0</v>
      </c>
      <c r="AR102" s="2">
        <v>0</v>
      </c>
      <c r="AS102" s="2">
        <v>79625</v>
      </c>
      <c r="AT102" s="2">
        <v>31756</v>
      </c>
      <c r="AU102" s="2">
        <v>25000</v>
      </c>
      <c r="AV102" s="2">
        <v>673581</v>
      </c>
      <c r="AW102" s="50">
        <v>796070</v>
      </c>
      <c r="AX102" s="50">
        <v>903724</v>
      </c>
      <c r="AY102" s="3"/>
      <c r="AZ102" s="48">
        <v>496100</v>
      </c>
      <c r="BA102" s="48"/>
      <c r="BB102" s="4">
        <f t="shared" si="131"/>
        <v>1</v>
      </c>
      <c r="BC102" s="4">
        <f t="shared" si="132"/>
        <v>0</v>
      </c>
      <c r="BD102" s="5">
        <f t="shared" si="154"/>
        <v>0.10000000000000009</v>
      </c>
      <c r="BE102" s="5">
        <f t="shared" si="154"/>
        <v>-1</v>
      </c>
      <c r="BF102" s="6"/>
      <c r="BG102" s="7">
        <f t="shared" si="135"/>
        <v>742856</v>
      </c>
      <c r="BH102" s="7">
        <f t="shared" si="136"/>
        <v>147000</v>
      </c>
      <c r="BI102" s="8">
        <f t="shared" si="137"/>
        <v>1.1028458344282277</v>
      </c>
      <c r="BJ102" s="8">
        <f t="shared" si="138"/>
        <v>0.18465712814199756</v>
      </c>
      <c r="BK102" s="9">
        <f t="shared" si="139"/>
        <v>0</v>
      </c>
      <c r="BL102" s="9">
        <f t="shared" si="140"/>
        <v>649070</v>
      </c>
      <c r="BM102" s="10">
        <f t="shared" si="115"/>
        <v>0.9331541196125969</v>
      </c>
      <c r="BN102" s="10">
        <f t="shared" si="115"/>
        <v>0.16266028123630666</v>
      </c>
      <c r="BO102" s="11">
        <f t="shared" si="116"/>
        <v>53214</v>
      </c>
      <c r="BP102" s="11">
        <f t="shared" si="116"/>
        <v>756724</v>
      </c>
      <c r="BQ102" s="12">
        <f t="shared" si="141"/>
        <v>0</v>
      </c>
      <c r="BR102" s="12">
        <f t="shared" si="142"/>
        <v>595856</v>
      </c>
      <c r="BT102" s="14">
        <f t="shared" si="155"/>
        <v>206708.33333333334</v>
      </c>
      <c r="BU102" s="14">
        <f t="shared" si="156"/>
        <v>206708.33333333334</v>
      </c>
      <c r="BV102" s="15">
        <f aca="true" t="shared" si="157" ref="BV102:BV108">$AZ102/P102</f>
        <v>248050</v>
      </c>
      <c r="BW102" s="244">
        <f aca="true" t="shared" si="158" ref="BW102:BW108">$AZ102/Q102</f>
        <v>248050</v>
      </c>
      <c r="BX102" s="230">
        <v>0.09</v>
      </c>
      <c r="BY102" s="74">
        <f t="shared" si="88"/>
        <v>28658.520000000004</v>
      </c>
      <c r="BZ102" s="232"/>
      <c r="CA102" s="226">
        <v>29000</v>
      </c>
      <c r="CB102" s="225"/>
      <c r="CC102" s="198"/>
      <c r="CD102" s="199"/>
      <c r="CE102" s="198"/>
      <c r="CF102" s="198"/>
      <c r="CG102" s="198"/>
      <c r="CH102" s="200" t="s">
        <v>147</v>
      </c>
      <c r="CI102" s="265" t="s">
        <v>52</v>
      </c>
      <c r="CJ102" s="92">
        <f t="shared" si="147"/>
        <v>1.1458993053545157</v>
      </c>
      <c r="CK102" s="4">
        <f t="shared" si="148"/>
        <v>0.9695830768650998</v>
      </c>
      <c r="CL102" s="4"/>
      <c r="CM102" s="198">
        <f t="shared" si="151"/>
        <v>29000</v>
      </c>
      <c r="CN102" s="198"/>
      <c r="CO102" s="198">
        <f t="shared" si="152"/>
        <v>503956</v>
      </c>
      <c r="CP102" s="198">
        <f t="shared" si="149"/>
        <v>525100</v>
      </c>
      <c r="CQ102" s="201">
        <f>-1+CP102/CO102</f>
        <v>0.041956043781600005</v>
      </c>
      <c r="CR102" s="74"/>
      <c r="CS102" s="74"/>
      <c r="CT102" s="74">
        <f t="shared" si="86"/>
        <v>597052.5</v>
      </c>
      <c r="CU102" s="202">
        <v>0.71</v>
      </c>
      <c r="CV102" s="74">
        <f t="shared" si="150"/>
        <v>423907.27499999997</v>
      </c>
      <c r="CW102" s="74">
        <f t="shared" si="91"/>
        <v>372075</v>
      </c>
      <c r="CX102" s="74">
        <f t="shared" si="87"/>
        <v>1.1818474689755203</v>
      </c>
      <c r="CY102" s="74"/>
      <c r="CZ102" s="74"/>
    </row>
    <row r="103" spans="1:104" ht="24">
      <c r="A103" s="149">
        <v>47224541</v>
      </c>
      <c r="B103" s="49" t="s">
        <v>120</v>
      </c>
      <c r="C103" s="49" t="s">
        <v>43</v>
      </c>
      <c r="D103" s="49" t="s">
        <v>145</v>
      </c>
      <c r="E103" s="49" t="s">
        <v>156</v>
      </c>
      <c r="F103" s="73">
        <v>1810833</v>
      </c>
      <c r="G103" s="74"/>
      <c r="H103" s="73">
        <v>0</v>
      </c>
      <c r="I103" s="73">
        <v>0</v>
      </c>
      <c r="J103" s="73">
        <v>0</v>
      </c>
      <c r="K103" s="73">
        <v>0</v>
      </c>
      <c r="L103" s="73">
        <v>0</v>
      </c>
      <c r="M103" s="73">
        <v>0</v>
      </c>
      <c r="N103" s="73">
        <v>2.8</v>
      </c>
      <c r="O103" s="73">
        <v>2.3</v>
      </c>
      <c r="P103" s="73">
        <v>2.5</v>
      </c>
      <c r="Q103" s="73">
        <v>2.2</v>
      </c>
      <c r="R103" s="2">
        <v>427000</v>
      </c>
      <c r="S103" s="2">
        <v>414700</v>
      </c>
      <c r="T103" s="2">
        <v>498895</v>
      </c>
      <c r="U103" s="2">
        <v>0</v>
      </c>
      <c r="V103" s="2">
        <v>0</v>
      </c>
      <c r="W103" s="2">
        <v>0</v>
      </c>
      <c r="X103" s="2">
        <v>0</v>
      </c>
      <c r="Y103" s="2">
        <v>0</v>
      </c>
      <c r="Z103" s="2">
        <v>0</v>
      </c>
      <c r="AA103" s="2">
        <v>117712</v>
      </c>
      <c r="AB103" s="2">
        <v>179927</v>
      </c>
      <c r="AC103" s="2">
        <v>200000</v>
      </c>
      <c r="AD103" s="2">
        <v>100000</v>
      </c>
      <c r="AE103" s="2">
        <v>100000</v>
      </c>
      <c r="AF103" s="2">
        <v>150000</v>
      </c>
      <c r="AG103" s="2">
        <v>0</v>
      </c>
      <c r="AH103" s="2">
        <v>0</v>
      </c>
      <c r="AI103" s="2">
        <v>0</v>
      </c>
      <c r="AJ103" s="2">
        <v>0</v>
      </c>
      <c r="AK103" s="2">
        <v>0</v>
      </c>
      <c r="AL103" s="2">
        <v>0</v>
      </c>
      <c r="AM103" s="2">
        <v>0</v>
      </c>
      <c r="AN103" s="2">
        <v>0</v>
      </c>
      <c r="AO103" s="2">
        <v>0</v>
      </c>
      <c r="AP103" s="2">
        <v>0</v>
      </c>
      <c r="AQ103" s="2">
        <v>0</v>
      </c>
      <c r="AR103" s="2">
        <v>0</v>
      </c>
      <c r="AS103" s="2">
        <v>12518</v>
      </c>
      <c r="AT103" s="2">
        <v>0</v>
      </c>
      <c r="AU103" s="2">
        <v>3104</v>
      </c>
      <c r="AV103" s="2">
        <v>657230</v>
      </c>
      <c r="AW103" s="50">
        <v>694627</v>
      </c>
      <c r="AX103" s="50">
        <v>851999</v>
      </c>
      <c r="AY103" s="3"/>
      <c r="AZ103" s="48">
        <v>414700</v>
      </c>
      <c r="BA103" s="48"/>
      <c r="BB103" s="4">
        <f t="shared" si="131"/>
        <v>1</v>
      </c>
      <c r="BC103" s="4">
        <f t="shared" si="132"/>
        <v>0</v>
      </c>
      <c r="BD103" s="5">
        <f t="shared" si="154"/>
        <v>-0.02880562060889935</v>
      </c>
      <c r="BE103" s="5">
        <f t="shared" si="154"/>
        <v>-1</v>
      </c>
      <c r="BF103" s="6"/>
      <c r="BG103" s="7">
        <f t="shared" si="135"/>
        <v>514700</v>
      </c>
      <c r="BH103" s="7">
        <f t="shared" si="136"/>
        <v>153104</v>
      </c>
      <c r="BI103" s="8">
        <f t="shared" si="137"/>
        <v>0.7831352798867977</v>
      </c>
      <c r="BJ103" s="8">
        <f t="shared" si="138"/>
        <v>0.22041181814124702</v>
      </c>
      <c r="BK103" s="9">
        <f t="shared" si="139"/>
        <v>142530</v>
      </c>
      <c r="BL103" s="9">
        <f t="shared" si="140"/>
        <v>541523</v>
      </c>
      <c r="BM103" s="10">
        <f t="shared" si="115"/>
        <v>0.7409732129617767</v>
      </c>
      <c r="BN103" s="10">
        <f t="shared" si="115"/>
        <v>0.1796997414316214</v>
      </c>
      <c r="BO103" s="11">
        <f t="shared" si="116"/>
        <v>179927</v>
      </c>
      <c r="BP103" s="11">
        <f t="shared" si="116"/>
        <v>698895</v>
      </c>
      <c r="BQ103" s="12">
        <f t="shared" si="141"/>
        <v>24818</v>
      </c>
      <c r="BR103" s="12">
        <f t="shared" si="142"/>
        <v>361596</v>
      </c>
      <c r="BT103" s="14">
        <f t="shared" si="155"/>
        <v>148107.14285714287</v>
      </c>
      <c r="BU103" s="14">
        <f t="shared" si="156"/>
        <v>180304.34782608697</v>
      </c>
      <c r="BV103" s="15">
        <f t="shared" si="157"/>
        <v>165880</v>
      </c>
      <c r="BW103" s="244">
        <f t="shared" si="158"/>
        <v>188499.99999999997</v>
      </c>
      <c r="BX103" s="230">
        <v>0.09</v>
      </c>
      <c r="BY103" s="74">
        <f t="shared" si="88"/>
        <v>25006.572</v>
      </c>
      <c r="BZ103" s="232"/>
      <c r="CA103" s="226">
        <v>25000</v>
      </c>
      <c r="CB103" s="225"/>
      <c r="CC103" s="198"/>
      <c r="CD103" s="199"/>
      <c r="CE103" s="198"/>
      <c r="CF103" s="198"/>
      <c r="CG103" s="198"/>
      <c r="CH103" s="200" t="s">
        <v>147</v>
      </c>
      <c r="CI103" s="265" t="s">
        <v>47</v>
      </c>
      <c r="CJ103" s="92">
        <f t="shared" si="147"/>
        <v>0.8211737139205453</v>
      </c>
      <c r="CK103" s="4">
        <f t="shared" si="148"/>
        <v>0.776963751768935</v>
      </c>
      <c r="CL103" s="4"/>
      <c r="CM103" s="198">
        <f t="shared" si="151"/>
        <v>25000</v>
      </c>
      <c r="CN103" s="198"/>
      <c r="CO103" s="198">
        <f t="shared" si="152"/>
        <v>544712</v>
      </c>
      <c r="CP103" s="198">
        <f t="shared" si="149"/>
        <v>439700</v>
      </c>
      <c r="CQ103" s="201">
        <f>-1+CP103/CO103</f>
        <v>-0.19278444388961502</v>
      </c>
      <c r="CR103" s="74"/>
      <c r="CS103" s="74"/>
      <c r="CT103" s="74">
        <f aca="true" t="shared" si="159" ref="CT103:CT132">IF(AW103*1&gt;AX103,AX103,AW103*1*0.75)</f>
        <v>520970.25</v>
      </c>
      <c r="CU103" s="202">
        <v>0.71</v>
      </c>
      <c r="CV103" s="74">
        <f t="shared" si="150"/>
        <v>369888.8775</v>
      </c>
      <c r="CW103" s="74">
        <f t="shared" si="91"/>
        <v>311025</v>
      </c>
      <c r="CX103" s="74">
        <f aca="true" t="shared" si="160" ref="CX103:CX132">AW103/AV103</f>
        <v>1.0569009327024026</v>
      </c>
      <c r="CY103" s="74"/>
      <c r="CZ103" s="74"/>
    </row>
    <row r="104" spans="1:104" ht="48">
      <c r="A104" s="149">
        <v>65761979</v>
      </c>
      <c r="B104" s="49" t="s">
        <v>53</v>
      </c>
      <c r="C104" s="49" t="s">
        <v>43</v>
      </c>
      <c r="D104" s="49" t="s">
        <v>145</v>
      </c>
      <c r="E104" s="49" t="s">
        <v>157</v>
      </c>
      <c r="F104" s="73">
        <v>3460645</v>
      </c>
      <c r="G104" s="73">
        <v>0</v>
      </c>
      <c r="H104" s="73">
        <v>0</v>
      </c>
      <c r="I104" s="73">
        <v>0</v>
      </c>
      <c r="J104" s="73">
        <v>0</v>
      </c>
      <c r="K104" s="73">
        <v>0</v>
      </c>
      <c r="L104" s="73">
        <v>0</v>
      </c>
      <c r="M104" s="73">
        <v>0</v>
      </c>
      <c r="N104" s="73">
        <v>0.6</v>
      </c>
      <c r="O104" s="73">
        <v>0.6</v>
      </c>
      <c r="P104" s="73">
        <v>0.3</v>
      </c>
      <c r="Q104" s="73">
        <v>0.3</v>
      </c>
      <c r="R104" s="2">
        <v>0</v>
      </c>
      <c r="S104" s="2">
        <v>154000</v>
      </c>
      <c r="T104" s="2">
        <v>230000</v>
      </c>
      <c r="U104" s="2">
        <v>0</v>
      </c>
      <c r="V104" s="2">
        <v>0</v>
      </c>
      <c r="W104" s="2">
        <v>0</v>
      </c>
      <c r="X104" s="2">
        <v>0</v>
      </c>
      <c r="Y104" s="2">
        <v>0</v>
      </c>
      <c r="Z104" s="2">
        <v>0</v>
      </c>
      <c r="AA104" s="2">
        <v>0</v>
      </c>
      <c r="AB104" s="2">
        <v>0</v>
      </c>
      <c r="AC104" s="2">
        <v>50000</v>
      </c>
      <c r="AD104" s="2">
        <v>0</v>
      </c>
      <c r="AE104" s="2">
        <v>0</v>
      </c>
      <c r="AF104" s="2">
        <v>30000</v>
      </c>
      <c r="AG104" s="2">
        <v>0</v>
      </c>
      <c r="AH104" s="2">
        <v>0</v>
      </c>
      <c r="AI104" s="2">
        <v>0</v>
      </c>
      <c r="AJ104" s="2">
        <v>0</v>
      </c>
      <c r="AK104" s="2">
        <v>0</v>
      </c>
      <c r="AL104" s="2">
        <v>0</v>
      </c>
      <c r="AM104" s="2">
        <v>0</v>
      </c>
      <c r="AN104" s="2">
        <v>0</v>
      </c>
      <c r="AO104" s="2">
        <v>0</v>
      </c>
      <c r="AP104" s="2">
        <v>490213</v>
      </c>
      <c r="AQ104" s="2">
        <v>209772</v>
      </c>
      <c r="AR104" s="2">
        <v>0</v>
      </c>
      <c r="AS104" s="2">
        <v>0</v>
      </c>
      <c r="AT104" s="2">
        <v>0</v>
      </c>
      <c r="AU104" s="2">
        <v>41174</v>
      </c>
      <c r="AV104" s="2">
        <v>490213</v>
      </c>
      <c r="AW104" s="50">
        <v>363772</v>
      </c>
      <c r="AX104" s="50">
        <v>351174</v>
      </c>
      <c r="AY104" s="3"/>
      <c r="AZ104" s="48">
        <v>98000</v>
      </c>
      <c r="BA104" s="48"/>
      <c r="BB104" s="4">
        <f t="shared" si="131"/>
        <v>0.6363636363636364</v>
      </c>
      <c r="BC104" s="4">
        <f t="shared" si="132"/>
        <v>0</v>
      </c>
      <c r="BD104" s="5"/>
      <c r="BE104" s="5"/>
      <c r="BF104" s="6"/>
      <c r="BG104" s="7">
        <f t="shared" si="135"/>
        <v>307772</v>
      </c>
      <c r="BH104" s="7">
        <f t="shared" si="136"/>
        <v>71174</v>
      </c>
      <c r="BI104" s="8">
        <f t="shared" si="137"/>
        <v>0.6278332071976875</v>
      </c>
      <c r="BJ104" s="8">
        <f t="shared" si="138"/>
        <v>0.1956555204908569</v>
      </c>
      <c r="BK104" s="9">
        <f t="shared" si="139"/>
        <v>182441</v>
      </c>
      <c r="BL104" s="9">
        <f t="shared" si="140"/>
        <v>292598</v>
      </c>
      <c r="BM104" s="10">
        <f t="shared" si="115"/>
        <v>0.8460574205821229</v>
      </c>
      <c r="BN104" s="10">
        <f t="shared" si="115"/>
        <v>0.20267445767625167</v>
      </c>
      <c r="BO104" s="11">
        <f t="shared" si="116"/>
        <v>56000</v>
      </c>
      <c r="BP104" s="11">
        <f t="shared" si="116"/>
        <v>280000</v>
      </c>
      <c r="BQ104" s="12">
        <f t="shared" si="141"/>
        <v>182441</v>
      </c>
      <c r="BR104" s="12">
        <f t="shared" si="142"/>
        <v>292598</v>
      </c>
      <c r="BT104" s="14">
        <f t="shared" si="155"/>
        <v>163333.33333333334</v>
      </c>
      <c r="BU104" s="14">
        <f t="shared" si="156"/>
        <v>163333.33333333334</v>
      </c>
      <c r="BV104" s="15">
        <f t="shared" si="157"/>
        <v>326666.6666666667</v>
      </c>
      <c r="BW104" s="244">
        <f t="shared" si="158"/>
        <v>326666.6666666667</v>
      </c>
      <c r="BX104" s="230">
        <v>0.09</v>
      </c>
      <c r="BY104" s="74">
        <f aca="true" t="shared" si="161" ref="BY104:BY133">IF(AW104&lt;AX104,AW104*BX104*0.4,AX104*BX104*0.4)</f>
        <v>12642.264000000001</v>
      </c>
      <c r="BZ104" s="232"/>
      <c r="CA104" s="226">
        <v>13000</v>
      </c>
      <c r="CB104" s="225"/>
      <c r="CC104" s="198"/>
      <c r="CD104" s="199"/>
      <c r="CE104" s="198"/>
      <c r="CF104" s="198"/>
      <c r="CG104" s="198"/>
      <c r="CH104" s="200" t="s">
        <v>147</v>
      </c>
      <c r="CI104" s="265" t="s">
        <v>52</v>
      </c>
      <c r="CJ104" s="92">
        <f t="shared" si="147"/>
        <v>0.6543522917588885</v>
      </c>
      <c r="CK104" s="4">
        <f t="shared" si="148"/>
        <v>0.8817940908041301</v>
      </c>
      <c r="CL104" s="4"/>
      <c r="CM104" s="198">
        <f t="shared" si="151"/>
        <v>13000</v>
      </c>
      <c r="CN104" s="198"/>
      <c r="CO104" s="198">
        <f t="shared" si="152"/>
        <v>0</v>
      </c>
      <c r="CP104" s="198">
        <f t="shared" si="149"/>
        <v>111000</v>
      </c>
      <c r="CQ104" s="201"/>
      <c r="CR104" s="74"/>
      <c r="CS104" s="74"/>
      <c r="CT104" s="74">
        <f t="shared" si="159"/>
        <v>351174</v>
      </c>
      <c r="CU104" s="202">
        <v>0.71</v>
      </c>
      <c r="CV104" s="74">
        <f t="shared" si="150"/>
        <v>230000</v>
      </c>
      <c r="CW104" s="74">
        <f aca="true" t="shared" si="162" ref="CW104:CW132">S104*0.75</f>
        <v>115500</v>
      </c>
      <c r="CX104" s="74">
        <f t="shared" si="160"/>
        <v>0.7420692637690147</v>
      </c>
      <c r="CY104" s="74"/>
      <c r="CZ104" s="74"/>
    </row>
    <row r="105" spans="1:104" ht="24">
      <c r="A105" s="149">
        <v>66597064</v>
      </c>
      <c r="B105" s="49" t="s">
        <v>158</v>
      </c>
      <c r="C105" s="49" t="s">
        <v>43</v>
      </c>
      <c r="D105" s="49" t="s">
        <v>145</v>
      </c>
      <c r="E105" s="49" t="s">
        <v>158</v>
      </c>
      <c r="F105" s="73">
        <v>8125444</v>
      </c>
      <c r="G105" s="74"/>
      <c r="H105" s="73">
        <v>0</v>
      </c>
      <c r="I105" s="73">
        <v>0</v>
      </c>
      <c r="J105" s="73">
        <v>0</v>
      </c>
      <c r="K105" s="73">
        <v>0</v>
      </c>
      <c r="L105" s="73">
        <v>0</v>
      </c>
      <c r="M105" s="73">
        <v>0</v>
      </c>
      <c r="N105" s="73">
        <v>3.8</v>
      </c>
      <c r="O105" s="73">
        <v>3.8</v>
      </c>
      <c r="P105" s="73">
        <v>3</v>
      </c>
      <c r="Q105" s="73">
        <v>3</v>
      </c>
      <c r="R105" s="2">
        <v>515000</v>
      </c>
      <c r="S105" s="2">
        <v>667100</v>
      </c>
      <c r="T105" s="2">
        <v>1058000</v>
      </c>
      <c r="U105" s="2">
        <v>0</v>
      </c>
      <c r="V105" s="2">
        <v>0</v>
      </c>
      <c r="W105" s="2">
        <v>0</v>
      </c>
      <c r="X105" s="2">
        <v>0</v>
      </c>
      <c r="Y105" s="2">
        <v>0</v>
      </c>
      <c r="Z105" s="2">
        <v>0</v>
      </c>
      <c r="AA105" s="2">
        <v>105001</v>
      </c>
      <c r="AB105" s="2">
        <v>62447</v>
      </c>
      <c r="AC105" s="2">
        <v>120000</v>
      </c>
      <c r="AD105" s="2">
        <v>70000</v>
      </c>
      <c r="AE105" s="2">
        <v>80000</v>
      </c>
      <c r="AF105" s="2">
        <v>91000</v>
      </c>
      <c r="AG105" s="2">
        <v>0</v>
      </c>
      <c r="AH105" s="2">
        <v>0</v>
      </c>
      <c r="AI105" s="2">
        <v>0</v>
      </c>
      <c r="AJ105" s="2">
        <v>0</v>
      </c>
      <c r="AK105" s="2">
        <v>0</v>
      </c>
      <c r="AL105" s="2">
        <v>0</v>
      </c>
      <c r="AM105" s="2">
        <v>0</v>
      </c>
      <c r="AN105" s="2">
        <v>0</v>
      </c>
      <c r="AO105" s="2">
        <v>0</v>
      </c>
      <c r="AP105" s="2">
        <v>320000</v>
      </c>
      <c r="AQ105" s="2">
        <v>120000</v>
      </c>
      <c r="AR105" s="2">
        <v>150000</v>
      </c>
      <c r="AS105" s="2">
        <v>64000</v>
      </c>
      <c r="AT105" s="2">
        <v>213000</v>
      </c>
      <c r="AU105" s="2">
        <v>193000</v>
      </c>
      <c r="AV105" s="2">
        <v>1074001</v>
      </c>
      <c r="AW105" s="50">
        <v>1142547</v>
      </c>
      <c r="AX105" s="50">
        <v>1612000</v>
      </c>
      <c r="AY105" s="3"/>
      <c r="AZ105" s="48">
        <v>667100</v>
      </c>
      <c r="BA105" s="48"/>
      <c r="BB105" s="4">
        <f t="shared" si="131"/>
        <v>1</v>
      </c>
      <c r="BC105" s="4">
        <f t="shared" si="132"/>
        <v>0</v>
      </c>
      <c r="BD105" s="5">
        <f>-1+AZ105/R105</f>
        <v>0.2953398058252428</v>
      </c>
      <c r="BE105" s="5">
        <f>-1+BA105/S105</f>
        <v>-1</v>
      </c>
      <c r="BF105" s="6"/>
      <c r="BG105" s="7">
        <f t="shared" si="135"/>
        <v>1080100</v>
      </c>
      <c r="BH105" s="7">
        <f t="shared" si="136"/>
        <v>434000</v>
      </c>
      <c r="BI105" s="8">
        <f t="shared" si="137"/>
        <v>1.0056787656622295</v>
      </c>
      <c r="BJ105" s="8">
        <f t="shared" si="138"/>
        <v>0.3798530826302988</v>
      </c>
      <c r="BK105" s="9">
        <f t="shared" si="139"/>
        <v>0</v>
      </c>
      <c r="BL105" s="9">
        <f t="shared" si="140"/>
        <v>708547</v>
      </c>
      <c r="BM105" s="10">
        <f t="shared" si="115"/>
        <v>0.9453440427395985</v>
      </c>
      <c r="BN105" s="10">
        <f t="shared" si="115"/>
        <v>0.2692307692307692</v>
      </c>
      <c r="BO105" s="11">
        <f t="shared" si="116"/>
        <v>62447</v>
      </c>
      <c r="BP105" s="11">
        <f t="shared" si="116"/>
        <v>1178000</v>
      </c>
      <c r="BQ105" s="12">
        <f t="shared" si="141"/>
        <v>0</v>
      </c>
      <c r="BR105" s="12">
        <f t="shared" si="142"/>
        <v>646100</v>
      </c>
      <c r="BT105" s="14">
        <f t="shared" si="155"/>
        <v>175552.6315789474</v>
      </c>
      <c r="BU105" s="14">
        <f t="shared" si="156"/>
        <v>175552.6315789474</v>
      </c>
      <c r="BV105" s="15">
        <f t="shared" si="157"/>
        <v>222366.66666666666</v>
      </c>
      <c r="BW105" s="244">
        <f t="shared" si="158"/>
        <v>222366.66666666666</v>
      </c>
      <c r="BX105" s="230">
        <v>0.09</v>
      </c>
      <c r="BY105" s="74">
        <f t="shared" si="161"/>
        <v>41131.692</v>
      </c>
      <c r="BZ105" s="232"/>
      <c r="CA105" s="226">
        <v>41000</v>
      </c>
      <c r="CB105" s="225"/>
      <c r="CC105" s="198"/>
      <c r="CD105" s="199"/>
      <c r="CE105" s="198"/>
      <c r="CF105" s="198"/>
      <c r="CG105" s="198"/>
      <c r="CH105" s="200" t="s">
        <v>147</v>
      </c>
      <c r="CI105" s="265" t="s">
        <v>52</v>
      </c>
      <c r="CJ105" s="92">
        <f t="shared" si="147"/>
        <v>1.0438537766724612</v>
      </c>
      <c r="CK105" s="4">
        <f t="shared" si="148"/>
        <v>0.9812287809604331</v>
      </c>
      <c r="CL105" s="4"/>
      <c r="CM105" s="198">
        <f t="shared" si="151"/>
        <v>41000</v>
      </c>
      <c r="CN105" s="198"/>
      <c r="CO105" s="198">
        <f t="shared" si="152"/>
        <v>620001</v>
      </c>
      <c r="CP105" s="198">
        <f t="shared" si="149"/>
        <v>708100</v>
      </c>
      <c r="CQ105" s="201">
        <f>-1+CP105/CO105</f>
        <v>0.14209493210494828</v>
      </c>
      <c r="CR105" s="74"/>
      <c r="CS105" s="74"/>
      <c r="CT105" s="74">
        <f t="shared" si="159"/>
        <v>856910.25</v>
      </c>
      <c r="CU105" s="202">
        <v>0.71</v>
      </c>
      <c r="CV105" s="74">
        <f t="shared" si="150"/>
        <v>608406.2775</v>
      </c>
      <c r="CW105" s="74">
        <f t="shared" si="162"/>
        <v>500325</v>
      </c>
      <c r="CX105" s="74">
        <f t="shared" si="160"/>
        <v>1.0638230318221304</v>
      </c>
      <c r="CY105" s="74"/>
      <c r="CZ105" s="74"/>
    </row>
    <row r="106" spans="1:104" ht="24">
      <c r="A106" s="149">
        <v>66597064</v>
      </c>
      <c r="B106" s="49" t="s">
        <v>158</v>
      </c>
      <c r="C106" s="49" t="s">
        <v>43</v>
      </c>
      <c r="D106" s="49" t="s">
        <v>145</v>
      </c>
      <c r="E106" s="49" t="s">
        <v>159</v>
      </c>
      <c r="F106" s="73">
        <v>9390296</v>
      </c>
      <c r="G106" s="74"/>
      <c r="H106" s="73">
        <v>0</v>
      </c>
      <c r="I106" s="73">
        <v>0</v>
      </c>
      <c r="J106" s="73">
        <v>0</v>
      </c>
      <c r="K106" s="73">
        <v>0</v>
      </c>
      <c r="L106" s="73">
        <v>0</v>
      </c>
      <c r="M106" s="73">
        <v>0</v>
      </c>
      <c r="N106" s="73">
        <v>0.2</v>
      </c>
      <c r="O106" s="73">
        <v>0.2</v>
      </c>
      <c r="P106" s="73">
        <v>0.2</v>
      </c>
      <c r="Q106" s="73">
        <v>0.2</v>
      </c>
      <c r="R106" s="2">
        <v>51800</v>
      </c>
      <c r="S106" s="2">
        <v>51800</v>
      </c>
      <c r="T106" s="2">
        <v>51000</v>
      </c>
      <c r="U106" s="2">
        <v>0</v>
      </c>
      <c r="V106" s="2">
        <v>0</v>
      </c>
      <c r="W106" s="2">
        <v>0</v>
      </c>
      <c r="X106" s="2">
        <v>0</v>
      </c>
      <c r="Y106" s="2">
        <v>0</v>
      </c>
      <c r="Z106" s="2">
        <v>0</v>
      </c>
      <c r="AA106" s="2">
        <v>0</v>
      </c>
      <c r="AB106" s="2">
        <v>0</v>
      </c>
      <c r="AC106" s="2">
        <v>0</v>
      </c>
      <c r="AD106" s="2">
        <v>5000</v>
      </c>
      <c r="AE106" s="2">
        <v>5000</v>
      </c>
      <c r="AF106" s="2">
        <v>5000</v>
      </c>
      <c r="AG106" s="2">
        <v>0</v>
      </c>
      <c r="AH106" s="2">
        <v>0</v>
      </c>
      <c r="AI106" s="2">
        <v>0</v>
      </c>
      <c r="AJ106" s="2">
        <v>0</v>
      </c>
      <c r="AK106" s="2">
        <v>0</v>
      </c>
      <c r="AL106" s="2">
        <v>0</v>
      </c>
      <c r="AM106" s="2">
        <v>0</v>
      </c>
      <c r="AN106" s="2">
        <v>0</v>
      </c>
      <c r="AO106" s="2">
        <v>0</v>
      </c>
      <c r="AP106" s="2">
        <v>0</v>
      </c>
      <c r="AQ106" s="2">
        <v>0</v>
      </c>
      <c r="AR106" s="2">
        <v>0</v>
      </c>
      <c r="AS106" s="2">
        <v>0</v>
      </c>
      <c r="AT106" s="2">
        <v>0</v>
      </c>
      <c r="AU106" s="2">
        <v>0</v>
      </c>
      <c r="AV106" s="2">
        <v>56800</v>
      </c>
      <c r="AW106" s="50">
        <v>56800</v>
      </c>
      <c r="AX106" s="50">
        <v>56000</v>
      </c>
      <c r="AY106" s="3"/>
      <c r="AZ106" s="48">
        <v>51000</v>
      </c>
      <c r="BA106" s="48"/>
      <c r="BB106" s="4">
        <f t="shared" si="131"/>
        <v>0.9845559845559846</v>
      </c>
      <c r="BC106" s="4">
        <f t="shared" si="132"/>
        <v>0</v>
      </c>
      <c r="BD106" s="5">
        <f>-1+AZ106/R106</f>
        <v>-0.015444015444015413</v>
      </c>
      <c r="BE106" s="5">
        <f>-1+BA106/S106</f>
        <v>-1</v>
      </c>
      <c r="BF106" s="6"/>
      <c r="BG106" s="7">
        <f t="shared" si="135"/>
        <v>56000</v>
      </c>
      <c r="BH106" s="7">
        <f t="shared" si="136"/>
        <v>5000</v>
      </c>
      <c r="BI106" s="8">
        <f t="shared" si="137"/>
        <v>0.9859154929577465</v>
      </c>
      <c r="BJ106" s="8">
        <f t="shared" si="138"/>
        <v>0.0880281690140845</v>
      </c>
      <c r="BK106" s="9">
        <f t="shared" si="139"/>
        <v>800</v>
      </c>
      <c r="BL106" s="9">
        <f t="shared" si="140"/>
        <v>51800</v>
      </c>
      <c r="BM106" s="10">
        <f t="shared" si="115"/>
        <v>0.9859154929577465</v>
      </c>
      <c r="BN106" s="10">
        <f t="shared" si="115"/>
        <v>0.08928571428571429</v>
      </c>
      <c r="BO106" s="11">
        <f t="shared" si="116"/>
        <v>800</v>
      </c>
      <c r="BP106" s="11">
        <f t="shared" si="116"/>
        <v>51000</v>
      </c>
      <c r="BQ106" s="12">
        <f t="shared" si="141"/>
        <v>800</v>
      </c>
      <c r="BR106" s="12">
        <f t="shared" si="142"/>
        <v>51800</v>
      </c>
      <c r="BT106" s="14">
        <f t="shared" si="155"/>
        <v>255000</v>
      </c>
      <c r="BU106" s="14">
        <f t="shared" si="156"/>
        <v>255000</v>
      </c>
      <c r="BV106" s="15">
        <f t="shared" si="157"/>
        <v>255000</v>
      </c>
      <c r="BW106" s="244">
        <f t="shared" si="158"/>
        <v>255000</v>
      </c>
      <c r="BX106" s="230">
        <v>0.09</v>
      </c>
      <c r="BY106" s="74">
        <f t="shared" si="161"/>
        <v>2016</v>
      </c>
      <c r="BZ106" s="232"/>
      <c r="CA106" s="226">
        <v>2000</v>
      </c>
      <c r="CB106" s="225"/>
      <c r="CC106" s="198"/>
      <c r="CD106" s="199"/>
      <c r="CE106" s="198"/>
      <c r="CF106" s="198"/>
      <c r="CG106" s="198"/>
      <c r="CH106" s="200" t="s">
        <v>147</v>
      </c>
      <c r="CI106" s="265" t="s">
        <v>52</v>
      </c>
      <c r="CJ106" s="92">
        <f t="shared" si="147"/>
        <v>1.0211267605633803</v>
      </c>
      <c r="CK106" s="4">
        <f t="shared" si="148"/>
        <v>1.0211267605633803</v>
      </c>
      <c r="CL106" s="4"/>
      <c r="CM106" s="198">
        <f t="shared" si="151"/>
        <v>2000</v>
      </c>
      <c r="CN106" s="198"/>
      <c r="CO106" s="198">
        <f t="shared" si="152"/>
        <v>51800</v>
      </c>
      <c r="CP106" s="198">
        <f t="shared" si="149"/>
        <v>53000</v>
      </c>
      <c r="CQ106" s="201">
        <f>-1+CP106/CO106</f>
        <v>0.02316602316602312</v>
      </c>
      <c r="CR106" s="74"/>
      <c r="CS106" s="74"/>
      <c r="CT106" s="74">
        <f t="shared" si="159"/>
        <v>56000</v>
      </c>
      <c r="CU106" s="202">
        <v>0.71</v>
      </c>
      <c r="CV106" s="74">
        <f t="shared" si="150"/>
        <v>39760</v>
      </c>
      <c r="CW106" s="74">
        <f t="shared" si="162"/>
        <v>38850</v>
      </c>
      <c r="CX106" s="74">
        <f t="shared" si="160"/>
        <v>1</v>
      </c>
      <c r="CY106" s="74"/>
      <c r="CZ106" s="74"/>
    </row>
    <row r="107" spans="1:104" ht="24">
      <c r="A107" s="149">
        <v>70283966</v>
      </c>
      <c r="B107" s="49" t="s">
        <v>160</v>
      </c>
      <c r="C107" s="49" t="s">
        <v>43</v>
      </c>
      <c r="D107" s="49" t="s">
        <v>145</v>
      </c>
      <c r="E107" s="49" t="s">
        <v>160</v>
      </c>
      <c r="F107" s="73">
        <v>2560256</v>
      </c>
      <c r="G107" s="74"/>
      <c r="H107" s="73">
        <v>0</v>
      </c>
      <c r="I107" s="73">
        <v>0</v>
      </c>
      <c r="J107" s="73">
        <v>0</v>
      </c>
      <c r="K107" s="73">
        <v>0</v>
      </c>
      <c r="L107" s="73">
        <v>0</v>
      </c>
      <c r="M107" s="73">
        <v>0</v>
      </c>
      <c r="N107" s="73">
        <v>3.2</v>
      </c>
      <c r="O107" s="73">
        <v>2.9</v>
      </c>
      <c r="P107" s="73">
        <v>2.7</v>
      </c>
      <c r="Q107" s="73">
        <v>2.2</v>
      </c>
      <c r="R107" s="2">
        <v>425000</v>
      </c>
      <c r="S107" s="2">
        <v>737500</v>
      </c>
      <c r="T107" s="2">
        <v>939140</v>
      </c>
      <c r="U107" s="2">
        <v>0</v>
      </c>
      <c r="V107" s="2">
        <v>0</v>
      </c>
      <c r="W107" s="2">
        <v>0</v>
      </c>
      <c r="X107" s="2">
        <v>5500</v>
      </c>
      <c r="Y107" s="2">
        <v>0</v>
      </c>
      <c r="Z107" s="2">
        <v>0</v>
      </c>
      <c r="AA107" s="2">
        <v>126532</v>
      </c>
      <c r="AB107" s="2">
        <v>113703</v>
      </c>
      <c r="AC107" s="2">
        <v>107000</v>
      </c>
      <c r="AD107" s="2">
        <v>120000</v>
      </c>
      <c r="AE107" s="2">
        <v>80000</v>
      </c>
      <c r="AF107" s="2">
        <v>80000</v>
      </c>
      <c r="AG107" s="2">
        <v>0</v>
      </c>
      <c r="AH107" s="2">
        <v>0</v>
      </c>
      <c r="AI107" s="2">
        <v>0</v>
      </c>
      <c r="AJ107" s="2">
        <v>0</v>
      </c>
      <c r="AK107" s="2">
        <v>0</v>
      </c>
      <c r="AL107" s="2">
        <v>0</v>
      </c>
      <c r="AM107" s="2">
        <v>0</v>
      </c>
      <c r="AN107" s="2">
        <v>0</v>
      </c>
      <c r="AO107" s="2">
        <v>0</v>
      </c>
      <c r="AP107" s="2">
        <v>209775</v>
      </c>
      <c r="AQ107" s="2">
        <v>58000</v>
      </c>
      <c r="AR107" s="2">
        <v>0</v>
      </c>
      <c r="AS107" s="2">
        <v>299420</v>
      </c>
      <c r="AT107" s="2">
        <v>329306</v>
      </c>
      <c r="AU107" s="2">
        <v>231716</v>
      </c>
      <c r="AV107" s="2">
        <v>1186227</v>
      </c>
      <c r="AW107" s="50">
        <v>1318509</v>
      </c>
      <c r="AX107" s="50">
        <v>1357856</v>
      </c>
      <c r="AY107" s="3"/>
      <c r="AZ107" s="48">
        <v>487500</v>
      </c>
      <c r="BA107" s="48"/>
      <c r="BB107" s="4">
        <f t="shared" si="131"/>
        <v>0.6610169491525424</v>
      </c>
      <c r="BC107" s="4">
        <f t="shared" si="132"/>
        <v>0</v>
      </c>
      <c r="BD107" s="5">
        <f aca="true" t="shared" si="163" ref="BD107:BE109">-1+AZ107/R107</f>
        <v>0.1470588235294117</v>
      </c>
      <c r="BE107" s="5">
        <f t="shared" si="163"/>
        <v>-1</v>
      </c>
      <c r="BF107" s="6"/>
      <c r="BG107" s="7">
        <f t="shared" si="135"/>
        <v>954806</v>
      </c>
      <c r="BH107" s="7">
        <f t="shared" si="136"/>
        <v>311716</v>
      </c>
      <c r="BI107" s="8">
        <f t="shared" si="137"/>
        <v>0.8049100214377181</v>
      </c>
      <c r="BJ107" s="8">
        <f t="shared" si="138"/>
        <v>0.2364155269323152</v>
      </c>
      <c r="BK107" s="9">
        <f t="shared" si="139"/>
        <v>231421</v>
      </c>
      <c r="BL107" s="9">
        <f t="shared" si="140"/>
        <v>1006793</v>
      </c>
      <c r="BM107" s="10">
        <f t="shared" si="115"/>
        <v>0.7241558457318077</v>
      </c>
      <c r="BN107" s="10">
        <f t="shared" si="115"/>
        <v>0.22956484340018382</v>
      </c>
      <c r="BO107" s="11">
        <f t="shared" si="116"/>
        <v>363703</v>
      </c>
      <c r="BP107" s="11">
        <f t="shared" si="116"/>
        <v>1046140</v>
      </c>
      <c r="BQ107" s="12">
        <f t="shared" si="141"/>
        <v>104889</v>
      </c>
      <c r="BR107" s="12">
        <f t="shared" si="142"/>
        <v>893090</v>
      </c>
      <c r="BT107" s="14">
        <f t="shared" si="155"/>
        <v>152343.75</v>
      </c>
      <c r="BU107" s="14">
        <f t="shared" si="156"/>
        <v>168103.4482758621</v>
      </c>
      <c r="BV107" s="15">
        <f t="shared" si="157"/>
        <v>180555.55555555553</v>
      </c>
      <c r="BW107" s="244">
        <f t="shared" si="158"/>
        <v>221590.90909090906</v>
      </c>
      <c r="BX107" s="230">
        <v>0.09</v>
      </c>
      <c r="BY107" s="74">
        <f t="shared" si="161"/>
        <v>47466.324</v>
      </c>
      <c r="BZ107" s="232"/>
      <c r="CA107" s="226">
        <v>47000</v>
      </c>
      <c r="CB107" s="225"/>
      <c r="CC107" s="198"/>
      <c r="CD107" s="199"/>
      <c r="CE107" s="198"/>
      <c r="CF107" s="198"/>
      <c r="CG107" s="198"/>
      <c r="CH107" s="200" t="s">
        <v>147</v>
      </c>
      <c r="CI107" s="265" t="s">
        <v>52</v>
      </c>
      <c r="CJ107" s="92">
        <f t="shared" si="147"/>
        <v>0.8445314429700218</v>
      </c>
      <c r="CK107" s="4">
        <f t="shared" si="148"/>
        <v>0.7598021704819611</v>
      </c>
      <c r="CL107" s="4"/>
      <c r="CM107" s="198">
        <f t="shared" si="151"/>
        <v>47000</v>
      </c>
      <c r="CN107" s="198"/>
      <c r="CO107" s="198">
        <f t="shared" si="152"/>
        <v>551532</v>
      </c>
      <c r="CP107" s="198">
        <f t="shared" si="149"/>
        <v>534500</v>
      </c>
      <c r="CQ107" s="201">
        <f>-1+CP107/CO107</f>
        <v>-0.03088125439684375</v>
      </c>
      <c r="CR107" s="74"/>
      <c r="CS107" s="74"/>
      <c r="CT107" s="74">
        <f t="shared" si="159"/>
        <v>988881.75</v>
      </c>
      <c r="CU107" s="202">
        <v>0.71</v>
      </c>
      <c r="CV107" s="74">
        <f t="shared" si="150"/>
        <v>702106.0425</v>
      </c>
      <c r="CW107" s="74">
        <f t="shared" si="162"/>
        <v>553125</v>
      </c>
      <c r="CX107" s="74">
        <f t="shared" si="160"/>
        <v>1.111514912407153</v>
      </c>
      <c r="CY107" s="74"/>
      <c r="CZ107" s="74"/>
    </row>
    <row r="108" spans="1:104" ht="24">
      <c r="A108" s="149">
        <v>70803978</v>
      </c>
      <c r="B108" s="49" t="s">
        <v>112</v>
      </c>
      <c r="C108" s="248" t="s">
        <v>43</v>
      </c>
      <c r="D108" s="49" t="s">
        <v>145</v>
      </c>
      <c r="E108" s="248" t="s">
        <v>269</v>
      </c>
      <c r="F108" s="73">
        <v>7780361</v>
      </c>
      <c r="G108" s="74"/>
      <c r="H108" s="73">
        <v>290</v>
      </c>
      <c r="I108" s="73">
        <v>0</v>
      </c>
      <c r="J108" s="73">
        <v>0</v>
      </c>
      <c r="K108" s="73">
        <v>0</v>
      </c>
      <c r="L108" s="73">
        <v>0</v>
      </c>
      <c r="M108" s="73">
        <v>0</v>
      </c>
      <c r="N108" s="73">
        <v>1</v>
      </c>
      <c r="O108" s="73">
        <v>7.2</v>
      </c>
      <c r="P108" s="73">
        <v>0.5</v>
      </c>
      <c r="Q108" s="73">
        <v>5.3</v>
      </c>
      <c r="R108" s="2">
        <v>301000</v>
      </c>
      <c r="S108" s="2">
        <v>800000</v>
      </c>
      <c r="T108" s="2">
        <v>1750000</v>
      </c>
      <c r="U108" s="2">
        <v>0</v>
      </c>
      <c r="V108" s="2">
        <v>0</v>
      </c>
      <c r="W108" s="2">
        <v>0</v>
      </c>
      <c r="X108" s="2">
        <v>734000</v>
      </c>
      <c r="Y108" s="2">
        <v>760000</v>
      </c>
      <c r="Z108" s="2">
        <v>700000</v>
      </c>
      <c r="AA108" s="2">
        <v>245000</v>
      </c>
      <c r="AB108" s="2">
        <v>222000</v>
      </c>
      <c r="AC108" s="2">
        <v>200000</v>
      </c>
      <c r="AD108" s="2">
        <v>355000</v>
      </c>
      <c r="AE108" s="2">
        <v>350000</v>
      </c>
      <c r="AF108" s="2">
        <v>230000</v>
      </c>
      <c r="AG108" s="2">
        <v>0</v>
      </c>
      <c r="AH108" s="2">
        <v>0</v>
      </c>
      <c r="AI108" s="2">
        <v>0</v>
      </c>
      <c r="AJ108" s="2">
        <v>0</v>
      </c>
      <c r="AK108" s="2">
        <v>0</v>
      </c>
      <c r="AL108" s="2">
        <v>0</v>
      </c>
      <c r="AM108" s="2">
        <v>0</v>
      </c>
      <c r="AN108" s="2">
        <v>0</v>
      </c>
      <c r="AO108" s="2">
        <v>0</v>
      </c>
      <c r="AP108" s="2">
        <v>0</v>
      </c>
      <c r="AQ108" s="2">
        <v>0</v>
      </c>
      <c r="AR108" s="2">
        <v>0</v>
      </c>
      <c r="AS108" s="2">
        <v>1020000</v>
      </c>
      <c r="AT108" s="2">
        <v>478000</v>
      </c>
      <c r="AU108" s="2">
        <v>320000</v>
      </c>
      <c r="AV108" s="2">
        <v>2655000</v>
      </c>
      <c r="AW108" s="50">
        <v>2610000</v>
      </c>
      <c r="AX108" s="50">
        <v>3200000</v>
      </c>
      <c r="AY108" s="3"/>
      <c r="AZ108" s="48">
        <v>800000</v>
      </c>
      <c r="BA108" s="48"/>
      <c r="BB108" s="4">
        <f t="shared" si="131"/>
        <v>1</v>
      </c>
      <c r="BC108" s="4">
        <f t="shared" si="132"/>
        <v>0</v>
      </c>
      <c r="BD108" s="5">
        <f t="shared" si="163"/>
        <v>1.6578073089700998</v>
      </c>
      <c r="BE108" s="5">
        <f t="shared" si="163"/>
        <v>-1</v>
      </c>
      <c r="BF108" s="6"/>
      <c r="BG108" s="7">
        <f t="shared" si="135"/>
        <v>2388000</v>
      </c>
      <c r="BH108" s="7">
        <f t="shared" si="136"/>
        <v>1250000</v>
      </c>
      <c r="BI108" s="8">
        <f t="shared" si="137"/>
        <v>0.8994350282485876</v>
      </c>
      <c r="BJ108" s="8">
        <f t="shared" si="138"/>
        <v>0.4789272030651341</v>
      </c>
      <c r="BK108" s="9">
        <f t="shared" si="139"/>
        <v>267000</v>
      </c>
      <c r="BL108" s="9">
        <f t="shared" si="140"/>
        <v>1360000</v>
      </c>
      <c r="BM108" s="10">
        <f>BG108/AW108</f>
        <v>0.9149425287356322</v>
      </c>
      <c r="BN108" s="10">
        <f>BH108/AX108</f>
        <v>0.390625</v>
      </c>
      <c r="BO108" s="11">
        <f>IF(BG108&lt;AW108,AW108-BG108,0)</f>
        <v>222000</v>
      </c>
      <c r="BP108" s="11">
        <f>IF(BH108&lt;AX108,AX108-BH108,0)</f>
        <v>1950000</v>
      </c>
      <c r="BQ108" s="12">
        <f t="shared" si="141"/>
        <v>22000</v>
      </c>
      <c r="BR108" s="12">
        <f t="shared" si="142"/>
        <v>1138000</v>
      </c>
      <c r="BT108" s="14">
        <f t="shared" si="155"/>
        <v>800000</v>
      </c>
      <c r="BU108" s="14">
        <f t="shared" si="156"/>
        <v>111111.11111111111</v>
      </c>
      <c r="BV108" s="15">
        <f t="shared" si="157"/>
        <v>1600000</v>
      </c>
      <c r="BW108" s="244">
        <f t="shared" si="158"/>
        <v>150943.3962264151</v>
      </c>
      <c r="BX108" s="230">
        <v>0.09</v>
      </c>
      <c r="BY108" s="74">
        <f t="shared" si="161"/>
        <v>93960</v>
      </c>
      <c r="BZ108" s="232"/>
      <c r="CA108" s="226">
        <v>93000</v>
      </c>
      <c r="CB108" s="225"/>
      <c r="CC108" s="198"/>
      <c r="CD108" s="199"/>
      <c r="CE108" s="198"/>
      <c r="CF108" s="198"/>
      <c r="CG108" s="198"/>
      <c r="CH108" s="200" t="s">
        <v>147</v>
      </c>
      <c r="CI108" s="265" t="s">
        <v>52</v>
      </c>
      <c r="CJ108" s="92">
        <f t="shared" si="147"/>
        <v>0.9344632768361582</v>
      </c>
      <c r="CK108" s="4">
        <f t="shared" si="148"/>
        <v>0.9505747126436782</v>
      </c>
      <c r="CL108" s="4"/>
      <c r="CM108" s="198">
        <f t="shared" si="151"/>
        <v>93000</v>
      </c>
      <c r="CN108" s="198"/>
      <c r="CO108" s="198">
        <f t="shared" si="152"/>
        <v>546000</v>
      </c>
      <c r="CP108" s="198">
        <f t="shared" si="149"/>
        <v>893000</v>
      </c>
      <c r="CQ108" s="201">
        <f>-1+CP108/CO108</f>
        <v>0.6355311355311355</v>
      </c>
      <c r="CR108" s="74"/>
      <c r="CS108" s="74"/>
      <c r="CT108" s="74">
        <f t="shared" si="159"/>
        <v>1957500</v>
      </c>
      <c r="CU108" s="202">
        <v>0.71</v>
      </c>
      <c r="CV108" s="74">
        <f t="shared" si="150"/>
        <v>1389825</v>
      </c>
      <c r="CW108" s="74">
        <f t="shared" si="162"/>
        <v>600000</v>
      </c>
      <c r="CX108" s="74">
        <f t="shared" si="160"/>
        <v>0.9830508474576272</v>
      </c>
      <c r="CY108" s="74"/>
      <c r="CZ108" s="74"/>
    </row>
    <row r="109" spans="1:104" ht="24.75" thickBot="1">
      <c r="A109" s="149">
        <v>70803978</v>
      </c>
      <c r="B109" s="49" t="s">
        <v>112</v>
      </c>
      <c r="C109" s="248" t="s">
        <v>43</v>
      </c>
      <c r="D109" s="49" t="s">
        <v>145</v>
      </c>
      <c r="E109" s="248" t="s">
        <v>270</v>
      </c>
      <c r="F109" s="73">
        <v>3108321</v>
      </c>
      <c r="G109" s="74"/>
      <c r="H109" s="73">
        <v>700</v>
      </c>
      <c r="I109" s="73">
        <v>0</v>
      </c>
      <c r="J109" s="73">
        <v>0</v>
      </c>
      <c r="K109" s="73">
        <v>0</v>
      </c>
      <c r="L109" s="73">
        <v>0</v>
      </c>
      <c r="M109" s="73">
        <v>0</v>
      </c>
      <c r="N109" s="73"/>
      <c r="O109" s="73">
        <v>5.1</v>
      </c>
      <c r="P109" s="73"/>
      <c r="Q109" s="73">
        <v>2.5</v>
      </c>
      <c r="R109" s="2">
        <v>0</v>
      </c>
      <c r="S109" s="2">
        <v>150000</v>
      </c>
      <c r="T109" s="2">
        <v>1800000</v>
      </c>
      <c r="U109" s="2">
        <v>0</v>
      </c>
      <c r="V109" s="2">
        <v>0</v>
      </c>
      <c r="W109" s="2">
        <v>0</v>
      </c>
      <c r="X109" s="2">
        <v>0</v>
      </c>
      <c r="Y109" s="2">
        <v>0</v>
      </c>
      <c r="Z109" s="2">
        <v>100000</v>
      </c>
      <c r="AA109" s="2">
        <v>0</v>
      </c>
      <c r="AB109" s="2">
        <v>730000</v>
      </c>
      <c r="AC109" s="2">
        <v>250000</v>
      </c>
      <c r="AD109" s="2">
        <v>0</v>
      </c>
      <c r="AE109" s="2">
        <v>0</v>
      </c>
      <c r="AF109" s="2">
        <v>100000</v>
      </c>
      <c r="AG109" s="2">
        <v>0</v>
      </c>
      <c r="AH109" s="2">
        <v>0</v>
      </c>
      <c r="AI109" s="2">
        <v>0</v>
      </c>
      <c r="AJ109" s="2">
        <v>0</v>
      </c>
      <c r="AK109" s="2">
        <v>0</v>
      </c>
      <c r="AL109" s="2">
        <v>0</v>
      </c>
      <c r="AM109" s="2">
        <v>0</v>
      </c>
      <c r="AN109" s="2">
        <v>0</v>
      </c>
      <c r="AO109" s="2">
        <v>0</v>
      </c>
      <c r="AP109" s="2">
        <v>0</v>
      </c>
      <c r="AQ109" s="2">
        <v>0</v>
      </c>
      <c r="AR109" s="2">
        <v>0</v>
      </c>
      <c r="AS109" s="2">
        <v>0</v>
      </c>
      <c r="AT109" s="2">
        <v>220000</v>
      </c>
      <c r="AU109" s="2">
        <v>250000</v>
      </c>
      <c r="AV109" s="2">
        <v>0</v>
      </c>
      <c r="AW109" s="50">
        <v>1100000</v>
      </c>
      <c r="AX109" s="50">
        <v>2500000</v>
      </c>
      <c r="AY109" s="3"/>
      <c r="AZ109" s="48">
        <v>150000</v>
      </c>
      <c r="BA109" s="48"/>
      <c r="BB109" s="4">
        <f>AZ109/S109</f>
        <v>1</v>
      </c>
      <c r="BC109" s="4">
        <f>BA109/T109</f>
        <v>0</v>
      </c>
      <c r="BD109" s="5" t="e">
        <f t="shared" si="163"/>
        <v>#DIV/0!</v>
      </c>
      <c r="BE109" s="5">
        <f t="shared" si="163"/>
        <v>-1</v>
      </c>
      <c r="BF109" s="6"/>
      <c r="BG109" s="7">
        <f>V109+Y109+AE109+AH109+AK109+AN109+AQ109+AT109+AZ109</f>
        <v>370000</v>
      </c>
      <c r="BH109" s="7">
        <f>W109+Z109+AF109+AI109+AL109+AO109+AR109+AU109+BA109</f>
        <v>450000</v>
      </c>
      <c r="BI109" s="8" t="e">
        <f>BG109/(R109+U109+X109+AA109+AD109+AG109+AJ109+AM109+AP109+AS109)</f>
        <v>#DIV/0!</v>
      </c>
      <c r="BJ109" s="8">
        <f>BH109/(S109+V109+Y109+AB109+AE109+AH109+AK109+AN109+AQ109+AT109)</f>
        <v>0.4090909090909091</v>
      </c>
      <c r="BK109" s="9" t="e">
        <f>IF(BI109&gt;=100%,0,(R109+U109+X109+AA109+AD109+AG109+AJ109+AM109+AP109+AS109)-(V109+Y109+AE109+AH109+AK109+AN109+AQ109+AT109+AZ109))</f>
        <v>#DIV/0!</v>
      </c>
      <c r="BL109" s="9">
        <f>IF(BJ109&gt;=100%,0,(S109+V109+Y109+AB109+AE109+AH109+AK109+AN109+AQ109+AT109)-(W109+Z109+AF109+AI109+AL109+AO109+AR109+AU109+BA109))</f>
        <v>650000</v>
      </c>
      <c r="BM109" s="10">
        <f>BG109/AW109</f>
        <v>0.33636363636363636</v>
      </c>
      <c r="BN109" s="10">
        <f>BH109/AX109</f>
        <v>0.18</v>
      </c>
      <c r="BO109" s="11">
        <f>IF(BG109&lt;AW109,AW109-BG109,0)</f>
        <v>730000</v>
      </c>
      <c r="BP109" s="11">
        <f>IF(BH109&lt;AX109,AX109-BH109,0)</f>
        <v>2050000</v>
      </c>
      <c r="BQ109" s="12" t="e">
        <f>IF(AA109&gt;BK109,0,BK109-AA109)</f>
        <v>#DIV/0!</v>
      </c>
      <c r="BR109" s="12">
        <f>IF(AB109&gt;BL109,0,BL109-AB109)</f>
        <v>0</v>
      </c>
      <c r="BT109" s="14" t="e">
        <f>$AZ109/N109</f>
        <v>#DIV/0!</v>
      </c>
      <c r="BU109" s="14">
        <f>$AZ109/O109</f>
        <v>29411.764705882357</v>
      </c>
      <c r="BV109" s="15" t="e">
        <f>$AZ109/P109</f>
        <v>#DIV/0!</v>
      </c>
      <c r="BW109" s="244">
        <f>$AZ109/Q109</f>
        <v>60000</v>
      </c>
      <c r="BX109" s="269">
        <v>0.09</v>
      </c>
      <c r="BY109" s="121">
        <f t="shared" si="161"/>
        <v>39600</v>
      </c>
      <c r="BZ109" s="270"/>
      <c r="CA109" s="219">
        <v>39000</v>
      </c>
      <c r="CB109" s="218"/>
      <c r="CC109" s="210"/>
      <c r="CD109" s="211"/>
      <c r="CE109" s="210"/>
      <c r="CF109" s="210"/>
      <c r="CG109" s="210"/>
      <c r="CH109" s="212" t="s">
        <v>147</v>
      </c>
      <c r="CI109" s="266" t="s">
        <v>52</v>
      </c>
      <c r="CJ109" s="92" t="e">
        <f t="shared" si="147"/>
        <v>#DIV/0!</v>
      </c>
      <c r="CK109" s="4">
        <f t="shared" si="148"/>
        <v>0.3718181818181818</v>
      </c>
      <c r="CL109" s="4"/>
      <c r="CM109" s="198">
        <f>CA109+CG109</f>
        <v>39000</v>
      </c>
      <c r="CN109" s="198"/>
      <c r="CO109" s="198">
        <f>R109+AA109</f>
        <v>0</v>
      </c>
      <c r="CP109" s="198">
        <f t="shared" si="149"/>
        <v>189000</v>
      </c>
      <c r="CQ109" s="201" t="e">
        <f>-1+CP109/CO109</f>
        <v>#DIV/0!</v>
      </c>
      <c r="CR109" s="74"/>
      <c r="CS109" s="74"/>
      <c r="CT109" s="74">
        <f t="shared" si="159"/>
        <v>825000</v>
      </c>
      <c r="CU109" s="202">
        <v>0.71</v>
      </c>
      <c r="CV109" s="74">
        <f t="shared" si="150"/>
        <v>585750</v>
      </c>
      <c r="CW109" s="74">
        <f t="shared" si="162"/>
        <v>112500</v>
      </c>
      <c r="CX109" s="74" t="e">
        <f t="shared" si="160"/>
        <v>#DIV/0!</v>
      </c>
      <c r="CY109" s="74"/>
      <c r="CZ109" s="74"/>
    </row>
    <row r="110" spans="1:98" ht="12.75" thickBot="1">
      <c r="A110" s="150"/>
      <c r="B110" s="86"/>
      <c r="C110" s="86"/>
      <c r="D110" s="86"/>
      <c r="E110" s="86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34"/>
      <c r="BC110" s="34"/>
      <c r="BD110" s="34"/>
      <c r="BE110" s="34"/>
      <c r="BF110" s="34"/>
      <c r="BI110" s="6"/>
      <c r="BJ110" s="6"/>
      <c r="BK110" s="87"/>
      <c r="BL110" s="87"/>
      <c r="BM110" s="38"/>
      <c r="BN110" s="38"/>
      <c r="BQ110" s="87"/>
      <c r="BR110" s="87"/>
      <c r="BT110" s="43"/>
      <c r="BU110" s="43"/>
      <c r="BV110" s="43"/>
      <c r="BW110" s="43"/>
      <c r="BX110" s="13"/>
      <c r="BY110" s="13">
        <f t="shared" si="161"/>
        <v>0</v>
      </c>
      <c r="BZ110" s="13"/>
      <c r="CJ110" s="6"/>
      <c r="CK110" s="6"/>
      <c r="CL110" s="6"/>
      <c r="CT110" s="13">
        <f t="shared" si="159"/>
        <v>0</v>
      </c>
    </row>
    <row r="111" spans="1:104" ht="24">
      <c r="A111" s="241">
        <v>15060233</v>
      </c>
      <c r="B111" s="255" t="s">
        <v>42</v>
      </c>
      <c r="C111" s="255" t="s">
        <v>43</v>
      </c>
      <c r="D111" s="255" t="s">
        <v>161</v>
      </c>
      <c r="E111" s="255" t="s">
        <v>162</v>
      </c>
      <c r="F111" s="67">
        <v>5658028</v>
      </c>
      <c r="G111" s="67">
        <v>12</v>
      </c>
      <c r="H111" s="67">
        <v>19</v>
      </c>
      <c r="I111" s="67">
        <v>0</v>
      </c>
      <c r="J111" s="67">
        <v>0</v>
      </c>
      <c r="K111" s="67">
        <v>0</v>
      </c>
      <c r="L111" s="67">
        <v>0</v>
      </c>
      <c r="M111" s="67">
        <v>0</v>
      </c>
      <c r="N111" s="67">
        <v>1.1</v>
      </c>
      <c r="O111" s="67">
        <v>0.9</v>
      </c>
      <c r="P111" s="67">
        <v>1</v>
      </c>
      <c r="Q111" s="67">
        <v>0.5</v>
      </c>
      <c r="R111" s="165">
        <v>0</v>
      </c>
      <c r="S111" s="165">
        <v>50000</v>
      </c>
      <c r="T111" s="165">
        <v>261163</v>
      </c>
      <c r="U111" s="165">
        <v>0</v>
      </c>
      <c r="V111" s="165">
        <v>0</v>
      </c>
      <c r="W111" s="165">
        <v>0</v>
      </c>
      <c r="X111" s="165">
        <v>0</v>
      </c>
      <c r="Y111" s="165">
        <v>0</v>
      </c>
      <c r="Z111" s="165">
        <v>0</v>
      </c>
      <c r="AA111" s="165">
        <v>0</v>
      </c>
      <c r="AB111" s="165">
        <v>0</v>
      </c>
      <c r="AC111" s="165">
        <v>50000</v>
      </c>
      <c r="AD111" s="165">
        <v>0</v>
      </c>
      <c r="AE111" s="165">
        <v>0</v>
      </c>
      <c r="AF111" s="165">
        <v>50000</v>
      </c>
      <c r="AG111" s="165">
        <v>0</v>
      </c>
      <c r="AH111" s="165">
        <v>0</v>
      </c>
      <c r="AI111" s="165">
        <v>0</v>
      </c>
      <c r="AJ111" s="165">
        <v>153238</v>
      </c>
      <c r="AK111" s="165">
        <v>158500</v>
      </c>
      <c r="AL111" s="165">
        <v>170987</v>
      </c>
      <c r="AM111" s="165">
        <v>0</v>
      </c>
      <c r="AN111" s="165">
        <v>0</v>
      </c>
      <c r="AO111" s="165">
        <v>0</v>
      </c>
      <c r="AP111" s="165">
        <v>0</v>
      </c>
      <c r="AQ111" s="165">
        <v>0</v>
      </c>
      <c r="AR111" s="165">
        <v>0</v>
      </c>
      <c r="AS111" s="165">
        <v>0</v>
      </c>
      <c r="AT111" s="165">
        <v>0</v>
      </c>
      <c r="AU111" s="165">
        <v>10000</v>
      </c>
      <c r="AV111" s="165">
        <v>153238</v>
      </c>
      <c r="AW111" s="166">
        <v>208500</v>
      </c>
      <c r="AX111" s="166">
        <v>542150</v>
      </c>
      <c r="AY111" s="3"/>
      <c r="AZ111" s="52">
        <v>170000</v>
      </c>
      <c r="BA111" s="52"/>
      <c r="BB111" s="53">
        <f aca="true" t="shared" si="164" ref="BB111:BB123">AZ111/S111</f>
        <v>3.4</v>
      </c>
      <c r="BC111" s="53">
        <f aca="true" t="shared" si="165" ref="BC111:BC123">BA111/T111</f>
        <v>0</v>
      </c>
      <c r="BD111" s="46"/>
      <c r="BE111" s="46"/>
      <c r="BF111" s="6"/>
      <c r="BG111" s="89">
        <f aca="true" t="shared" si="166" ref="BG111:BG123">V111+Y111+AE111+AH111+AK111+AN111+AQ111+AT111+AZ111</f>
        <v>328500</v>
      </c>
      <c r="BH111" s="89">
        <f aca="true" t="shared" si="167" ref="BH111:BH123">W111+Z111+AF111+AI111+AL111+AO111+AR111+AU111+BA111</f>
        <v>230987</v>
      </c>
      <c r="BI111" s="44">
        <f aca="true" t="shared" si="168" ref="BI111:BI123">BG111/(R111+U111+X111+AA111+AD111+AG111+AJ111+AM111+AP111+AS111)</f>
        <v>2.143724141531474</v>
      </c>
      <c r="BJ111" s="44">
        <f aca="true" t="shared" si="169" ref="BJ111:BJ123">BH111/(S111+V111+Y111+AB111+AE111+AH111+AK111+AN111+AQ111+AT111)</f>
        <v>1.1078513189448442</v>
      </c>
      <c r="BK111" s="70">
        <f aca="true" t="shared" si="170" ref="BK111:BK123">IF(BI111&gt;=100%,0,(R111+U111+X111+AA111+AD111+AG111+AJ111+AM111+AP111+AS111)-(V111+Y111+AE111+AH111+AK111+AN111+AQ111+AT111+AZ111))</f>
        <v>0</v>
      </c>
      <c r="BL111" s="70">
        <f aca="true" t="shared" si="171" ref="BL111:BL123">IF(BJ111&gt;=100%,0,(S111+V111+Y111+AB111+AE111+AH111+AK111+AN111+AQ111+AT111)-(W111+Z111+AF111+AI111+AL111+AO111+AR111+AU111+BA111))</f>
        <v>0</v>
      </c>
      <c r="BM111" s="10">
        <f>BG111/AW111</f>
        <v>1.5755395683453237</v>
      </c>
      <c r="BN111" s="10">
        <f>BH111/AX111</f>
        <v>0.42605736419810014</v>
      </c>
      <c r="BO111" s="90">
        <f aca="true" t="shared" si="172" ref="BO111:BP123">IF(BG111&lt;AW111,AW111-BG111,0)</f>
        <v>0</v>
      </c>
      <c r="BP111" s="90">
        <f t="shared" si="172"/>
        <v>311163</v>
      </c>
      <c r="BQ111" s="70">
        <f aca="true" t="shared" si="173" ref="BQ111:BQ123">IF(AA111&gt;BK111,0,BK111-AA111)</f>
        <v>0</v>
      </c>
      <c r="BR111" s="70">
        <f aca="true" t="shared" si="174" ref="BR111:BR123">IF(AB111&gt;BL111,0,BL111-AB111)</f>
        <v>0</v>
      </c>
      <c r="BT111" s="41">
        <f aca="true" t="shared" si="175" ref="BT111:BT123">$AZ111/N111</f>
        <v>154545.45454545453</v>
      </c>
      <c r="BU111" s="41">
        <f aca="true" t="shared" si="176" ref="BU111:BU123">$AZ111/O111</f>
        <v>188888.88888888888</v>
      </c>
      <c r="BV111" s="72">
        <f aca="true" t="shared" si="177" ref="BV111:BV123">$AZ111/P111</f>
        <v>170000</v>
      </c>
      <c r="BW111" s="243">
        <f aca="true" t="shared" si="178" ref="BW111:BW123">$AZ111/Q111</f>
        <v>340000</v>
      </c>
      <c r="BX111" s="203">
        <v>0.11</v>
      </c>
      <c r="BY111" s="114">
        <f t="shared" si="161"/>
        <v>9174</v>
      </c>
      <c r="BZ111" s="215"/>
      <c r="CA111" s="195">
        <v>9000</v>
      </c>
      <c r="CB111" s="217"/>
      <c r="CC111" s="204"/>
      <c r="CD111" s="205"/>
      <c r="CE111" s="204"/>
      <c r="CF111" s="204"/>
      <c r="CG111" s="204"/>
      <c r="CH111" s="206" t="s">
        <v>163</v>
      </c>
      <c r="CI111" s="264" t="s">
        <v>47</v>
      </c>
      <c r="CJ111" s="106">
        <f aca="true" t="shared" si="179" ref="CJ111:CJ123">($CG111+$CA111+$AZ111+$AT111+$AQ111+$AN111+$AK111+$AH111+$AE111+$Y111+$V111)/$AV111</f>
        <v>2.20245630979261</v>
      </c>
      <c r="CK111" s="53">
        <f aca="true" t="shared" si="180" ref="CK111:CK123">($CG111+$CA111+$AZ111+$AT111+$AQ111+$AN111+$AK111+$AH111+$AE111+$Y111+$V111)/$AW111</f>
        <v>1.618705035971223</v>
      </c>
      <c r="CL111" s="53"/>
      <c r="CM111" s="204">
        <f t="shared" si="151"/>
        <v>9000</v>
      </c>
      <c r="CN111" s="204"/>
      <c r="CO111" s="204">
        <f t="shared" si="152"/>
        <v>0</v>
      </c>
      <c r="CP111" s="204">
        <f>AZ111+CM111</f>
        <v>179000</v>
      </c>
      <c r="CQ111" s="207"/>
      <c r="CR111" s="114"/>
      <c r="CS111" s="114"/>
      <c r="CT111" s="114">
        <f t="shared" si="159"/>
        <v>156375</v>
      </c>
      <c r="CU111" s="208">
        <v>0.55</v>
      </c>
      <c r="CV111" s="114">
        <f aca="true" t="shared" si="181" ref="CV111:CV123">IF(CT111*CU111&lt;T111,CT111*CU111,T111)</f>
        <v>86006.25</v>
      </c>
      <c r="CW111" s="114">
        <f t="shared" si="162"/>
        <v>37500</v>
      </c>
      <c r="CX111" s="114">
        <f t="shared" si="160"/>
        <v>1.3606285647163237</v>
      </c>
      <c r="CY111" s="114"/>
      <c r="CZ111" s="114"/>
    </row>
    <row r="112" spans="1:104" ht="24">
      <c r="A112" s="251">
        <v>15060233</v>
      </c>
      <c r="B112" s="49" t="s">
        <v>42</v>
      </c>
      <c r="C112" s="49" t="s">
        <v>43</v>
      </c>
      <c r="D112" s="49" t="s">
        <v>161</v>
      </c>
      <c r="E112" s="49" t="s">
        <v>274</v>
      </c>
      <c r="F112" s="156">
        <v>6891770</v>
      </c>
      <c r="G112" s="156">
        <v>12</v>
      </c>
      <c r="H112" s="156">
        <v>12</v>
      </c>
      <c r="I112" s="156"/>
      <c r="J112" s="156"/>
      <c r="K112" s="156"/>
      <c r="L112" s="156"/>
      <c r="M112" s="156"/>
      <c r="N112" s="156"/>
      <c r="O112" s="156">
        <v>1.6</v>
      </c>
      <c r="P112" s="156"/>
      <c r="Q112" s="156">
        <v>1</v>
      </c>
      <c r="R112" s="2">
        <v>0</v>
      </c>
      <c r="S112" s="2">
        <v>120000</v>
      </c>
      <c r="T112" s="2">
        <v>550750</v>
      </c>
      <c r="U112" s="2">
        <v>0</v>
      </c>
      <c r="V112" s="2">
        <v>0</v>
      </c>
      <c r="W112" s="2">
        <v>0</v>
      </c>
      <c r="X112" s="2">
        <v>0</v>
      </c>
      <c r="Y112" s="2">
        <v>0</v>
      </c>
      <c r="Z112" s="2">
        <v>0</v>
      </c>
      <c r="AA112" s="2">
        <v>0</v>
      </c>
      <c r="AB112" s="2">
        <v>0</v>
      </c>
      <c r="AC112" s="2">
        <v>130000</v>
      </c>
      <c r="AD112" s="2">
        <v>0</v>
      </c>
      <c r="AE112" s="2">
        <v>50000</v>
      </c>
      <c r="AF112" s="2">
        <v>70000</v>
      </c>
      <c r="AG112" s="2">
        <v>0</v>
      </c>
      <c r="AH112" s="2">
        <v>0</v>
      </c>
      <c r="AI112" s="2">
        <v>0</v>
      </c>
      <c r="AJ112" s="2">
        <v>0</v>
      </c>
      <c r="AK112" s="2">
        <v>36000</v>
      </c>
      <c r="AL112" s="2">
        <v>202870</v>
      </c>
      <c r="AM112" s="2">
        <v>0</v>
      </c>
      <c r="AN112" s="2">
        <v>0</v>
      </c>
      <c r="AO112" s="2">
        <v>0</v>
      </c>
      <c r="AP112" s="2">
        <v>0</v>
      </c>
      <c r="AQ112" s="2">
        <v>0</v>
      </c>
      <c r="AR112" s="2">
        <v>0</v>
      </c>
      <c r="AS112" s="2">
        <v>0</v>
      </c>
      <c r="AT112" s="2">
        <v>3500</v>
      </c>
      <c r="AU112" s="2">
        <v>0</v>
      </c>
      <c r="AV112" s="2">
        <v>0</v>
      </c>
      <c r="AW112" s="50">
        <v>209500</v>
      </c>
      <c r="AX112" s="50">
        <v>953620</v>
      </c>
      <c r="AY112" s="3"/>
      <c r="AZ112" s="159"/>
      <c r="BA112" s="159"/>
      <c r="BB112" s="132"/>
      <c r="BC112" s="132"/>
      <c r="BD112" s="160"/>
      <c r="BE112" s="160"/>
      <c r="BF112" s="6"/>
      <c r="BG112" s="68"/>
      <c r="BH112" s="68"/>
      <c r="BI112" s="69"/>
      <c r="BJ112" s="69"/>
      <c r="BK112" s="9"/>
      <c r="BL112" s="9"/>
      <c r="BM112" s="10"/>
      <c r="BN112" s="10"/>
      <c r="BO112" s="161"/>
      <c r="BP112" s="161"/>
      <c r="BQ112" s="9"/>
      <c r="BR112" s="9"/>
      <c r="BT112" s="162"/>
      <c r="BU112" s="162"/>
      <c r="BV112" s="163"/>
      <c r="BW112" s="253"/>
      <c r="BX112" s="223">
        <v>0.11</v>
      </c>
      <c r="BY112" s="74">
        <f t="shared" si="161"/>
        <v>9218</v>
      </c>
      <c r="BZ112" s="224"/>
      <c r="CA112" s="226">
        <v>9000</v>
      </c>
      <c r="CB112" s="225"/>
      <c r="CC112" s="198"/>
      <c r="CD112" s="199"/>
      <c r="CE112" s="198"/>
      <c r="CF112" s="198"/>
      <c r="CG112" s="198"/>
      <c r="CH112" s="200" t="s">
        <v>163</v>
      </c>
      <c r="CI112" s="265" t="s">
        <v>47</v>
      </c>
      <c r="CJ112" s="92"/>
      <c r="CK112" s="4"/>
      <c r="CL112" s="4"/>
      <c r="CM112" s="198"/>
      <c r="CN112" s="198"/>
      <c r="CO112" s="198"/>
      <c r="CP112" s="198"/>
      <c r="CQ112" s="201"/>
      <c r="CR112" s="74"/>
      <c r="CS112" s="74"/>
      <c r="CT112" s="74">
        <f t="shared" si="159"/>
        <v>157125</v>
      </c>
      <c r="CU112" s="202">
        <v>0.55</v>
      </c>
      <c r="CV112" s="74">
        <f t="shared" si="181"/>
        <v>86418.75</v>
      </c>
      <c r="CW112" s="74">
        <f t="shared" si="162"/>
        <v>90000</v>
      </c>
      <c r="CX112" s="74" t="e">
        <f t="shared" si="160"/>
        <v>#DIV/0!</v>
      </c>
      <c r="CY112" s="74"/>
      <c r="CZ112" s="74"/>
    </row>
    <row r="113" spans="1:104" ht="36">
      <c r="A113" s="149">
        <v>44990260</v>
      </c>
      <c r="B113" s="49" t="s">
        <v>71</v>
      </c>
      <c r="C113" s="49" t="s">
        <v>43</v>
      </c>
      <c r="D113" s="49" t="s">
        <v>161</v>
      </c>
      <c r="E113" s="49" t="s">
        <v>140</v>
      </c>
      <c r="F113" s="73">
        <v>7978014</v>
      </c>
      <c r="G113" s="73">
        <v>0</v>
      </c>
      <c r="H113" s="73">
        <v>53</v>
      </c>
      <c r="I113" s="73">
        <v>0</v>
      </c>
      <c r="J113" s="73">
        <v>0</v>
      </c>
      <c r="K113" s="73">
        <v>0</v>
      </c>
      <c r="L113" s="73">
        <v>0</v>
      </c>
      <c r="M113" s="73">
        <v>0</v>
      </c>
      <c r="N113" s="73">
        <v>0</v>
      </c>
      <c r="O113" s="73">
        <v>4.5</v>
      </c>
      <c r="P113" s="73">
        <v>0</v>
      </c>
      <c r="Q113" s="73">
        <v>3.5</v>
      </c>
      <c r="R113" s="2">
        <v>0</v>
      </c>
      <c r="S113" s="2">
        <v>0</v>
      </c>
      <c r="T113" s="2">
        <v>1635000</v>
      </c>
      <c r="U113" s="2">
        <v>0</v>
      </c>
      <c r="V113" s="2">
        <v>0</v>
      </c>
      <c r="W113" s="2">
        <v>0</v>
      </c>
      <c r="X113" s="91">
        <v>0</v>
      </c>
      <c r="Y113" s="2">
        <v>0</v>
      </c>
      <c r="Z113" s="2">
        <v>0</v>
      </c>
      <c r="AA113" s="2">
        <v>0</v>
      </c>
      <c r="AB113" s="2">
        <v>0</v>
      </c>
      <c r="AC113" s="2">
        <v>170000</v>
      </c>
      <c r="AD113" s="2">
        <v>0</v>
      </c>
      <c r="AE113" s="2">
        <v>0</v>
      </c>
      <c r="AF113" s="2">
        <v>200000</v>
      </c>
      <c r="AG113" s="2">
        <v>0</v>
      </c>
      <c r="AH113" s="2">
        <v>0</v>
      </c>
      <c r="AI113" s="2">
        <v>0</v>
      </c>
      <c r="AJ113" s="2">
        <v>0</v>
      </c>
      <c r="AK113" s="2">
        <v>0</v>
      </c>
      <c r="AL113" s="2">
        <v>0</v>
      </c>
      <c r="AM113" s="2">
        <v>0</v>
      </c>
      <c r="AN113" s="2">
        <v>0</v>
      </c>
      <c r="AO113" s="2">
        <v>0</v>
      </c>
      <c r="AP113" s="2">
        <v>0</v>
      </c>
      <c r="AQ113" s="2">
        <v>0</v>
      </c>
      <c r="AR113" s="2">
        <v>0</v>
      </c>
      <c r="AS113" s="2">
        <v>0</v>
      </c>
      <c r="AT113" s="2">
        <v>0</v>
      </c>
      <c r="AU113" s="2">
        <v>9700</v>
      </c>
      <c r="AV113" s="2">
        <v>0</v>
      </c>
      <c r="AW113" s="50">
        <v>0</v>
      </c>
      <c r="AX113" s="50">
        <v>2014700</v>
      </c>
      <c r="AY113" s="3"/>
      <c r="AZ113" s="48"/>
      <c r="BA113" s="48"/>
      <c r="BB113" s="4" t="e">
        <f>AZ113/S113</f>
        <v>#DIV/0!</v>
      </c>
      <c r="BC113" s="4">
        <f>BA113/T113</f>
        <v>0</v>
      </c>
      <c r="BD113" s="5" t="e">
        <f aca="true" t="shared" si="182" ref="BD113:BE116">-1+AZ113/R113</f>
        <v>#DIV/0!</v>
      </c>
      <c r="BE113" s="5" t="e">
        <f t="shared" si="182"/>
        <v>#DIV/0!</v>
      </c>
      <c r="BF113" s="6"/>
      <c r="BG113" s="7">
        <f>V113+Y113+AE113+AH113+AK113+AN113+AQ113+AT113+AZ113</f>
        <v>0</v>
      </c>
      <c r="BH113" s="7">
        <f>W113+Z113+AF113+AI113+AL113+AO113+AR113+AU113+BA113</f>
        <v>209700</v>
      </c>
      <c r="BI113" s="8" t="e">
        <f>BG113/(R113+U113+X113+AA113+AD113+AG113+AJ113+AM113+AP113+AS113)</f>
        <v>#DIV/0!</v>
      </c>
      <c r="BJ113" s="8" t="e">
        <f>BH113/(S113+V113+Y113+AB113+AE113+AH113+AK113+AN113+AQ113+AT113)</f>
        <v>#DIV/0!</v>
      </c>
      <c r="BK113" s="9" t="e">
        <f>IF(BI113&gt;=100%,0,(R113+U113+X113+AA113+AD113+AG113+AJ113+AM113+AP113+AS113)-(V113+Y113+AE113+AH113+AK113+AN113+AQ113+AT113+AZ113))</f>
        <v>#DIV/0!</v>
      </c>
      <c r="BL113" s="9" t="e">
        <f>IF(BJ113&gt;=100%,0,(S113+V113+Y113+AB113+AE113+AH113+AK113+AN113+AQ113+AT113)-(W113+Z113+AF113+AI113+AL113+AO113+AR113+AU113+BA113))</f>
        <v>#DIV/0!</v>
      </c>
      <c r="BM113" s="10" t="e">
        <f aca="true" t="shared" si="183" ref="BM113:BN117">BG113/AW113</f>
        <v>#DIV/0!</v>
      </c>
      <c r="BN113" s="10">
        <f t="shared" si="183"/>
        <v>0.1040849754305852</v>
      </c>
      <c r="BO113" s="11">
        <f>IF(BG113&lt;AW113,AW113-BG113,0)</f>
        <v>0</v>
      </c>
      <c r="BP113" s="11">
        <f>IF(BH113&lt;AX113,AX113-BH113,0)</f>
        <v>1805000</v>
      </c>
      <c r="BQ113" s="12" t="e">
        <f>IF(AA113&gt;BK113,0,BK113-AA113)</f>
        <v>#DIV/0!</v>
      </c>
      <c r="BR113" s="12" t="e">
        <f>IF(AB113&gt;BL113,0,BL113-AB113)</f>
        <v>#DIV/0!</v>
      </c>
      <c r="BT113" s="14" t="e">
        <f aca="true" t="shared" si="184" ref="BT113:BW114">$AZ113/N113</f>
        <v>#DIV/0!</v>
      </c>
      <c r="BU113" s="14">
        <f t="shared" si="184"/>
        <v>0</v>
      </c>
      <c r="BV113" s="15" t="e">
        <f t="shared" si="184"/>
        <v>#DIV/0!</v>
      </c>
      <c r="BW113" s="244">
        <f t="shared" si="184"/>
        <v>0</v>
      </c>
      <c r="BX113" s="223">
        <v>0.11</v>
      </c>
      <c r="BY113" s="74">
        <f>AX113*BX113*0.4</f>
        <v>88646.8</v>
      </c>
      <c r="BZ113" s="224"/>
      <c r="CA113" s="226">
        <v>88000</v>
      </c>
      <c r="CB113" s="225"/>
      <c r="CC113" s="198"/>
      <c r="CD113" s="199"/>
      <c r="CE113" s="198"/>
      <c r="CF113" s="198"/>
      <c r="CG113" s="198"/>
      <c r="CH113" s="200" t="s">
        <v>163</v>
      </c>
      <c r="CI113" s="265" t="s">
        <v>47</v>
      </c>
      <c r="CJ113" s="92" t="e">
        <f>($CG113+$CA113+$AZ113+$AT113+$AQ113+$AN113+$AK113+$AH113+$AE113+$Y113+$V113)/$AV113</f>
        <v>#DIV/0!</v>
      </c>
      <c r="CK113" s="4" t="e">
        <f>($CG113+$CA113+$AZ113+$AT113+$AQ113+$AN113+$AK113+$AH113+$AE113+$Y113+$V113)/$AW113</f>
        <v>#DIV/0!</v>
      </c>
      <c r="CL113" s="4"/>
      <c r="CM113" s="198">
        <f>CA113+CG113</f>
        <v>88000</v>
      </c>
      <c r="CN113" s="198"/>
      <c r="CO113" s="198">
        <f>R113+AA113</f>
        <v>0</v>
      </c>
      <c r="CP113" s="198">
        <f>AZ113+CM113</f>
        <v>88000</v>
      </c>
      <c r="CQ113" s="201" t="e">
        <f>-1+CP113/CO113</f>
        <v>#DIV/0!</v>
      </c>
      <c r="CR113" s="74"/>
      <c r="CS113" s="74"/>
      <c r="CT113" s="74">
        <f t="shared" si="159"/>
        <v>0</v>
      </c>
      <c r="CU113" s="202">
        <v>0.55</v>
      </c>
      <c r="CV113" s="74">
        <f t="shared" si="181"/>
        <v>0</v>
      </c>
      <c r="CW113" s="74">
        <f t="shared" si="162"/>
        <v>0</v>
      </c>
      <c r="CX113" s="74" t="e">
        <f t="shared" si="160"/>
        <v>#DIV/0!</v>
      </c>
      <c r="CY113" s="74"/>
      <c r="CZ113" s="74"/>
    </row>
    <row r="114" spans="1:104" ht="36">
      <c r="A114" s="149">
        <v>44990260</v>
      </c>
      <c r="B114" s="49" t="s">
        <v>71</v>
      </c>
      <c r="C114" s="49" t="s">
        <v>43</v>
      </c>
      <c r="D114" s="49" t="s">
        <v>161</v>
      </c>
      <c r="E114" s="49" t="s">
        <v>139</v>
      </c>
      <c r="F114" s="73">
        <v>1121256</v>
      </c>
      <c r="G114" s="73">
        <v>0</v>
      </c>
      <c r="H114" s="73">
        <v>22</v>
      </c>
      <c r="I114" s="73">
        <v>0</v>
      </c>
      <c r="J114" s="73">
        <v>0</v>
      </c>
      <c r="K114" s="73">
        <v>0</v>
      </c>
      <c r="L114" s="73">
        <v>0</v>
      </c>
      <c r="M114" s="73">
        <v>0</v>
      </c>
      <c r="N114" s="73">
        <v>3.4</v>
      </c>
      <c r="O114" s="73">
        <v>4.4</v>
      </c>
      <c r="P114" s="73">
        <v>2.7</v>
      </c>
      <c r="Q114" s="73">
        <v>3.7</v>
      </c>
      <c r="R114" s="2">
        <v>898000</v>
      </c>
      <c r="S114" s="2">
        <v>801000</v>
      </c>
      <c r="T114" s="2">
        <v>1224000</v>
      </c>
      <c r="U114" s="2">
        <v>0</v>
      </c>
      <c r="V114" s="2">
        <v>20000</v>
      </c>
      <c r="W114" s="2">
        <v>30000</v>
      </c>
      <c r="X114" s="2">
        <v>64591</v>
      </c>
      <c r="Y114" s="2">
        <v>0</v>
      </c>
      <c r="Z114" s="2">
        <v>0</v>
      </c>
      <c r="AA114" s="2">
        <v>195152</v>
      </c>
      <c r="AB114" s="2">
        <v>282835</v>
      </c>
      <c r="AC114" s="2">
        <v>450000</v>
      </c>
      <c r="AD114" s="2">
        <v>250000</v>
      </c>
      <c r="AE114" s="2">
        <v>292000</v>
      </c>
      <c r="AF114" s="2">
        <v>250000</v>
      </c>
      <c r="AG114" s="2">
        <v>0</v>
      </c>
      <c r="AH114" s="2">
        <v>0</v>
      </c>
      <c r="AI114" s="2">
        <v>0</v>
      </c>
      <c r="AJ114" s="2">
        <v>0</v>
      </c>
      <c r="AK114" s="2">
        <v>0</v>
      </c>
      <c r="AL114" s="2">
        <v>0</v>
      </c>
      <c r="AM114" s="2">
        <v>0</v>
      </c>
      <c r="AN114" s="2">
        <v>0</v>
      </c>
      <c r="AO114" s="2">
        <v>0</v>
      </c>
      <c r="AP114" s="2">
        <v>0</v>
      </c>
      <c r="AQ114" s="91">
        <v>0</v>
      </c>
      <c r="AR114" s="91">
        <v>0</v>
      </c>
      <c r="AS114" s="2">
        <v>43673</v>
      </c>
      <c r="AT114" s="2">
        <v>64560</v>
      </c>
      <c r="AU114" s="2">
        <v>93000</v>
      </c>
      <c r="AV114" s="2">
        <v>1451416</v>
      </c>
      <c r="AW114" s="50">
        <v>1460395</v>
      </c>
      <c r="AX114" s="50">
        <v>2057000</v>
      </c>
      <c r="AY114" s="3"/>
      <c r="AZ114" s="48">
        <v>701000</v>
      </c>
      <c r="BA114" s="48"/>
      <c r="BB114" s="4">
        <f>AZ114/S114</f>
        <v>0.8751560549313359</v>
      </c>
      <c r="BC114" s="4">
        <f>BA114/T114</f>
        <v>0</v>
      </c>
      <c r="BD114" s="5">
        <f t="shared" si="182"/>
        <v>-0.21937639198218262</v>
      </c>
      <c r="BE114" s="5">
        <f t="shared" si="182"/>
        <v>-1</v>
      </c>
      <c r="BF114" s="6"/>
      <c r="BG114" s="7">
        <f>V114+Y114+AE114+AH114+AK114+AN114+AQ114+AT114+AZ114</f>
        <v>1077560</v>
      </c>
      <c r="BH114" s="7">
        <f>W114+Z114+AF114+AI114+AL114+AO114+AR114+AU114+BA114</f>
        <v>373000</v>
      </c>
      <c r="BI114" s="8">
        <f>BG114/(R114+U114+X114+AA114+AD114+AG114+AJ114+AM114+AP114+AS114)</f>
        <v>0.7424198162346288</v>
      </c>
      <c r="BJ114" s="8">
        <f>BH114/(S114+V114+Y114+AB114+AE114+AH114+AK114+AN114+AQ114+AT114)</f>
        <v>0.25541035130906364</v>
      </c>
      <c r="BK114" s="9">
        <f>IF(BI114&gt;=100%,0,(R114+U114+X114+AA114+AD114+AG114+AJ114+AM114+AP114+AS114)-(V114+Y114+AE114+AH114+AK114+AN114+AQ114+AT114+AZ114))</f>
        <v>373856</v>
      </c>
      <c r="BL114" s="9">
        <f>IF(BJ114&gt;=100%,0,(S114+V114+Y114+AB114+AE114+AH114+AK114+AN114+AQ114+AT114)-(W114+Z114+AF114+AI114+AL114+AO114+AR114+AU114+BA114))</f>
        <v>1087395</v>
      </c>
      <c r="BM114" s="10">
        <f t="shared" si="183"/>
        <v>0.737855169320629</v>
      </c>
      <c r="BN114" s="10">
        <f t="shared" si="183"/>
        <v>0.18133203694701022</v>
      </c>
      <c r="BO114" s="11">
        <f>IF(BG114&lt;AW114,AW114-BG114,0)</f>
        <v>382835</v>
      </c>
      <c r="BP114" s="11">
        <f>IF(BH114&lt;AX114,AX114-BH114,0)</f>
        <v>1684000</v>
      </c>
      <c r="BQ114" s="12">
        <f>IF(AA114&gt;BK114,0,BK114-AA114)</f>
        <v>178704</v>
      </c>
      <c r="BR114" s="12">
        <f>IF(AB114&gt;BL114,0,BL114-AB114)</f>
        <v>804560</v>
      </c>
      <c r="BT114" s="14">
        <f t="shared" si="184"/>
        <v>206176.4705882353</v>
      </c>
      <c r="BU114" s="14">
        <f t="shared" si="184"/>
        <v>159318.1818181818</v>
      </c>
      <c r="BV114" s="15">
        <f t="shared" si="184"/>
        <v>259629.6296296296</v>
      </c>
      <c r="BW114" s="244">
        <f t="shared" si="184"/>
        <v>189459.45945945944</v>
      </c>
      <c r="BX114" s="223">
        <v>0.11</v>
      </c>
      <c r="BY114" s="74">
        <f t="shared" si="161"/>
        <v>64257.380000000005</v>
      </c>
      <c r="BZ114" s="224"/>
      <c r="CA114" s="226">
        <v>64000</v>
      </c>
      <c r="CB114" s="225"/>
      <c r="CC114" s="198"/>
      <c r="CD114" s="199"/>
      <c r="CE114" s="198"/>
      <c r="CF114" s="198"/>
      <c r="CG114" s="198"/>
      <c r="CH114" s="200" t="s">
        <v>163</v>
      </c>
      <c r="CI114" s="265" t="s">
        <v>47</v>
      </c>
      <c r="CJ114" s="92">
        <f>($CG114+$CA114+$AZ114+$AT114+$AQ114+$AN114+$AK114+$AH114+$AE114+$Y114+$V114)/$AV114</f>
        <v>0.7865146863476771</v>
      </c>
      <c r="CK114" s="4">
        <f>($CG114+$CA114+$AZ114+$AT114+$AQ114+$AN114+$AK114+$AH114+$AE114+$Y114+$V114)/$AW114</f>
        <v>0.7816789293307632</v>
      </c>
      <c r="CL114" s="4"/>
      <c r="CM114" s="198">
        <f>CA114+CG114</f>
        <v>64000</v>
      </c>
      <c r="CN114" s="198"/>
      <c r="CO114" s="198">
        <f>R114+AA114</f>
        <v>1093152</v>
      </c>
      <c r="CP114" s="198">
        <f>AZ114+CM114</f>
        <v>765000</v>
      </c>
      <c r="CQ114" s="201">
        <f>-1+CP114/CO114</f>
        <v>-0.3001888118029332</v>
      </c>
      <c r="CR114" s="74"/>
      <c r="CS114" s="74"/>
      <c r="CT114" s="74">
        <f t="shared" si="159"/>
        <v>1095296.25</v>
      </c>
      <c r="CU114" s="202">
        <v>0.55</v>
      </c>
      <c r="CV114" s="74">
        <f t="shared" si="181"/>
        <v>602412.9375</v>
      </c>
      <c r="CW114" s="74">
        <f t="shared" si="162"/>
        <v>600750</v>
      </c>
      <c r="CX114" s="74">
        <f t="shared" si="160"/>
        <v>1.0061863724803917</v>
      </c>
      <c r="CY114" s="74"/>
      <c r="CZ114" s="74"/>
    </row>
    <row r="115" spans="1:104" ht="24">
      <c r="A115" s="149">
        <v>15060306</v>
      </c>
      <c r="B115" s="49" t="s">
        <v>64</v>
      </c>
      <c r="C115" s="49" t="s">
        <v>43</v>
      </c>
      <c r="D115" s="49" t="s">
        <v>161</v>
      </c>
      <c r="E115" s="49" t="s">
        <v>144</v>
      </c>
      <c r="F115" s="73">
        <v>1238866</v>
      </c>
      <c r="G115" s="73">
        <v>0</v>
      </c>
      <c r="H115" s="73">
        <v>12</v>
      </c>
      <c r="I115" s="73">
        <v>0</v>
      </c>
      <c r="J115" s="73">
        <v>0</v>
      </c>
      <c r="K115" s="73">
        <v>0</v>
      </c>
      <c r="L115" s="73">
        <v>0</v>
      </c>
      <c r="M115" s="73">
        <v>0</v>
      </c>
      <c r="N115" s="73">
        <v>0.9</v>
      </c>
      <c r="O115" s="73">
        <v>1.6</v>
      </c>
      <c r="P115" s="73">
        <v>0.8</v>
      </c>
      <c r="Q115" s="73">
        <v>1.4</v>
      </c>
      <c r="R115" s="2">
        <v>190000</v>
      </c>
      <c r="S115" s="2">
        <v>219000</v>
      </c>
      <c r="T115" s="2">
        <v>350000</v>
      </c>
      <c r="U115" s="2">
        <v>0</v>
      </c>
      <c r="V115" s="2">
        <v>0</v>
      </c>
      <c r="W115" s="2">
        <v>0</v>
      </c>
      <c r="X115" s="2">
        <v>10450</v>
      </c>
      <c r="Y115" s="2">
        <v>67000</v>
      </c>
      <c r="Z115" s="2">
        <v>36000</v>
      </c>
      <c r="AA115" s="2">
        <v>33400</v>
      </c>
      <c r="AB115" s="2">
        <v>65510</v>
      </c>
      <c r="AC115" s="2">
        <v>150000</v>
      </c>
      <c r="AD115" s="2">
        <v>23750</v>
      </c>
      <c r="AE115" s="2">
        <v>17000</v>
      </c>
      <c r="AF115" s="2">
        <v>200000</v>
      </c>
      <c r="AG115" s="2">
        <v>0</v>
      </c>
      <c r="AH115" s="2">
        <v>0</v>
      </c>
      <c r="AI115" s="2">
        <v>0</v>
      </c>
      <c r="AJ115" s="2">
        <v>0</v>
      </c>
      <c r="AK115" s="2">
        <v>0</v>
      </c>
      <c r="AL115" s="2">
        <v>0</v>
      </c>
      <c r="AM115" s="2">
        <v>0</v>
      </c>
      <c r="AN115" s="2">
        <v>0</v>
      </c>
      <c r="AO115" s="2">
        <v>0</v>
      </c>
      <c r="AP115" s="2">
        <v>0</v>
      </c>
      <c r="AQ115" s="2">
        <v>0</v>
      </c>
      <c r="AR115" s="2">
        <v>0</v>
      </c>
      <c r="AS115" s="2">
        <v>23679</v>
      </c>
      <c r="AT115" s="2">
        <v>35000</v>
      </c>
      <c r="AU115" s="2">
        <v>35465</v>
      </c>
      <c r="AV115" s="2">
        <v>281279</v>
      </c>
      <c r="AW115" s="50">
        <v>403510</v>
      </c>
      <c r="AX115" s="50">
        <v>771465</v>
      </c>
      <c r="AY115" s="3"/>
      <c r="AZ115" s="48">
        <v>243000</v>
      </c>
      <c r="BA115" s="48"/>
      <c r="BB115" s="4">
        <f t="shared" si="164"/>
        <v>1.1095890410958904</v>
      </c>
      <c r="BC115" s="4">
        <f t="shared" si="165"/>
        <v>0</v>
      </c>
      <c r="BD115" s="5">
        <f t="shared" si="182"/>
        <v>0.2789473684210526</v>
      </c>
      <c r="BE115" s="5">
        <f t="shared" si="182"/>
        <v>-1</v>
      </c>
      <c r="BF115" s="6"/>
      <c r="BG115" s="7">
        <f t="shared" si="166"/>
        <v>362000</v>
      </c>
      <c r="BH115" s="7">
        <f t="shared" si="167"/>
        <v>271465</v>
      </c>
      <c r="BI115" s="8">
        <f t="shared" si="168"/>
        <v>1.2869784093373484</v>
      </c>
      <c r="BJ115" s="8">
        <f t="shared" si="169"/>
        <v>0.6727590394290104</v>
      </c>
      <c r="BK115" s="9">
        <f t="shared" si="170"/>
        <v>0</v>
      </c>
      <c r="BL115" s="9">
        <f t="shared" si="171"/>
        <v>132045</v>
      </c>
      <c r="BM115" s="10">
        <f t="shared" si="183"/>
        <v>0.8971277043939432</v>
      </c>
      <c r="BN115" s="10">
        <f t="shared" si="183"/>
        <v>0.35188245740247454</v>
      </c>
      <c r="BO115" s="11">
        <f t="shared" si="172"/>
        <v>41510</v>
      </c>
      <c r="BP115" s="11">
        <f t="shared" si="172"/>
        <v>500000</v>
      </c>
      <c r="BQ115" s="12">
        <f t="shared" si="173"/>
        <v>0</v>
      </c>
      <c r="BR115" s="12">
        <f t="shared" si="174"/>
        <v>66535</v>
      </c>
      <c r="BT115" s="14">
        <f t="shared" si="175"/>
        <v>270000</v>
      </c>
      <c r="BU115" s="14">
        <f t="shared" si="176"/>
        <v>151875</v>
      </c>
      <c r="BV115" s="15">
        <f t="shared" si="177"/>
        <v>303750</v>
      </c>
      <c r="BW115" s="244">
        <f t="shared" si="178"/>
        <v>173571.42857142858</v>
      </c>
      <c r="BX115" s="223">
        <v>0.11</v>
      </c>
      <c r="BY115" s="74">
        <f t="shared" si="161"/>
        <v>17754.44</v>
      </c>
      <c r="BZ115" s="224"/>
      <c r="CA115" s="226">
        <v>18000</v>
      </c>
      <c r="CB115" s="225"/>
      <c r="CC115" s="198"/>
      <c r="CD115" s="199"/>
      <c r="CE115" s="198"/>
      <c r="CF115" s="198"/>
      <c r="CG115" s="198"/>
      <c r="CH115" s="200" t="s">
        <v>163</v>
      </c>
      <c r="CI115" s="265" t="s">
        <v>52</v>
      </c>
      <c r="CJ115" s="92">
        <f t="shared" si="179"/>
        <v>1.3509718109066087</v>
      </c>
      <c r="CK115" s="4">
        <f t="shared" si="180"/>
        <v>0.9417362642809348</v>
      </c>
      <c r="CL115" s="4"/>
      <c r="CM115" s="198">
        <f t="shared" si="151"/>
        <v>18000</v>
      </c>
      <c r="CN115" s="198"/>
      <c r="CO115" s="198">
        <f t="shared" si="152"/>
        <v>223400</v>
      </c>
      <c r="CP115" s="198">
        <f>AZ115+CM115</f>
        <v>261000</v>
      </c>
      <c r="CQ115" s="201">
        <f>-1+CP115/CO115</f>
        <v>0.16830796777081458</v>
      </c>
      <c r="CR115" s="74"/>
      <c r="CS115" s="74"/>
      <c r="CT115" s="74">
        <f t="shared" si="159"/>
        <v>302632.5</v>
      </c>
      <c r="CU115" s="202">
        <v>0.55</v>
      </c>
      <c r="CV115" s="74">
        <f t="shared" si="181"/>
        <v>166447.875</v>
      </c>
      <c r="CW115" s="74">
        <f t="shared" si="162"/>
        <v>164250</v>
      </c>
      <c r="CX115" s="74">
        <f t="shared" si="160"/>
        <v>1.434554303734015</v>
      </c>
      <c r="CY115" s="74"/>
      <c r="CZ115" s="74"/>
    </row>
    <row r="116" spans="1:104" ht="24">
      <c r="A116" s="149">
        <v>15060306</v>
      </c>
      <c r="B116" s="49" t="s">
        <v>64</v>
      </c>
      <c r="C116" s="49" t="s">
        <v>43</v>
      </c>
      <c r="D116" s="49" t="s">
        <v>161</v>
      </c>
      <c r="E116" s="248" t="s">
        <v>284</v>
      </c>
      <c r="F116" s="73">
        <v>9042100</v>
      </c>
      <c r="G116" s="73">
        <v>0</v>
      </c>
      <c r="H116" s="73">
        <v>95</v>
      </c>
      <c r="I116" s="73">
        <v>0</v>
      </c>
      <c r="J116" s="73">
        <v>0</v>
      </c>
      <c r="K116" s="73">
        <v>0</v>
      </c>
      <c r="L116" s="73">
        <v>0</v>
      </c>
      <c r="M116" s="73">
        <v>0</v>
      </c>
      <c r="N116" s="73"/>
      <c r="O116" s="73">
        <v>6.1</v>
      </c>
      <c r="P116" s="73"/>
      <c r="Q116" s="73">
        <v>4.8</v>
      </c>
      <c r="R116" s="2">
        <v>1608000</v>
      </c>
      <c r="S116" s="2">
        <v>1814800</v>
      </c>
      <c r="T116" s="2">
        <v>1920000</v>
      </c>
      <c r="U116" s="2">
        <v>0</v>
      </c>
      <c r="V116" s="2">
        <v>0</v>
      </c>
      <c r="W116" s="2">
        <v>0</v>
      </c>
      <c r="X116" s="2">
        <v>0</v>
      </c>
      <c r="Y116" s="2">
        <v>0</v>
      </c>
      <c r="Z116" s="2">
        <v>0</v>
      </c>
      <c r="AA116" s="2">
        <v>519598</v>
      </c>
      <c r="AB116" s="2">
        <v>598190</v>
      </c>
      <c r="AC116" s="2">
        <v>960000</v>
      </c>
      <c r="AD116" s="2">
        <v>32000</v>
      </c>
      <c r="AE116" s="2">
        <v>35000</v>
      </c>
      <c r="AF116" s="2">
        <v>40000</v>
      </c>
      <c r="AG116" s="2">
        <v>0</v>
      </c>
      <c r="AH116" s="2">
        <v>0</v>
      </c>
      <c r="AI116" s="2">
        <v>0</v>
      </c>
      <c r="AJ116" s="2">
        <v>0</v>
      </c>
      <c r="AK116" s="2">
        <v>0</v>
      </c>
      <c r="AL116" s="2">
        <v>0</v>
      </c>
      <c r="AM116" s="2">
        <v>0</v>
      </c>
      <c r="AN116" s="2">
        <v>0</v>
      </c>
      <c r="AO116" s="2">
        <v>0</v>
      </c>
      <c r="AP116" s="2">
        <v>0</v>
      </c>
      <c r="AQ116" s="2">
        <v>0</v>
      </c>
      <c r="AR116" s="2">
        <v>0</v>
      </c>
      <c r="AS116" s="2">
        <v>26823</v>
      </c>
      <c r="AT116" s="2">
        <v>35000</v>
      </c>
      <c r="AU116" s="2">
        <v>40091</v>
      </c>
      <c r="AV116" s="2">
        <v>2186421</v>
      </c>
      <c r="AW116" s="50">
        <v>2482990</v>
      </c>
      <c r="AX116" s="50">
        <v>2960091</v>
      </c>
      <c r="AY116" s="3"/>
      <c r="AZ116" s="48">
        <v>320000</v>
      </c>
      <c r="BA116" s="48"/>
      <c r="BB116" s="4">
        <f t="shared" si="164"/>
        <v>0.1763279700242451</v>
      </c>
      <c r="BC116" s="4">
        <f t="shared" si="165"/>
        <v>0</v>
      </c>
      <c r="BD116" s="5">
        <f t="shared" si="182"/>
        <v>-0.8009950248756219</v>
      </c>
      <c r="BE116" s="5">
        <f t="shared" si="182"/>
        <v>-1</v>
      </c>
      <c r="BF116" s="6"/>
      <c r="BG116" s="7">
        <f t="shared" si="166"/>
        <v>390000</v>
      </c>
      <c r="BH116" s="7">
        <f t="shared" si="167"/>
        <v>80091</v>
      </c>
      <c r="BI116" s="8">
        <f t="shared" si="168"/>
        <v>0.1783736983865413</v>
      </c>
      <c r="BJ116" s="8">
        <f t="shared" si="169"/>
        <v>0.03225586893221479</v>
      </c>
      <c r="BK116" s="9">
        <f t="shared" si="170"/>
        <v>1796421</v>
      </c>
      <c r="BL116" s="9">
        <f t="shared" si="171"/>
        <v>2402899</v>
      </c>
      <c r="BM116" s="10">
        <f t="shared" si="183"/>
        <v>0.15706869540352558</v>
      </c>
      <c r="BN116" s="10">
        <f t="shared" si="183"/>
        <v>0.027056938452230016</v>
      </c>
      <c r="BO116" s="11">
        <f t="shared" si="172"/>
        <v>2092990</v>
      </c>
      <c r="BP116" s="11">
        <f t="shared" si="172"/>
        <v>2880000</v>
      </c>
      <c r="BQ116" s="12">
        <f t="shared" si="173"/>
        <v>1276823</v>
      </c>
      <c r="BR116" s="12">
        <f t="shared" si="174"/>
        <v>1804709</v>
      </c>
      <c r="BT116" s="14" t="e">
        <f t="shared" si="175"/>
        <v>#DIV/0!</v>
      </c>
      <c r="BU116" s="14">
        <f t="shared" si="176"/>
        <v>52459.016393442624</v>
      </c>
      <c r="BV116" s="15" t="e">
        <f t="shared" si="177"/>
        <v>#DIV/0!</v>
      </c>
      <c r="BW116" s="244">
        <f t="shared" si="178"/>
        <v>66666.66666666667</v>
      </c>
      <c r="BX116" s="223">
        <v>0.11</v>
      </c>
      <c r="BY116" s="74">
        <f t="shared" si="161"/>
        <v>109251.56000000001</v>
      </c>
      <c r="BZ116" s="224"/>
      <c r="CA116" s="226">
        <v>109000</v>
      </c>
      <c r="CB116" s="225"/>
      <c r="CC116" s="198"/>
      <c r="CD116" s="199"/>
      <c r="CE116" s="198"/>
      <c r="CF116" s="198"/>
      <c r="CG116" s="198"/>
      <c r="CH116" s="200" t="s">
        <v>163</v>
      </c>
      <c r="CI116" s="265" t="s">
        <v>52</v>
      </c>
      <c r="CJ116" s="92">
        <f t="shared" si="179"/>
        <v>0.22822686024329258</v>
      </c>
      <c r="CK116" s="4">
        <f t="shared" si="180"/>
        <v>0.20096738206758788</v>
      </c>
      <c r="CL116" s="4"/>
      <c r="CM116" s="198">
        <f t="shared" si="151"/>
        <v>109000</v>
      </c>
      <c r="CN116" s="198"/>
      <c r="CO116" s="198">
        <f t="shared" si="152"/>
        <v>2127598</v>
      </c>
      <c r="CP116" s="198">
        <f>AZ116+CM116</f>
        <v>429000</v>
      </c>
      <c r="CQ116" s="201">
        <f>-1+CP116/CO116</f>
        <v>-0.7983641646589252</v>
      </c>
      <c r="CR116" s="74"/>
      <c r="CS116" s="74"/>
      <c r="CT116" s="74">
        <f t="shared" si="159"/>
        <v>1862242.5</v>
      </c>
      <c r="CU116" s="202">
        <v>0.55</v>
      </c>
      <c r="CV116" s="74">
        <f t="shared" si="181"/>
        <v>1024233.3750000001</v>
      </c>
      <c r="CW116" s="74">
        <f t="shared" si="162"/>
        <v>1361100</v>
      </c>
      <c r="CX116" s="74">
        <f t="shared" si="160"/>
        <v>1.1356413060430721</v>
      </c>
      <c r="CY116" s="74"/>
      <c r="CZ116" s="74"/>
    </row>
    <row r="117" spans="1:104" ht="24">
      <c r="A117" s="149">
        <v>15060306</v>
      </c>
      <c r="B117" s="49" t="s">
        <v>64</v>
      </c>
      <c r="C117" s="49" t="s">
        <v>43</v>
      </c>
      <c r="D117" s="49" t="s">
        <v>161</v>
      </c>
      <c r="E117" s="248" t="s">
        <v>273</v>
      </c>
      <c r="F117" s="73">
        <v>8060062</v>
      </c>
      <c r="G117" s="73">
        <v>0</v>
      </c>
      <c r="H117" s="73">
        <v>80</v>
      </c>
      <c r="I117" s="73">
        <v>0</v>
      </c>
      <c r="J117" s="73">
        <v>0</v>
      </c>
      <c r="K117" s="73">
        <v>0</v>
      </c>
      <c r="L117" s="73">
        <v>0</v>
      </c>
      <c r="M117" s="73">
        <v>0</v>
      </c>
      <c r="N117" s="73">
        <v>3</v>
      </c>
      <c r="O117" s="73">
        <v>6.6</v>
      </c>
      <c r="P117" s="73">
        <v>2.5</v>
      </c>
      <c r="Q117" s="73">
        <v>5.5</v>
      </c>
      <c r="R117" s="2">
        <v>1440740</v>
      </c>
      <c r="S117" s="2">
        <v>1551500</v>
      </c>
      <c r="T117" s="2">
        <v>2011000</v>
      </c>
      <c r="U117" s="2">
        <v>0</v>
      </c>
      <c r="V117" s="2">
        <v>0</v>
      </c>
      <c r="W117" s="2">
        <v>0</v>
      </c>
      <c r="X117" s="2">
        <v>77000</v>
      </c>
      <c r="Y117" s="2">
        <v>0</v>
      </c>
      <c r="Z117" s="2">
        <v>0</v>
      </c>
      <c r="AA117" s="2">
        <v>270000</v>
      </c>
      <c r="AB117" s="2">
        <v>621928</v>
      </c>
      <c r="AC117" s="2">
        <v>1023000</v>
      </c>
      <c r="AD117" s="2">
        <v>175000</v>
      </c>
      <c r="AE117" s="2">
        <v>115000</v>
      </c>
      <c r="AF117" s="2">
        <v>150000</v>
      </c>
      <c r="AG117" s="2">
        <v>0</v>
      </c>
      <c r="AH117" s="2">
        <v>0</v>
      </c>
      <c r="AI117" s="2">
        <v>0</v>
      </c>
      <c r="AJ117" s="2">
        <v>0</v>
      </c>
      <c r="AK117" s="2">
        <v>0</v>
      </c>
      <c r="AL117" s="2">
        <v>0</v>
      </c>
      <c r="AM117" s="2">
        <v>0</v>
      </c>
      <c r="AN117" s="2">
        <v>0</v>
      </c>
      <c r="AO117" s="2">
        <v>0</v>
      </c>
      <c r="AP117" s="2">
        <v>0</v>
      </c>
      <c r="AQ117" s="2">
        <v>0</v>
      </c>
      <c r="AR117" s="2">
        <v>0</v>
      </c>
      <c r="AS117" s="2">
        <v>64000</v>
      </c>
      <c r="AT117" s="2">
        <v>70000</v>
      </c>
      <c r="AU117" s="2">
        <v>50998</v>
      </c>
      <c r="AV117" s="2">
        <v>2026740</v>
      </c>
      <c r="AW117" s="50">
        <v>2358428</v>
      </c>
      <c r="AX117" s="50">
        <v>3234998</v>
      </c>
      <c r="AY117" s="3"/>
      <c r="AZ117" s="48">
        <v>1551500</v>
      </c>
      <c r="BA117" s="48"/>
      <c r="BB117" s="4">
        <f t="shared" si="164"/>
        <v>1</v>
      </c>
      <c r="BC117" s="4">
        <f t="shared" si="165"/>
        <v>0</v>
      </c>
      <c r="BD117" s="5"/>
      <c r="BE117" s="5"/>
      <c r="BF117" s="6"/>
      <c r="BG117" s="7">
        <f t="shared" si="166"/>
        <v>1736500</v>
      </c>
      <c r="BH117" s="7">
        <f t="shared" si="167"/>
        <v>200998</v>
      </c>
      <c r="BI117" s="8">
        <f t="shared" si="168"/>
        <v>0.856794655456546</v>
      </c>
      <c r="BJ117" s="8">
        <f t="shared" si="169"/>
        <v>0.08522541285975234</v>
      </c>
      <c r="BK117" s="9">
        <f t="shared" si="170"/>
        <v>290240</v>
      </c>
      <c r="BL117" s="9">
        <f t="shared" si="171"/>
        <v>2157430</v>
      </c>
      <c r="BM117" s="10">
        <f t="shared" si="183"/>
        <v>0.7362955324478848</v>
      </c>
      <c r="BN117" s="10">
        <f t="shared" si="183"/>
        <v>0.0621323413492064</v>
      </c>
      <c r="BO117" s="11">
        <f t="shared" si="172"/>
        <v>621928</v>
      </c>
      <c r="BP117" s="11">
        <f t="shared" si="172"/>
        <v>3034000</v>
      </c>
      <c r="BQ117" s="12">
        <f t="shared" si="173"/>
        <v>20240</v>
      </c>
      <c r="BR117" s="12">
        <f t="shared" si="174"/>
        <v>1535502</v>
      </c>
      <c r="BT117" s="14">
        <f t="shared" si="175"/>
        <v>517166.6666666667</v>
      </c>
      <c r="BU117" s="14">
        <f t="shared" si="176"/>
        <v>235075.7575757576</v>
      </c>
      <c r="BV117" s="15">
        <f t="shared" si="177"/>
        <v>620600</v>
      </c>
      <c r="BW117" s="244">
        <f t="shared" si="178"/>
        <v>282090.9090909091</v>
      </c>
      <c r="BX117" s="223">
        <v>0.11</v>
      </c>
      <c r="BY117" s="74">
        <f t="shared" si="161"/>
        <v>103770.832</v>
      </c>
      <c r="BZ117" s="224"/>
      <c r="CA117" s="226">
        <v>103000</v>
      </c>
      <c r="CB117" s="225"/>
      <c r="CC117" s="198"/>
      <c r="CD117" s="199"/>
      <c r="CE117" s="198"/>
      <c r="CF117" s="198"/>
      <c r="CG117" s="198"/>
      <c r="CH117" s="200" t="s">
        <v>163</v>
      </c>
      <c r="CI117" s="265" t="s">
        <v>52</v>
      </c>
      <c r="CJ117" s="92">
        <f t="shared" si="179"/>
        <v>0.9076151849768593</v>
      </c>
      <c r="CK117" s="4">
        <f t="shared" si="180"/>
        <v>0.7799686910094351</v>
      </c>
      <c r="CL117" s="4"/>
      <c r="CM117" s="198">
        <f t="shared" si="151"/>
        <v>103000</v>
      </c>
      <c r="CN117" s="198"/>
      <c r="CO117" s="198">
        <f t="shared" si="152"/>
        <v>1710740</v>
      </c>
      <c r="CP117" s="198">
        <f>AZ117+CM117</f>
        <v>1654500</v>
      </c>
      <c r="CQ117" s="201"/>
      <c r="CR117" s="74"/>
      <c r="CS117" s="74"/>
      <c r="CT117" s="74">
        <f t="shared" si="159"/>
        <v>1768821</v>
      </c>
      <c r="CU117" s="202">
        <v>0.55</v>
      </c>
      <c r="CV117" s="74">
        <f t="shared" si="181"/>
        <v>972851.55</v>
      </c>
      <c r="CW117" s="74">
        <f t="shared" si="162"/>
        <v>1163625</v>
      </c>
      <c r="CX117" s="74">
        <f t="shared" si="160"/>
        <v>1.1636559203449874</v>
      </c>
      <c r="CY117" s="74"/>
      <c r="CZ117" s="74"/>
    </row>
    <row r="118" spans="1:104" ht="36">
      <c r="A118" s="149">
        <v>15060306</v>
      </c>
      <c r="B118" s="49" t="s">
        <v>64</v>
      </c>
      <c r="C118" s="49" t="s">
        <v>43</v>
      </c>
      <c r="D118" s="49" t="s">
        <v>161</v>
      </c>
      <c r="E118" s="49" t="s">
        <v>285</v>
      </c>
      <c r="F118" s="73">
        <v>8060062</v>
      </c>
      <c r="G118" s="73"/>
      <c r="H118" s="73">
        <v>45</v>
      </c>
      <c r="I118" s="73"/>
      <c r="J118" s="73"/>
      <c r="K118" s="73"/>
      <c r="L118" s="73"/>
      <c r="M118" s="73"/>
      <c r="N118" s="73"/>
      <c r="O118" s="73">
        <v>3.6</v>
      </c>
      <c r="P118" s="73"/>
      <c r="Q118" s="73">
        <v>3</v>
      </c>
      <c r="R118" s="2">
        <v>0</v>
      </c>
      <c r="S118" s="2">
        <v>660000</v>
      </c>
      <c r="T118" s="2">
        <v>1110000</v>
      </c>
      <c r="U118" s="2">
        <v>0</v>
      </c>
      <c r="V118" s="2">
        <v>0</v>
      </c>
      <c r="W118" s="2">
        <v>0</v>
      </c>
      <c r="X118" s="2">
        <v>0</v>
      </c>
      <c r="Y118" s="2">
        <v>25000</v>
      </c>
      <c r="Z118" s="2">
        <v>86000</v>
      </c>
      <c r="AA118" s="2">
        <v>0</v>
      </c>
      <c r="AB118" s="2">
        <v>160000</v>
      </c>
      <c r="AC118" s="2">
        <v>390000</v>
      </c>
      <c r="AD118" s="2">
        <v>0</v>
      </c>
      <c r="AE118" s="2">
        <v>20000</v>
      </c>
      <c r="AF118" s="2">
        <v>50000</v>
      </c>
      <c r="AG118" s="2">
        <v>0</v>
      </c>
      <c r="AH118" s="2">
        <v>0</v>
      </c>
      <c r="AI118" s="2">
        <v>0</v>
      </c>
      <c r="AJ118" s="2">
        <v>0</v>
      </c>
      <c r="AK118" s="2">
        <v>0</v>
      </c>
      <c r="AL118" s="2">
        <v>0</v>
      </c>
      <c r="AM118" s="2">
        <v>0</v>
      </c>
      <c r="AN118" s="2">
        <v>0</v>
      </c>
      <c r="AO118" s="2">
        <v>0</v>
      </c>
      <c r="AP118" s="2">
        <v>13230592</v>
      </c>
      <c r="AQ118" s="2">
        <v>0</v>
      </c>
      <c r="AR118" s="2">
        <v>0</v>
      </c>
      <c r="AS118" s="2">
        <v>0</v>
      </c>
      <c r="AT118" s="2">
        <v>10000</v>
      </c>
      <c r="AU118" s="2">
        <v>25899</v>
      </c>
      <c r="AV118" s="2">
        <v>13230592</v>
      </c>
      <c r="AW118" s="50">
        <v>875000</v>
      </c>
      <c r="AX118" s="50">
        <v>1661899</v>
      </c>
      <c r="AY118" s="3"/>
      <c r="AZ118" s="48"/>
      <c r="BA118" s="48"/>
      <c r="BB118" s="4"/>
      <c r="BC118" s="4">
        <f t="shared" si="165"/>
        <v>0</v>
      </c>
      <c r="BD118" s="5"/>
      <c r="BE118" s="5"/>
      <c r="BF118" s="6"/>
      <c r="BG118" s="7"/>
      <c r="BH118" s="7">
        <f t="shared" si="167"/>
        <v>161899</v>
      </c>
      <c r="BI118" s="8"/>
      <c r="BJ118" s="8">
        <f t="shared" si="169"/>
        <v>0.18502742857142856</v>
      </c>
      <c r="BK118" s="9"/>
      <c r="BL118" s="9">
        <f t="shared" si="171"/>
        <v>713101</v>
      </c>
      <c r="BM118" s="10"/>
      <c r="BN118" s="10">
        <f>BH118/AX118</f>
        <v>0.09741807414289316</v>
      </c>
      <c r="BO118" s="11"/>
      <c r="BP118" s="11">
        <f t="shared" si="172"/>
        <v>1500000</v>
      </c>
      <c r="BQ118" s="12"/>
      <c r="BR118" s="12">
        <f t="shared" si="174"/>
        <v>553101</v>
      </c>
      <c r="BT118" s="14"/>
      <c r="BU118" s="14"/>
      <c r="BV118" s="15"/>
      <c r="BW118" s="244"/>
      <c r="BX118" s="223">
        <v>0.11</v>
      </c>
      <c r="BY118" s="74">
        <f t="shared" si="161"/>
        <v>38500</v>
      </c>
      <c r="BZ118" s="224"/>
      <c r="CA118" s="226">
        <v>39000</v>
      </c>
      <c r="CB118" s="225"/>
      <c r="CC118" s="198"/>
      <c r="CD118" s="199"/>
      <c r="CE118" s="198"/>
      <c r="CF118" s="198"/>
      <c r="CG118" s="198"/>
      <c r="CH118" s="200" t="s">
        <v>163</v>
      </c>
      <c r="CI118" s="265" t="s">
        <v>52</v>
      </c>
      <c r="CJ118" s="92"/>
      <c r="CK118" s="4"/>
      <c r="CL118" s="4"/>
      <c r="CM118" s="198"/>
      <c r="CN118" s="198"/>
      <c r="CO118" s="198">
        <f t="shared" si="152"/>
        <v>0</v>
      </c>
      <c r="CP118" s="198"/>
      <c r="CQ118" s="201"/>
      <c r="CR118" s="74"/>
      <c r="CS118" s="74"/>
      <c r="CT118" s="74">
        <f t="shared" si="159"/>
        <v>656250</v>
      </c>
      <c r="CU118" s="202">
        <v>0.55</v>
      </c>
      <c r="CV118" s="74">
        <f t="shared" si="181"/>
        <v>360937.50000000006</v>
      </c>
      <c r="CW118" s="74">
        <f t="shared" si="162"/>
        <v>495000</v>
      </c>
      <c r="CX118" s="74">
        <f t="shared" si="160"/>
        <v>0.06613460682636121</v>
      </c>
      <c r="CY118" s="74"/>
      <c r="CZ118" s="74"/>
    </row>
    <row r="119" spans="1:104" ht="24">
      <c r="A119" s="149">
        <v>15060306</v>
      </c>
      <c r="B119" s="49" t="s">
        <v>64</v>
      </c>
      <c r="C119" s="49" t="s">
        <v>43</v>
      </c>
      <c r="D119" s="49" t="s">
        <v>161</v>
      </c>
      <c r="E119" s="248" t="s">
        <v>286</v>
      </c>
      <c r="F119" s="73">
        <v>8986436</v>
      </c>
      <c r="G119" s="73"/>
      <c r="H119" s="73">
        <v>30</v>
      </c>
      <c r="I119" s="73"/>
      <c r="J119" s="73"/>
      <c r="K119" s="73"/>
      <c r="L119" s="73"/>
      <c r="M119" s="73"/>
      <c r="N119" s="73"/>
      <c r="O119" s="73">
        <v>3.5</v>
      </c>
      <c r="P119" s="73"/>
      <c r="Q119" s="73">
        <v>2.8</v>
      </c>
      <c r="R119" s="2">
        <v>166880</v>
      </c>
      <c r="S119" s="2">
        <v>310000</v>
      </c>
      <c r="T119" s="2">
        <v>600000</v>
      </c>
      <c r="U119" s="2">
        <v>0</v>
      </c>
      <c r="V119" s="2">
        <v>0</v>
      </c>
      <c r="W119" s="2">
        <v>0</v>
      </c>
      <c r="X119" s="2">
        <v>0</v>
      </c>
      <c r="Y119" s="2">
        <v>0</v>
      </c>
      <c r="Z119" s="2">
        <v>0</v>
      </c>
      <c r="AA119" s="2">
        <v>195000</v>
      </c>
      <c r="AB119" s="2">
        <v>132000</v>
      </c>
      <c r="AC119" s="2">
        <v>474000</v>
      </c>
      <c r="AD119" s="2">
        <v>278000</v>
      </c>
      <c r="AE119" s="2">
        <v>365000</v>
      </c>
      <c r="AF119" s="2">
        <v>370000</v>
      </c>
      <c r="AG119" s="2">
        <v>0</v>
      </c>
      <c r="AH119" s="2">
        <v>0</v>
      </c>
      <c r="AI119" s="2">
        <v>0</v>
      </c>
      <c r="AJ119" s="2">
        <v>0</v>
      </c>
      <c r="AK119" s="2">
        <v>0</v>
      </c>
      <c r="AL119" s="2">
        <v>0</v>
      </c>
      <c r="AM119" s="2">
        <v>0</v>
      </c>
      <c r="AN119" s="2">
        <v>0</v>
      </c>
      <c r="AO119" s="2">
        <v>0</v>
      </c>
      <c r="AP119" s="2">
        <v>0</v>
      </c>
      <c r="AQ119" s="2">
        <v>0</v>
      </c>
      <c r="AR119" s="2">
        <v>0</v>
      </c>
      <c r="AS119" s="2">
        <v>111400</v>
      </c>
      <c r="AT119" s="2">
        <v>20000</v>
      </c>
      <c r="AU119" s="2">
        <v>25505</v>
      </c>
      <c r="AV119" s="2">
        <v>751280</v>
      </c>
      <c r="AW119" s="50">
        <v>827000</v>
      </c>
      <c r="AX119" s="50">
        <v>7469505</v>
      </c>
      <c r="AY119" s="3"/>
      <c r="AZ119" s="48"/>
      <c r="BA119" s="48"/>
      <c r="BB119" s="4"/>
      <c r="BC119" s="4">
        <f t="shared" si="165"/>
        <v>0</v>
      </c>
      <c r="BD119" s="5"/>
      <c r="BE119" s="5"/>
      <c r="BF119" s="6"/>
      <c r="BG119" s="7"/>
      <c r="BH119" s="7">
        <f t="shared" si="167"/>
        <v>395505</v>
      </c>
      <c r="BI119" s="8"/>
      <c r="BJ119" s="8">
        <f t="shared" si="169"/>
        <v>0.47824062877871826</v>
      </c>
      <c r="BK119" s="9"/>
      <c r="BL119" s="9">
        <f t="shared" si="171"/>
        <v>431495</v>
      </c>
      <c r="BM119" s="10"/>
      <c r="BN119" s="10">
        <f>BH119/AX119</f>
        <v>0.052949291820542324</v>
      </c>
      <c r="BO119" s="11"/>
      <c r="BP119" s="11">
        <f t="shared" si="172"/>
        <v>7074000</v>
      </c>
      <c r="BQ119" s="12"/>
      <c r="BR119" s="12">
        <f t="shared" si="174"/>
        <v>299495</v>
      </c>
      <c r="BT119" s="14"/>
      <c r="BU119" s="14"/>
      <c r="BV119" s="15"/>
      <c r="BW119" s="244"/>
      <c r="BX119" s="223">
        <v>0.11</v>
      </c>
      <c r="BY119" s="74">
        <f t="shared" si="161"/>
        <v>36388</v>
      </c>
      <c r="BZ119" s="224"/>
      <c r="CA119" s="226">
        <v>37000</v>
      </c>
      <c r="CB119" s="225"/>
      <c r="CC119" s="198"/>
      <c r="CD119" s="199"/>
      <c r="CE119" s="198"/>
      <c r="CF119" s="198"/>
      <c r="CG119" s="198"/>
      <c r="CH119" s="200" t="s">
        <v>163</v>
      </c>
      <c r="CI119" s="265" t="s">
        <v>52</v>
      </c>
      <c r="CJ119" s="92"/>
      <c r="CK119" s="4"/>
      <c r="CL119" s="4"/>
      <c r="CM119" s="198"/>
      <c r="CN119" s="198"/>
      <c r="CO119" s="198">
        <f t="shared" si="152"/>
        <v>361880</v>
      </c>
      <c r="CP119" s="198"/>
      <c r="CQ119" s="201"/>
      <c r="CR119" s="74"/>
      <c r="CS119" s="74"/>
      <c r="CT119" s="74">
        <f t="shared" si="159"/>
        <v>620250</v>
      </c>
      <c r="CU119" s="202">
        <v>0.55</v>
      </c>
      <c r="CV119" s="74">
        <f t="shared" si="181"/>
        <v>341137.5</v>
      </c>
      <c r="CW119" s="74">
        <f t="shared" si="162"/>
        <v>232500</v>
      </c>
      <c r="CX119" s="74">
        <f t="shared" si="160"/>
        <v>1.1007879884996272</v>
      </c>
      <c r="CY119" s="74"/>
      <c r="CZ119" s="74"/>
    </row>
    <row r="120" spans="1:104" ht="36">
      <c r="A120" s="149">
        <v>15060306</v>
      </c>
      <c r="B120" s="49" t="s">
        <v>64</v>
      </c>
      <c r="C120" s="49" t="s">
        <v>43</v>
      </c>
      <c r="D120" s="49" t="s">
        <v>161</v>
      </c>
      <c r="E120" s="49" t="s">
        <v>164</v>
      </c>
      <c r="F120" s="73">
        <v>9042100</v>
      </c>
      <c r="G120" s="73">
        <v>0</v>
      </c>
      <c r="H120" s="73">
        <v>45</v>
      </c>
      <c r="I120" s="73">
        <v>0</v>
      </c>
      <c r="J120" s="73">
        <v>0</v>
      </c>
      <c r="K120" s="73">
        <v>0</v>
      </c>
      <c r="L120" s="73">
        <v>0</v>
      </c>
      <c r="M120" s="73">
        <v>0</v>
      </c>
      <c r="N120" s="73">
        <v>3.5</v>
      </c>
      <c r="O120" s="73">
        <v>3.6</v>
      </c>
      <c r="P120" s="73">
        <v>3</v>
      </c>
      <c r="Q120" s="73">
        <v>3</v>
      </c>
      <c r="R120" s="2">
        <v>0</v>
      </c>
      <c r="S120" s="2">
        <v>660000</v>
      </c>
      <c r="T120" s="2">
        <v>1030000</v>
      </c>
      <c r="U120" s="2">
        <v>0</v>
      </c>
      <c r="V120" s="2">
        <v>0</v>
      </c>
      <c r="W120" s="2">
        <v>0</v>
      </c>
      <c r="X120" s="2">
        <v>0</v>
      </c>
      <c r="Y120" s="2">
        <v>0</v>
      </c>
      <c r="Z120" s="2">
        <v>0</v>
      </c>
      <c r="AA120" s="2">
        <v>0</v>
      </c>
      <c r="AB120" s="2">
        <v>160000</v>
      </c>
      <c r="AC120" s="2">
        <v>505000</v>
      </c>
      <c r="AD120" s="2">
        <v>0</v>
      </c>
      <c r="AE120" s="2">
        <v>20000</v>
      </c>
      <c r="AF120" s="2">
        <v>25000</v>
      </c>
      <c r="AG120" s="2">
        <v>0</v>
      </c>
      <c r="AH120" s="2">
        <v>0</v>
      </c>
      <c r="AI120" s="2">
        <v>0</v>
      </c>
      <c r="AJ120" s="2">
        <v>0</v>
      </c>
      <c r="AK120" s="2">
        <v>0</v>
      </c>
      <c r="AL120" s="2">
        <v>0</v>
      </c>
      <c r="AM120" s="2">
        <v>0</v>
      </c>
      <c r="AN120" s="2">
        <v>0</v>
      </c>
      <c r="AO120" s="2">
        <v>0</v>
      </c>
      <c r="AP120" s="2">
        <v>1264886</v>
      </c>
      <c r="AQ120" s="2">
        <v>0</v>
      </c>
      <c r="AR120" s="2">
        <v>0</v>
      </c>
      <c r="AS120" s="2">
        <v>0</v>
      </c>
      <c r="AT120" s="2">
        <v>10000</v>
      </c>
      <c r="AU120" s="2">
        <v>20713</v>
      </c>
      <c r="AV120" s="2">
        <v>1264886</v>
      </c>
      <c r="AW120" s="50">
        <v>850000</v>
      </c>
      <c r="AX120" s="50">
        <v>1580713</v>
      </c>
      <c r="AY120" s="3"/>
      <c r="AZ120" s="48">
        <v>450000</v>
      </c>
      <c r="BA120" s="48"/>
      <c r="BB120" s="4">
        <f t="shared" si="164"/>
        <v>0.6818181818181818</v>
      </c>
      <c r="BC120" s="4">
        <f t="shared" si="165"/>
        <v>0</v>
      </c>
      <c r="BD120" s="5"/>
      <c r="BE120" s="5"/>
      <c r="BF120" s="6"/>
      <c r="BG120" s="7">
        <f t="shared" si="166"/>
        <v>480000</v>
      </c>
      <c r="BH120" s="7">
        <f t="shared" si="167"/>
        <v>45713</v>
      </c>
      <c r="BI120" s="8">
        <f t="shared" si="168"/>
        <v>0.37948083858940646</v>
      </c>
      <c r="BJ120" s="8">
        <f t="shared" si="169"/>
        <v>0.05378</v>
      </c>
      <c r="BK120" s="9">
        <f t="shared" si="170"/>
        <v>784886</v>
      </c>
      <c r="BL120" s="9">
        <f t="shared" si="171"/>
        <v>804287</v>
      </c>
      <c r="BM120" s="10">
        <f>BG120/AW120</f>
        <v>0.5647058823529412</v>
      </c>
      <c r="BN120" s="10">
        <f>BH120/AX120</f>
        <v>0.028919228221694893</v>
      </c>
      <c r="BO120" s="11">
        <f t="shared" si="172"/>
        <v>370000</v>
      </c>
      <c r="BP120" s="11">
        <f t="shared" si="172"/>
        <v>1535000</v>
      </c>
      <c r="BQ120" s="12">
        <f t="shared" si="173"/>
        <v>784886</v>
      </c>
      <c r="BR120" s="12">
        <f t="shared" si="174"/>
        <v>644287</v>
      </c>
      <c r="BT120" s="14">
        <f t="shared" si="175"/>
        <v>128571.42857142857</v>
      </c>
      <c r="BU120" s="14">
        <f t="shared" si="176"/>
        <v>125000</v>
      </c>
      <c r="BV120" s="15">
        <f t="shared" si="177"/>
        <v>150000</v>
      </c>
      <c r="BW120" s="244">
        <f t="shared" si="178"/>
        <v>150000</v>
      </c>
      <c r="BX120" s="223">
        <v>0.11</v>
      </c>
      <c r="BY120" s="74">
        <f t="shared" si="161"/>
        <v>37400</v>
      </c>
      <c r="BZ120" s="224"/>
      <c r="CA120" s="226">
        <v>37000</v>
      </c>
      <c r="CB120" s="225"/>
      <c r="CC120" s="198"/>
      <c r="CD120" s="199"/>
      <c r="CE120" s="198"/>
      <c r="CF120" s="198"/>
      <c r="CG120" s="198"/>
      <c r="CH120" s="200" t="s">
        <v>163</v>
      </c>
      <c r="CI120" s="265" t="s">
        <v>52</v>
      </c>
      <c r="CJ120" s="92">
        <f t="shared" si="179"/>
        <v>0.40873248656400657</v>
      </c>
      <c r="CK120" s="4">
        <f t="shared" si="180"/>
        <v>0.6082352941176471</v>
      </c>
      <c r="CL120" s="4"/>
      <c r="CM120" s="198">
        <f t="shared" si="151"/>
        <v>37000</v>
      </c>
      <c r="CN120" s="198"/>
      <c r="CO120" s="198">
        <f t="shared" si="152"/>
        <v>0</v>
      </c>
      <c r="CP120" s="198">
        <f>AZ120+CM120</f>
        <v>487000</v>
      </c>
      <c r="CQ120" s="201"/>
      <c r="CR120" s="74"/>
      <c r="CS120" s="74"/>
      <c r="CT120" s="74">
        <f t="shared" si="159"/>
        <v>637500</v>
      </c>
      <c r="CU120" s="202">
        <v>0.55</v>
      </c>
      <c r="CV120" s="74">
        <f t="shared" si="181"/>
        <v>350625</v>
      </c>
      <c r="CW120" s="74">
        <f t="shared" si="162"/>
        <v>495000</v>
      </c>
      <c r="CX120" s="74">
        <f t="shared" si="160"/>
        <v>0.6719973183354073</v>
      </c>
      <c r="CY120" s="74"/>
      <c r="CZ120" s="74"/>
    </row>
    <row r="121" spans="1:104" ht="24">
      <c r="A121" s="149">
        <v>26304856</v>
      </c>
      <c r="B121" s="49" t="s">
        <v>48</v>
      </c>
      <c r="C121" s="49" t="s">
        <v>43</v>
      </c>
      <c r="D121" s="49" t="s">
        <v>161</v>
      </c>
      <c r="E121" s="49" t="s">
        <v>165</v>
      </c>
      <c r="F121" s="73">
        <v>4101835</v>
      </c>
      <c r="G121" s="73">
        <v>0</v>
      </c>
      <c r="H121" s="73">
        <v>120</v>
      </c>
      <c r="I121" s="73">
        <v>0</v>
      </c>
      <c r="J121" s="73">
        <v>0</v>
      </c>
      <c r="K121" s="73">
        <v>0</v>
      </c>
      <c r="L121" s="73">
        <v>0</v>
      </c>
      <c r="M121" s="73">
        <v>0</v>
      </c>
      <c r="N121" s="73">
        <v>1.4</v>
      </c>
      <c r="O121" s="73">
        <v>2.6</v>
      </c>
      <c r="P121" s="73">
        <v>1</v>
      </c>
      <c r="Q121" s="73">
        <v>2</v>
      </c>
      <c r="R121" s="2">
        <v>443000</v>
      </c>
      <c r="S121" s="2">
        <v>138000</v>
      </c>
      <c r="T121" s="2">
        <v>553210</v>
      </c>
      <c r="U121" s="2">
        <v>0</v>
      </c>
      <c r="V121" s="2">
        <v>0</v>
      </c>
      <c r="W121" s="2">
        <v>0</v>
      </c>
      <c r="X121" s="2">
        <v>266635</v>
      </c>
      <c r="Y121" s="2">
        <v>169000</v>
      </c>
      <c r="Z121" s="2">
        <v>15000</v>
      </c>
      <c r="AA121" s="2">
        <v>192602</v>
      </c>
      <c r="AB121" s="2">
        <v>24500</v>
      </c>
      <c r="AC121" s="2">
        <v>25000</v>
      </c>
      <c r="AD121" s="2">
        <v>22000</v>
      </c>
      <c r="AE121" s="2">
        <v>2000</v>
      </c>
      <c r="AF121" s="2">
        <v>0</v>
      </c>
      <c r="AG121" s="2">
        <v>0</v>
      </c>
      <c r="AH121" s="2">
        <v>0</v>
      </c>
      <c r="AI121" s="2">
        <v>0</v>
      </c>
      <c r="AJ121" s="2">
        <v>0</v>
      </c>
      <c r="AK121" s="2">
        <v>0</v>
      </c>
      <c r="AL121" s="2">
        <v>0</v>
      </c>
      <c r="AM121" s="2">
        <v>0</v>
      </c>
      <c r="AN121" s="2">
        <v>0</v>
      </c>
      <c r="AO121" s="2">
        <v>0</v>
      </c>
      <c r="AP121" s="2">
        <v>0</v>
      </c>
      <c r="AQ121" s="2">
        <v>0</v>
      </c>
      <c r="AR121" s="2">
        <v>0</v>
      </c>
      <c r="AS121" s="2">
        <v>449652</v>
      </c>
      <c r="AT121" s="2">
        <v>70000</v>
      </c>
      <c r="AU121" s="2">
        <v>197090</v>
      </c>
      <c r="AV121" s="2">
        <v>1373889</v>
      </c>
      <c r="AW121" s="50">
        <v>403500</v>
      </c>
      <c r="AX121" s="50">
        <v>790300</v>
      </c>
      <c r="AY121" s="3"/>
      <c r="AZ121" s="48">
        <v>138000</v>
      </c>
      <c r="BA121" s="48"/>
      <c r="BB121" s="4">
        <f t="shared" si="164"/>
        <v>1</v>
      </c>
      <c r="BC121" s="4">
        <f t="shared" si="165"/>
        <v>0</v>
      </c>
      <c r="BD121" s="5">
        <f aca="true" t="shared" si="185" ref="BD121:BE123">-1+AZ121/R121</f>
        <v>-0.6884875846501128</v>
      </c>
      <c r="BE121" s="5">
        <f t="shared" si="185"/>
        <v>-1</v>
      </c>
      <c r="BF121" s="6"/>
      <c r="BG121" s="7">
        <f t="shared" si="166"/>
        <v>379000</v>
      </c>
      <c r="BH121" s="7">
        <f t="shared" si="167"/>
        <v>212090</v>
      </c>
      <c r="BI121" s="8">
        <f t="shared" si="168"/>
        <v>0.27585925791676036</v>
      </c>
      <c r="BJ121" s="8">
        <f t="shared" si="169"/>
        <v>0.5256257744733581</v>
      </c>
      <c r="BK121" s="9">
        <f t="shared" si="170"/>
        <v>994889</v>
      </c>
      <c r="BL121" s="9">
        <f t="shared" si="171"/>
        <v>191410</v>
      </c>
      <c r="BM121" s="10">
        <f>BG121/AW121</f>
        <v>0.9392812887236679</v>
      </c>
      <c r="BN121" s="10">
        <f>BH121/AX121</f>
        <v>0.26836644312286473</v>
      </c>
      <c r="BO121" s="11">
        <f t="shared" si="172"/>
        <v>24500</v>
      </c>
      <c r="BP121" s="11">
        <f t="shared" si="172"/>
        <v>578210</v>
      </c>
      <c r="BQ121" s="12">
        <f t="shared" si="173"/>
        <v>802287</v>
      </c>
      <c r="BR121" s="12">
        <f t="shared" si="174"/>
        <v>166910</v>
      </c>
      <c r="BT121" s="14">
        <f t="shared" si="175"/>
        <v>98571.42857142858</v>
      </c>
      <c r="BU121" s="14">
        <f t="shared" si="176"/>
        <v>53076.92307692308</v>
      </c>
      <c r="BV121" s="15">
        <f t="shared" si="177"/>
        <v>138000</v>
      </c>
      <c r="BW121" s="244">
        <f t="shared" si="178"/>
        <v>69000</v>
      </c>
      <c r="BX121" s="223">
        <v>0.11</v>
      </c>
      <c r="BY121" s="74">
        <f t="shared" si="161"/>
        <v>17754</v>
      </c>
      <c r="BZ121" s="224"/>
      <c r="CA121" s="226">
        <v>18000</v>
      </c>
      <c r="CB121" s="225"/>
      <c r="CC121" s="198"/>
      <c r="CD121" s="199"/>
      <c r="CE121" s="198"/>
      <c r="CF121" s="198"/>
      <c r="CG121" s="198"/>
      <c r="CH121" s="200" t="s">
        <v>163</v>
      </c>
      <c r="CI121" s="265" t="s">
        <v>50</v>
      </c>
      <c r="CJ121" s="92">
        <f t="shared" si="179"/>
        <v>0.2889607530157094</v>
      </c>
      <c r="CK121" s="4">
        <f t="shared" si="180"/>
        <v>0.9838909541511772</v>
      </c>
      <c r="CL121" s="4"/>
      <c r="CM121" s="198">
        <f t="shared" si="151"/>
        <v>18000</v>
      </c>
      <c r="CN121" s="198"/>
      <c r="CO121" s="198">
        <f t="shared" si="152"/>
        <v>635602</v>
      </c>
      <c r="CP121" s="198">
        <f>AZ121+CM121</f>
        <v>156000</v>
      </c>
      <c r="CQ121" s="201">
        <f>-1+CP121/CO121</f>
        <v>-0.754563390297702</v>
      </c>
      <c r="CR121" s="74"/>
      <c r="CS121" s="74"/>
      <c r="CT121" s="74">
        <f t="shared" si="159"/>
        <v>302625</v>
      </c>
      <c r="CU121" s="202">
        <v>0.55</v>
      </c>
      <c r="CV121" s="74">
        <f t="shared" si="181"/>
        <v>166443.75</v>
      </c>
      <c r="CW121" s="74">
        <f t="shared" si="162"/>
        <v>103500</v>
      </c>
      <c r="CX121" s="74">
        <f t="shared" si="160"/>
        <v>0.2936918484681077</v>
      </c>
      <c r="CY121" s="74"/>
      <c r="CZ121" s="74"/>
    </row>
    <row r="122" spans="1:104" ht="48">
      <c r="A122" s="149">
        <v>65761979</v>
      </c>
      <c r="B122" s="49" t="s">
        <v>53</v>
      </c>
      <c r="C122" s="49" t="s">
        <v>43</v>
      </c>
      <c r="D122" s="49" t="s">
        <v>161</v>
      </c>
      <c r="E122" s="248" t="s">
        <v>165</v>
      </c>
      <c r="F122" s="73">
        <v>3107113</v>
      </c>
      <c r="G122" s="73">
        <v>0</v>
      </c>
      <c r="H122" s="73">
        <v>180</v>
      </c>
      <c r="I122" s="73"/>
      <c r="J122" s="73"/>
      <c r="K122" s="73"/>
      <c r="L122" s="73"/>
      <c r="M122" s="73"/>
      <c r="N122" s="73"/>
      <c r="O122" s="73">
        <v>2.7</v>
      </c>
      <c r="P122" s="73"/>
      <c r="Q122" s="73">
        <v>1.9</v>
      </c>
      <c r="R122" s="2">
        <v>0</v>
      </c>
      <c r="S122" s="2">
        <v>0</v>
      </c>
      <c r="T122" s="2">
        <v>960000</v>
      </c>
      <c r="U122" s="2">
        <v>0</v>
      </c>
      <c r="V122" s="2">
        <v>0</v>
      </c>
      <c r="W122" s="2">
        <v>0</v>
      </c>
      <c r="X122" s="2">
        <v>0</v>
      </c>
      <c r="Y122" s="2">
        <v>0</v>
      </c>
      <c r="Z122" s="2">
        <v>0</v>
      </c>
      <c r="AA122" s="2">
        <v>0</v>
      </c>
      <c r="AB122" s="2">
        <v>0</v>
      </c>
      <c r="AC122" s="2">
        <v>250000</v>
      </c>
      <c r="AD122" s="2">
        <v>0</v>
      </c>
      <c r="AE122" s="2">
        <v>0</v>
      </c>
      <c r="AF122" s="2">
        <v>117000</v>
      </c>
      <c r="AG122" s="2">
        <v>0</v>
      </c>
      <c r="AH122" s="2">
        <v>0</v>
      </c>
      <c r="AI122" s="2">
        <v>0</v>
      </c>
      <c r="AJ122" s="2">
        <v>0</v>
      </c>
      <c r="AK122" s="2">
        <v>0</v>
      </c>
      <c r="AL122" s="2">
        <v>0</v>
      </c>
      <c r="AM122" s="2">
        <v>0</v>
      </c>
      <c r="AN122" s="2">
        <v>0</v>
      </c>
      <c r="AO122" s="2">
        <v>0</v>
      </c>
      <c r="AP122" s="2">
        <v>0</v>
      </c>
      <c r="AQ122" s="2">
        <v>0</v>
      </c>
      <c r="AR122" s="2">
        <v>0</v>
      </c>
      <c r="AS122" s="2">
        <v>0</v>
      </c>
      <c r="AT122" s="2">
        <v>0</v>
      </c>
      <c r="AU122" s="2">
        <v>348499</v>
      </c>
      <c r="AV122" s="2">
        <v>0</v>
      </c>
      <c r="AW122" s="50">
        <v>0</v>
      </c>
      <c r="AX122" s="50">
        <v>1675499</v>
      </c>
      <c r="AY122" s="3"/>
      <c r="AZ122" s="48"/>
      <c r="BA122" s="48"/>
      <c r="BB122" s="4"/>
      <c r="BC122" s="4"/>
      <c r="BD122" s="5"/>
      <c r="BE122" s="5"/>
      <c r="BF122" s="6"/>
      <c r="BG122" s="7"/>
      <c r="BH122" s="7"/>
      <c r="BI122" s="8"/>
      <c r="BJ122" s="8"/>
      <c r="BK122" s="9"/>
      <c r="BL122" s="9"/>
      <c r="BM122" s="10"/>
      <c r="BN122" s="10"/>
      <c r="BO122" s="11"/>
      <c r="BP122" s="11"/>
      <c r="BQ122" s="12"/>
      <c r="BR122" s="12"/>
      <c r="BT122" s="14"/>
      <c r="BU122" s="14"/>
      <c r="BV122" s="15"/>
      <c r="BW122" s="244"/>
      <c r="BX122" s="223">
        <v>0.11</v>
      </c>
      <c r="BY122" s="74">
        <f>AX122*BX122*0.4</f>
        <v>73721.956</v>
      </c>
      <c r="BZ122" s="224"/>
      <c r="CA122" s="226">
        <v>74000</v>
      </c>
      <c r="CB122" s="225"/>
      <c r="CC122" s="198"/>
      <c r="CD122" s="199"/>
      <c r="CE122" s="198"/>
      <c r="CF122" s="198"/>
      <c r="CG122" s="198"/>
      <c r="CH122" s="200" t="s">
        <v>163</v>
      </c>
      <c r="CI122" s="265" t="s">
        <v>52</v>
      </c>
      <c r="CJ122" s="92"/>
      <c r="CK122" s="4"/>
      <c r="CL122" s="4"/>
      <c r="CM122" s="198"/>
      <c r="CN122" s="198"/>
      <c r="CO122" s="198">
        <f t="shared" si="152"/>
        <v>0</v>
      </c>
      <c r="CP122" s="198"/>
      <c r="CQ122" s="201"/>
      <c r="CR122" s="74"/>
      <c r="CS122" s="74"/>
      <c r="CT122" s="74">
        <f t="shared" si="159"/>
        <v>0</v>
      </c>
      <c r="CU122" s="202">
        <v>0.55</v>
      </c>
      <c r="CV122" s="74">
        <f t="shared" si="181"/>
        <v>0</v>
      </c>
      <c r="CW122" s="74">
        <f t="shared" si="162"/>
        <v>0</v>
      </c>
      <c r="CX122" s="74" t="e">
        <f t="shared" si="160"/>
        <v>#DIV/0!</v>
      </c>
      <c r="CY122" s="74"/>
      <c r="CZ122" s="74"/>
    </row>
    <row r="123" spans="1:104" ht="24.75" thickBot="1">
      <c r="A123" s="245">
        <v>44990260</v>
      </c>
      <c r="B123" s="246" t="s">
        <v>71</v>
      </c>
      <c r="C123" s="246" t="s">
        <v>43</v>
      </c>
      <c r="D123" s="246" t="s">
        <v>161</v>
      </c>
      <c r="E123" s="246" t="s">
        <v>166</v>
      </c>
      <c r="F123" s="76">
        <v>7849206</v>
      </c>
      <c r="G123" s="76">
        <v>0</v>
      </c>
      <c r="H123" s="76">
        <v>20</v>
      </c>
      <c r="I123" s="76">
        <v>0</v>
      </c>
      <c r="J123" s="76">
        <v>0</v>
      </c>
      <c r="K123" s="76">
        <v>0</v>
      </c>
      <c r="L123" s="76">
        <v>0</v>
      </c>
      <c r="M123" s="76">
        <v>0</v>
      </c>
      <c r="N123" s="76">
        <v>4</v>
      </c>
      <c r="O123" s="76">
        <v>4</v>
      </c>
      <c r="P123" s="76">
        <v>3</v>
      </c>
      <c r="Q123" s="76">
        <v>3</v>
      </c>
      <c r="R123" s="17">
        <v>330000</v>
      </c>
      <c r="S123" s="17">
        <v>500000</v>
      </c>
      <c r="T123" s="17">
        <v>900000</v>
      </c>
      <c r="U123" s="17">
        <v>0</v>
      </c>
      <c r="V123" s="17">
        <v>0</v>
      </c>
      <c r="W123" s="17">
        <v>0</v>
      </c>
      <c r="X123" s="17">
        <v>0</v>
      </c>
      <c r="Y123" s="17">
        <v>0</v>
      </c>
      <c r="Z123" s="17">
        <v>220000</v>
      </c>
      <c r="AA123" s="17">
        <v>172584</v>
      </c>
      <c r="AB123" s="17">
        <v>172500</v>
      </c>
      <c r="AC123" s="17">
        <v>300000</v>
      </c>
      <c r="AD123" s="17">
        <v>175000</v>
      </c>
      <c r="AE123" s="17">
        <v>150000</v>
      </c>
      <c r="AF123" s="17">
        <v>180000</v>
      </c>
      <c r="AG123" s="17">
        <v>0</v>
      </c>
      <c r="AH123" s="17">
        <v>0</v>
      </c>
      <c r="AI123" s="17">
        <v>0</v>
      </c>
      <c r="AJ123" s="17">
        <v>97544</v>
      </c>
      <c r="AK123" s="17">
        <v>182000</v>
      </c>
      <c r="AL123" s="17">
        <v>0</v>
      </c>
      <c r="AM123" s="111">
        <v>0</v>
      </c>
      <c r="AN123" s="17">
        <v>0</v>
      </c>
      <c r="AO123" s="17">
        <v>0</v>
      </c>
      <c r="AP123" s="111">
        <v>0</v>
      </c>
      <c r="AQ123" s="111">
        <v>0</v>
      </c>
      <c r="AR123" s="111">
        <v>0</v>
      </c>
      <c r="AS123" s="17">
        <v>352234</v>
      </c>
      <c r="AT123" s="17">
        <v>495500</v>
      </c>
      <c r="AU123" s="17">
        <v>400000</v>
      </c>
      <c r="AV123" s="17">
        <v>1127362</v>
      </c>
      <c r="AW123" s="54">
        <v>1500000</v>
      </c>
      <c r="AX123" s="54">
        <v>2000000</v>
      </c>
      <c r="AY123" s="3"/>
      <c r="AZ123" s="48">
        <v>500000</v>
      </c>
      <c r="BA123" s="48"/>
      <c r="BB123" s="4">
        <f t="shared" si="164"/>
        <v>1</v>
      </c>
      <c r="BC123" s="4">
        <f t="shared" si="165"/>
        <v>0</v>
      </c>
      <c r="BD123" s="5">
        <f t="shared" si="185"/>
        <v>0.5151515151515151</v>
      </c>
      <c r="BE123" s="5">
        <f t="shared" si="185"/>
        <v>-1</v>
      </c>
      <c r="BF123" s="6"/>
      <c r="BG123" s="7">
        <f t="shared" si="166"/>
        <v>1327500</v>
      </c>
      <c r="BH123" s="7">
        <f t="shared" si="167"/>
        <v>800000</v>
      </c>
      <c r="BI123" s="8">
        <f t="shared" si="168"/>
        <v>1.177527715143849</v>
      </c>
      <c r="BJ123" s="8">
        <f t="shared" si="169"/>
        <v>0.5333333333333333</v>
      </c>
      <c r="BK123" s="9">
        <f t="shared" si="170"/>
        <v>0</v>
      </c>
      <c r="BL123" s="9">
        <f t="shared" si="171"/>
        <v>700000</v>
      </c>
      <c r="BM123" s="10">
        <f>BG123/AW123</f>
        <v>0.885</v>
      </c>
      <c r="BN123" s="10">
        <f>BH123/AX123</f>
        <v>0.4</v>
      </c>
      <c r="BO123" s="11">
        <f t="shared" si="172"/>
        <v>172500</v>
      </c>
      <c r="BP123" s="11">
        <f t="shared" si="172"/>
        <v>1200000</v>
      </c>
      <c r="BQ123" s="12">
        <f t="shared" si="173"/>
        <v>0</v>
      </c>
      <c r="BR123" s="12">
        <f t="shared" si="174"/>
        <v>527500</v>
      </c>
      <c r="BT123" s="14">
        <f t="shared" si="175"/>
        <v>125000</v>
      </c>
      <c r="BU123" s="14">
        <f t="shared" si="176"/>
        <v>125000</v>
      </c>
      <c r="BV123" s="15">
        <f t="shared" si="177"/>
        <v>166666.66666666666</v>
      </c>
      <c r="BW123" s="244">
        <f t="shared" si="178"/>
        <v>166666.66666666666</v>
      </c>
      <c r="BX123" s="209">
        <v>0.11</v>
      </c>
      <c r="BY123" s="121">
        <f t="shared" si="161"/>
        <v>66000</v>
      </c>
      <c r="BZ123" s="216"/>
      <c r="CA123" s="219">
        <v>66000</v>
      </c>
      <c r="CB123" s="218"/>
      <c r="CC123" s="210"/>
      <c r="CD123" s="211"/>
      <c r="CE123" s="210"/>
      <c r="CF123" s="210"/>
      <c r="CG123" s="210"/>
      <c r="CH123" s="212" t="s">
        <v>163</v>
      </c>
      <c r="CI123" s="266" t="s">
        <v>47</v>
      </c>
      <c r="CJ123" s="92">
        <f t="shared" si="179"/>
        <v>1.2360714659532608</v>
      </c>
      <c r="CK123" s="4">
        <f t="shared" si="180"/>
        <v>0.929</v>
      </c>
      <c r="CL123" s="4"/>
      <c r="CM123" s="198">
        <f t="shared" si="151"/>
        <v>66000</v>
      </c>
      <c r="CN123" s="198"/>
      <c r="CO123" s="198">
        <f t="shared" si="152"/>
        <v>502584</v>
      </c>
      <c r="CP123" s="198">
        <f>AZ123+CM123</f>
        <v>566000</v>
      </c>
      <c r="CQ123" s="201">
        <f>-1+CP123/CO123</f>
        <v>0.126179902265094</v>
      </c>
      <c r="CR123" s="74"/>
      <c r="CS123" s="74"/>
      <c r="CT123" s="74">
        <f t="shared" si="159"/>
        <v>1125000</v>
      </c>
      <c r="CU123" s="202">
        <v>0.55</v>
      </c>
      <c r="CV123" s="74">
        <f t="shared" si="181"/>
        <v>618750</v>
      </c>
      <c r="CW123" s="74">
        <f t="shared" si="162"/>
        <v>375000</v>
      </c>
      <c r="CX123" s="74">
        <f t="shared" si="160"/>
        <v>1.3305397911229933</v>
      </c>
      <c r="CY123" s="74"/>
      <c r="CZ123" s="74"/>
    </row>
    <row r="124" spans="1:104" ht="7.5" customHeight="1" thickBot="1">
      <c r="A124" s="150"/>
      <c r="B124" s="86"/>
      <c r="C124" s="86"/>
      <c r="D124" s="86"/>
      <c r="E124" s="86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34"/>
      <c r="BC124" s="34"/>
      <c r="BD124" s="34"/>
      <c r="BE124" s="34"/>
      <c r="BF124" s="34"/>
      <c r="BI124" s="6"/>
      <c r="BJ124" s="6"/>
      <c r="BK124" s="87"/>
      <c r="BL124" s="87"/>
      <c r="BM124" s="38"/>
      <c r="BN124" s="38"/>
      <c r="BQ124" s="87"/>
      <c r="BR124" s="87"/>
      <c r="BT124" s="43"/>
      <c r="BU124" s="43"/>
      <c r="BV124" s="43"/>
      <c r="BW124" s="43"/>
      <c r="BX124" s="13"/>
      <c r="BY124" s="13">
        <f t="shared" si="161"/>
        <v>0</v>
      </c>
      <c r="BZ124" s="13"/>
      <c r="CJ124" s="6"/>
      <c r="CK124" s="6"/>
      <c r="CL124" s="6"/>
      <c r="CR124" s="37"/>
      <c r="CS124" s="37"/>
      <c r="CT124" s="37">
        <f t="shared" si="159"/>
        <v>0</v>
      </c>
      <c r="CU124" s="189"/>
      <c r="CV124" s="37"/>
      <c r="CW124" s="37"/>
      <c r="CX124" s="37"/>
      <c r="CY124" s="37"/>
      <c r="CZ124" s="37"/>
    </row>
    <row r="125" spans="1:104" ht="7.5" customHeight="1" thickBot="1">
      <c r="A125" s="120"/>
      <c r="B125" s="120"/>
      <c r="C125" s="120"/>
      <c r="D125" s="120"/>
      <c r="E125" s="120"/>
      <c r="F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4"/>
      <c r="BC125" s="34"/>
      <c r="BD125" s="34"/>
      <c r="BE125" s="34"/>
      <c r="BF125" s="34"/>
      <c r="BI125" s="6"/>
      <c r="BJ125" s="6"/>
      <c r="BK125" s="87"/>
      <c r="BL125" s="87"/>
      <c r="BM125" s="38"/>
      <c r="BN125" s="38"/>
      <c r="BQ125" s="87"/>
      <c r="BR125" s="87"/>
      <c r="BT125" s="43"/>
      <c r="BU125" s="43"/>
      <c r="BV125" s="43"/>
      <c r="BW125" s="43"/>
      <c r="BX125" s="13"/>
      <c r="BY125" s="13">
        <f t="shared" si="161"/>
        <v>0</v>
      </c>
      <c r="BZ125" s="13"/>
      <c r="CJ125" s="6"/>
      <c r="CK125" s="6"/>
      <c r="CL125" s="6"/>
      <c r="CR125" s="37"/>
      <c r="CS125" s="37"/>
      <c r="CT125" s="37">
        <f t="shared" si="159"/>
        <v>0</v>
      </c>
      <c r="CU125" s="189"/>
      <c r="CV125" s="37"/>
      <c r="CW125" s="37">
        <f t="shared" si="162"/>
        <v>0</v>
      </c>
      <c r="CX125" s="37"/>
      <c r="CY125" s="37"/>
      <c r="CZ125" s="37"/>
    </row>
    <row r="126" spans="1:106" ht="48">
      <c r="A126" s="241">
        <v>65761758</v>
      </c>
      <c r="B126" s="242" t="s">
        <v>169</v>
      </c>
      <c r="C126" s="242" t="s">
        <v>43</v>
      </c>
      <c r="D126" s="242" t="s">
        <v>170</v>
      </c>
      <c r="E126" s="242" t="s">
        <v>171</v>
      </c>
      <c r="F126" s="67">
        <v>1698460</v>
      </c>
      <c r="G126" s="67">
        <v>12</v>
      </c>
      <c r="H126" s="67">
        <v>18</v>
      </c>
      <c r="I126" s="67">
        <v>0</v>
      </c>
      <c r="J126" s="67">
        <v>0</v>
      </c>
      <c r="K126" s="67">
        <v>0</v>
      </c>
      <c r="L126" s="67">
        <v>0</v>
      </c>
      <c r="M126" s="67">
        <v>0</v>
      </c>
      <c r="N126" s="67">
        <v>7</v>
      </c>
      <c r="O126" s="67">
        <v>5.4</v>
      </c>
      <c r="P126" s="67">
        <v>5.4</v>
      </c>
      <c r="Q126" s="67">
        <v>3.8</v>
      </c>
      <c r="R126" s="19">
        <v>1330000</v>
      </c>
      <c r="S126" s="19">
        <v>1483000</v>
      </c>
      <c r="T126" s="19">
        <v>1991300</v>
      </c>
      <c r="U126" s="19">
        <v>447000</v>
      </c>
      <c r="V126" s="19">
        <v>410000</v>
      </c>
      <c r="W126" s="19">
        <v>510000</v>
      </c>
      <c r="X126" s="19">
        <v>91164</v>
      </c>
      <c r="Y126" s="19">
        <v>0</v>
      </c>
      <c r="Z126" s="19">
        <v>30000</v>
      </c>
      <c r="AA126" s="19">
        <v>510259</v>
      </c>
      <c r="AB126" s="19">
        <v>357181</v>
      </c>
      <c r="AC126" s="19">
        <v>400000</v>
      </c>
      <c r="AD126" s="19">
        <v>0</v>
      </c>
      <c r="AE126" s="19">
        <v>0</v>
      </c>
      <c r="AF126" s="19">
        <v>0</v>
      </c>
      <c r="AG126" s="19">
        <v>0</v>
      </c>
      <c r="AH126" s="19">
        <v>0</v>
      </c>
      <c r="AI126" s="19">
        <v>0</v>
      </c>
      <c r="AJ126" s="19">
        <v>136678</v>
      </c>
      <c r="AK126" s="19">
        <v>160450</v>
      </c>
      <c r="AL126" s="19">
        <v>170000</v>
      </c>
      <c r="AM126" s="19">
        <v>0</v>
      </c>
      <c r="AN126" s="19">
        <v>0</v>
      </c>
      <c r="AO126" s="19">
        <v>0</v>
      </c>
      <c r="AP126" s="19">
        <v>0</v>
      </c>
      <c r="AQ126" s="19">
        <v>0</v>
      </c>
      <c r="AR126" s="19">
        <v>0</v>
      </c>
      <c r="AS126" s="19">
        <v>800929</v>
      </c>
      <c r="AT126" s="19">
        <v>1080200</v>
      </c>
      <c r="AU126" s="19">
        <v>1095261</v>
      </c>
      <c r="AV126" s="19">
        <v>3316030</v>
      </c>
      <c r="AW126" s="51">
        <v>3490831</v>
      </c>
      <c r="AX126" s="51">
        <v>4196561</v>
      </c>
      <c r="AY126" s="128"/>
      <c r="AZ126" s="129">
        <v>1330000</v>
      </c>
      <c r="BA126" s="129"/>
      <c r="BB126" s="53">
        <f>AZ126/S126</f>
        <v>0.8968307484828051</v>
      </c>
      <c r="BC126" s="53">
        <f>BA126/T126</f>
        <v>0</v>
      </c>
      <c r="BD126" s="46">
        <f>-1+AZ126/R126</f>
        <v>0</v>
      </c>
      <c r="BE126" s="46">
        <f>-1+BA126/S126</f>
        <v>-1</v>
      </c>
      <c r="BF126" s="10"/>
      <c r="BG126" s="70">
        <f>V126+Y126+AE126+AH126+AK126+AN126+AQ126+AT126+AZ126</f>
        <v>2980650</v>
      </c>
      <c r="BH126" s="70">
        <f>W126+Z126+AF126+AI126+AL126+AO126+AR126+AU126+BA126</f>
        <v>1805261</v>
      </c>
      <c r="BI126" s="44">
        <f>BG126/(R126+U126+X126+AA126+AD126+AG126+AJ126+AM126+AP126+AS126)</f>
        <v>0.8988609873855182</v>
      </c>
      <c r="BJ126" s="44">
        <f>BH126/(S126+V126+Y126+AB126+AE126+AH126+AK126+AN126+AQ126+AT126)</f>
        <v>0.517143625686835</v>
      </c>
      <c r="BK126" s="70">
        <f>IF(BI126&gt;=100%,0,(R126+U126+X126+AA126+AD126+AG126+AJ126+AM126+AP126+AS126)-(V126+Y126+AE126+AH126+AK126+AN126+AQ126+AT126+AZ126))</f>
        <v>335380</v>
      </c>
      <c r="BL126" s="70">
        <f>IF(BJ126&gt;=100%,0,(S126+V126+Y126+AB126+AE126+AH126+AK126+AN126+AQ126+AT126)-(W126+Z126+AF126+AI126+AL126+AO126+AR126+AU126+BA126))</f>
        <v>1685570</v>
      </c>
      <c r="BM126" s="36">
        <f>BG126/AW126</f>
        <v>0.853851131721931</v>
      </c>
      <c r="BN126" s="36">
        <f>BH126/AX126</f>
        <v>0.4301762800540728</v>
      </c>
      <c r="BO126" s="71">
        <f>IF(BG126&lt;AW126,AW126-BG126,0)</f>
        <v>510181</v>
      </c>
      <c r="BP126" s="71">
        <f>IF(BH126&lt;AX126,AX126-BH126,0)</f>
        <v>2391300</v>
      </c>
      <c r="BQ126" s="70">
        <f>IF(AA126&gt;BK126,0,BK126-AA126)</f>
        <v>0</v>
      </c>
      <c r="BR126" s="70">
        <f>IF(AB126&gt;BL126,0,BL126-AB126)</f>
        <v>1328389</v>
      </c>
      <c r="BS126" s="130"/>
      <c r="BT126" s="41">
        <f aca="true" t="shared" si="186" ref="BT126:BW127">$AZ126/N126</f>
        <v>190000</v>
      </c>
      <c r="BU126" s="41">
        <f t="shared" si="186"/>
        <v>246296.2962962963</v>
      </c>
      <c r="BV126" s="72">
        <f t="shared" si="186"/>
        <v>246296.2962962963</v>
      </c>
      <c r="BW126" s="243">
        <f t="shared" si="186"/>
        <v>350000</v>
      </c>
      <c r="BX126" s="203">
        <v>0.099</v>
      </c>
      <c r="BY126" s="114">
        <f t="shared" si="161"/>
        <v>138236.9076</v>
      </c>
      <c r="BZ126" s="215"/>
      <c r="CA126" s="195">
        <v>138000</v>
      </c>
      <c r="CB126" s="217"/>
      <c r="CC126" s="204"/>
      <c r="CD126" s="205"/>
      <c r="CE126" s="204"/>
      <c r="CF126" s="204"/>
      <c r="CG126" s="204"/>
      <c r="CH126" s="206" t="s">
        <v>91</v>
      </c>
      <c r="CI126" s="206" t="s">
        <v>52</v>
      </c>
      <c r="CJ126" s="53">
        <f>($CG126+$CA126+$AZ126+$AT126+$AQ126+$AN126+$AK126+$AH126+$AE126+$Y126+$V126)/$AV126</f>
        <v>0.9404770161910477</v>
      </c>
      <c r="CK126" s="53">
        <f>($CG126+$CA126+$AZ126+$AT126+$AQ126+$AN126+$AK126+$AH126+$AE126+$Y126+$V126)/$AW126</f>
        <v>0.8933832660475399</v>
      </c>
      <c r="CL126" s="53"/>
      <c r="CM126" s="204">
        <f t="shared" si="151"/>
        <v>138000</v>
      </c>
      <c r="CN126" s="204"/>
      <c r="CO126" s="204">
        <f t="shared" si="152"/>
        <v>1840259</v>
      </c>
      <c r="CP126" s="204">
        <f>AZ126+CM126</f>
        <v>1468000</v>
      </c>
      <c r="CQ126" s="207">
        <f>-1+CP126/CO126</f>
        <v>-0.2022861999316401</v>
      </c>
      <c r="CR126" s="114"/>
      <c r="CS126" s="114"/>
      <c r="CT126" s="114">
        <f t="shared" si="159"/>
        <v>2618123.25</v>
      </c>
      <c r="CU126" s="208">
        <v>0.24</v>
      </c>
      <c r="CV126" s="114">
        <f>IF(CT126*CU126&lt;T126,CT126*CU126,T126)</f>
        <v>628349.58</v>
      </c>
      <c r="CW126" s="114">
        <f t="shared" si="162"/>
        <v>1112250</v>
      </c>
      <c r="CX126" s="114">
        <f t="shared" si="160"/>
        <v>1.0527139380524302</v>
      </c>
      <c r="CY126" s="114"/>
      <c r="CZ126" s="114"/>
      <c r="DB126" s="13">
        <v>0</v>
      </c>
    </row>
    <row r="127" spans="1:104" ht="24.75" thickBot="1">
      <c r="A127" s="151">
        <v>43379729</v>
      </c>
      <c r="B127" s="107" t="s">
        <v>87</v>
      </c>
      <c r="C127" s="107" t="s">
        <v>43</v>
      </c>
      <c r="D127" s="107" t="s">
        <v>170</v>
      </c>
      <c r="E127" s="107" t="s">
        <v>230</v>
      </c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  <c r="Q127" s="94"/>
      <c r="R127" s="33">
        <v>1420000</v>
      </c>
      <c r="S127" s="33">
        <v>1655000</v>
      </c>
      <c r="T127" s="33"/>
      <c r="U127" s="33">
        <v>1902000</v>
      </c>
      <c r="V127" s="33">
        <v>1800000</v>
      </c>
      <c r="W127" s="33"/>
      <c r="X127" s="33"/>
      <c r="Y127" s="33"/>
      <c r="Z127" s="33"/>
      <c r="AA127" s="33">
        <v>494904</v>
      </c>
      <c r="AB127" s="33">
        <v>494904</v>
      </c>
      <c r="AC127" s="33"/>
      <c r="AD127" s="33"/>
      <c r="AE127" s="33"/>
      <c r="AF127" s="33"/>
      <c r="AG127" s="33"/>
      <c r="AH127" s="33"/>
      <c r="AI127" s="33"/>
      <c r="AJ127" s="33">
        <v>320092</v>
      </c>
      <c r="AK127" s="33"/>
      <c r="AL127" s="33"/>
      <c r="AM127" s="33"/>
      <c r="AN127" s="33"/>
      <c r="AO127" s="33"/>
      <c r="AP127" s="33">
        <v>1411181</v>
      </c>
      <c r="AQ127" s="33"/>
      <c r="AR127" s="33"/>
      <c r="AS127" s="33">
        <v>1925058</v>
      </c>
      <c r="AT127" s="33"/>
      <c r="AU127" s="33"/>
      <c r="AV127" s="33">
        <v>7473235</v>
      </c>
      <c r="AW127" s="96"/>
      <c r="AX127" s="96"/>
      <c r="AY127" s="22"/>
      <c r="AZ127" s="131">
        <v>1100000</v>
      </c>
      <c r="BA127" s="131"/>
      <c r="BB127" s="132">
        <f>AZ127/S127</f>
        <v>0.6646525679758308</v>
      </c>
      <c r="BC127" s="132" t="e">
        <f>BA127/T127</f>
        <v>#DIV/0!</v>
      </c>
      <c r="BD127" s="133">
        <f>-1+AZ127/R127</f>
        <v>-0.22535211267605637</v>
      </c>
      <c r="BE127" s="133">
        <f>-1+BA127/S127</f>
        <v>-1</v>
      </c>
      <c r="BF127" s="6"/>
      <c r="BG127" s="134">
        <f>V127+Y127+AE127+AH127+AK127+AN127+AQ127+AT127+AZ127</f>
        <v>2900000</v>
      </c>
      <c r="BH127" s="134">
        <f>W127+Z127+AF127+AI127+AL127+AO127+AR127+AU127+BA127</f>
        <v>0</v>
      </c>
      <c r="BI127" s="69">
        <f>BG127/(R127+U127+X127+AA127+AD127+AG127+AJ127+AM127+AP127+AS127)</f>
        <v>0.3880514930950251</v>
      </c>
      <c r="BJ127" s="69">
        <f>BH127/(S127+V127+Y127+AB127+AE127+AH127+AK127+AN127+AQ127+AT127)</f>
        <v>0</v>
      </c>
      <c r="BK127" s="9">
        <f>IF(BI127&gt;=100%,0,(R127+U127+X127+AA127+AD127+AG127+AJ127+AM127+AP127+AS127)-(V127+Y127+AE127+AH127+AK127+AN127+AQ127+AT127+AZ127))</f>
        <v>4573235</v>
      </c>
      <c r="BL127" s="9">
        <f>IF(BJ127&gt;=100%,0,(S127+V127+Y127+AB127+AE127+AH127+AK127+AN127+AQ127+AT127)-(W127+Z127+AF127+AI127+AL127+AO127+AR127+AU127+BA127))</f>
        <v>3949904</v>
      </c>
      <c r="BM127" s="135" t="e">
        <f>BG127/AW127</f>
        <v>#DIV/0!</v>
      </c>
      <c r="BN127" s="135" t="e">
        <f>BH127/AX127</f>
        <v>#DIV/0!</v>
      </c>
      <c r="BO127" s="136">
        <f>IF(BG127&lt;AW127,AW127-BG127,0)</f>
        <v>0</v>
      </c>
      <c r="BP127" s="136">
        <f>IF(BH127&lt;AX127,AX127-BH127,0)</f>
        <v>0</v>
      </c>
      <c r="BQ127" s="9">
        <f>IF(AA127&gt;BK127,0,BK127-AA127)</f>
        <v>4078331</v>
      </c>
      <c r="BR127" s="9">
        <f>IF(AB127&gt;BL127,0,BL127-AB127)</f>
        <v>3455000</v>
      </c>
      <c r="BT127" s="42" t="e">
        <f t="shared" si="186"/>
        <v>#DIV/0!</v>
      </c>
      <c r="BU127" s="42" t="e">
        <f t="shared" si="186"/>
        <v>#DIV/0!</v>
      </c>
      <c r="BV127" s="80" t="e">
        <f t="shared" si="186"/>
        <v>#DIV/0!</v>
      </c>
      <c r="BW127" s="247" t="e">
        <f t="shared" si="186"/>
        <v>#DIV/0!</v>
      </c>
      <c r="BX127" s="209">
        <v>0.099</v>
      </c>
      <c r="BY127" s="121">
        <f t="shared" si="161"/>
        <v>0</v>
      </c>
      <c r="BZ127" s="216"/>
      <c r="CA127" s="219">
        <v>200000</v>
      </c>
      <c r="CB127" s="218"/>
      <c r="CC127" s="210"/>
      <c r="CD127" s="211"/>
      <c r="CE127" s="210"/>
      <c r="CF127" s="210"/>
      <c r="CG127" s="210"/>
      <c r="CH127" s="212" t="s">
        <v>91</v>
      </c>
      <c r="CI127" s="212" t="s">
        <v>52</v>
      </c>
      <c r="CJ127" s="56">
        <f>($CG127+$CA127+$AZ127+$AT127+$AQ127+$AN127+$AK127+$AH127+$AE127+$Y127+$V127)/$AV127</f>
        <v>0.4148136650326131</v>
      </c>
      <c r="CK127" s="56" t="e">
        <f>($CG127+$CA127+$AZ127+$AT127+$AQ127+$AN127+$AK127+$AH127+$AE127+$Y127+$V127)/$AW127</f>
        <v>#DIV/0!</v>
      </c>
      <c r="CL127" s="56"/>
      <c r="CM127" s="210">
        <f t="shared" si="151"/>
        <v>200000</v>
      </c>
      <c r="CN127" s="210"/>
      <c r="CO127" s="210">
        <f t="shared" si="152"/>
        <v>1914904</v>
      </c>
      <c r="CP127" s="210">
        <f>AZ127+CM127</f>
        <v>1300000</v>
      </c>
      <c r="CQ127" s="213">
        <f>-1+CP127/CO127</f>
        <v>-0.32111479217757133</v>
      </c>
      <c r="CR127" s="121"/>
      <c r="CS127" s="121"/>
      <c r="CT127" s="121">
        <f t="shared" si="159"/>
        <v>0</v>
      </c>
      <c r="CU127" s="214"/>
      <c r="CV127" s="121">
        <f>IF(CT127*CU127&lt;T127,CT127*CU127,T127)</f>
        <v>0</v>
      </c>
      <c r="CW127" s="121">
        <f t="shared" si="162"/>
        <v>1241250</v>
      </c>
      <c r="CX127" s="121">
        <f t="shared" si="160"/>
        <v>0</v>
      </c>
      <c r="CY127" s="121"/>
      <c r="CZ127" s="121"/>
    </row>
    <row r="128" spans="1:104" ht="7.5" customHeight="1" thickBot="1">
      <c r="A128" s="186"/>
      <c r="B128" s="186"/>
      <c r="C128" s="186"/>
      <c r="D128" s="186"/>
      <c r="E128" s="186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81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4"/>
      <c r="BC128" s="34"/>
      <c r="BD128" s="34"/>
      <c r="BE128" s="34"/>
      <c r="BF128" s="34"/>
      <c r="BI128" s="6"/>
      <c r="BJ128" s="6"/>
      <c r="BK128" s="87"/>
      <c r="BL128" s="87"/>
      <c r="BM128" s="38"/>
      <c r="BN128" s="38"/>
      <c r="BQ128" s="87"/>
      <c r="BR128" s="87"/>
      <c r="BT128" s="43"/>
      <c r="BU128" s="43"/>
      <c r="BV128" s="43"/>
      <c r="BW128" s="43"/>
      <c r="BX128" s="13"/>
      <c r="BY128" s="13">
        <f t="shared" si="161"/>
        <v>0</v>
      </c>
      <c r="BZ128" s="13"/>
      <c r="CJ128" s="6"/>
      <c r="CK128" s="6"/>
      <c r="CL128" s="6"/>
      <c r="CR128" s="37"/>
      <c r="CS128" s="37"/>
      <c r="CT128" s="37">
        <f t="shared" si="159"/>
        <v>0</v>
      </c>
      <c r="CU128" s="189"/>
      <c r="CV128" s="37"/>
      <c r="CW128" s="37"/>
      <c r="CX128" s="37"/>
      <c r="CY128" s="37"/>
      <c r="CZ128" s="37"/>
    </row>
    <row r="129" spans="1:104" s="130" customFormat="1" ht="24">
      <c r="A129" s="251">
        <v>44990260</v>
      </c>
      <c r="B129" s="259" t="s">
        <v>71</v>
      </c>
      <c r="C129" s="259" t="s">
        <v>43</v>
      </c>
      <c r="D129" s="259" t="s">
        <v>173</v>
      </c>
      <c r="E129" s="252" t="s">
        <v>281</v>
      </c>
      <c r="F129" s="114">
        <v>3822427</v>
      </c>
      <c r="G129" s="67">
        <v>0</v>
      </c>
      <c r="H129" s="67">
        <v>85</v>
      </c>
      <c r="I129" s="67">
        <v>0</v>
      </c>
      <c r="J129" s="67">
        <v>0</v>
      </c>
      <c r="K129" s="67">
        <v>0</v>
      </c>
      <c r="L129" s="67">
        <v>0</v>
      </c>
      <c r="M129" s="67">
        <v>0</v>
      </c>
      <c r="N129" s="67">
        <v>0</v>
      </c>
      <c r="O129" s="67">
        <v>2.2</v>
      </c>
      <c r="P129" s="67">
        <v>0</v>
      </c>
      <c r="Q129" s="67">
        <v>1.9</v>
      </c>
      <c r="R129" s="19">
        <v>0</v>
      </c>
      <c r="S129" s="19">
        <v>0</v>
      </c>
      <c r="T129" s="19">
        <v>600000</v>
      </c>
      <c r="U129" s="19">
        <v>0</v>
      </c>
      <c r="V129" s="19">
        <v>0</v>
      </c>
      <c r="W129" s="19">
        <v>0</v>
      </c>
      <c r="X129" s="19">
        <v>0</v>
      </c>
      <c r="Y129" s="19">
        <v>0</v>
      </c>
      <c r="Z129" s="19">
        <v>0</v>
      </c>
      <c r="AA129" s="19">
        <v>0</v>
      </c>
      <c r="AB129" s="19">
        <v>0</v>
      </c>
      <c r="AC129" s="19">
        <v>75000</v>
      </c>
      <c r="AD129" s="19">
        <v>0</v>
      </c>
      <c r="AE129" s="19">
        <v>0</v>
      </c>
      <c r="AF129" s="19">
        <v>75000</v>
      </c>
      <c r="AG129" s="19">
        <v>0</v>
      </c>
      <c r="AH129" s="19">
        <v>0</v>
      </c>
      <c r="AI129" s="19">
        <v>0</v>
      </c>
      <c r="AJ129" s="19">
        <v>0</v>
      </c>
      <c r="AK129" s="19">
        <v>0</v>
      </c>
      <c r="AL129" s="19">
        <v>0</v>
      </c>
      <c r="AM129" s="19">
        <v>0</v>
      </c>
      <c r="AN129" s="19">
        <v>0</v>
      </c>
      <c r="AO129" s="19">
        <v>0</v>
      </c>
      <c r="AP129" s="19">
        <v>0</v>
      </c>
      <c r="AQ129" s="19">
        <v>0</v>
      </c>
      <c r="AR129" s="19">
        <v>0</v>
      </c>
      <c r="AS129" s="19">
        <v>0</v>
      </c>
      <c r="AT129" s="19">
        <v>0</v>
      </c>
      <c r="AU129" s="19">
        <v>2300</v>
      </c>
      <c r="AV129" s="19">
        <v>0</v>
      </c>
      <c r="AW129" s="51">
        <v>0</v>
      </c>
      <c r="AX129" s="51">
        <v>752300</v>
      </c>
      <c r="AY129" s="128"/>
      <c r="AZ129" s="129">
        <v>0</v>
      </c>
      <c r="BA129" s="129"/>
      <c r="BB129" s="53" t="e">
        <f>AZ129/S129</f>
        <v>#DIV/0!</v>
      </c>
      <c r="BC129" s="53">
        <f>BA129/T129</f>
        <v>0</v>
      </c>
      <c r="BD129" s="184"/>
      <c r="BE129" s="184"/>
      <c r="BF129" s="10"/>
      <c r="BG129" s="185">
        <f>V129+Y129+AE129+AH129+AK129+AN129+AQ129+AT129+AZ129</f>
        <v>0</v>
      </c>
      <c r="BH129" s="185">
        <f>W129+Z129+AF129+AI129+AL129+AO129+AR129+AU129+BA129</f>
        <v>77300</v>
      </c>
      <c r="BI129" s="44" t="e">
        <f>BG129/(R129+U129+X129+AA129+AD129+AG129+AJ129+AM129+AP129+AS129)</f>
        <v>#DIV/0!</v>
      </c>
      <c r="BJ129" s="44" t="e">
        <f>BH129/(S129+V129+Y129+AB129+AE129+AH129+AK129+AN129+AQ129+AT129)</f>
        <v>#DIV/0!</v>
      </c>
      <c r="BK129" s="70" t="e">
        <f>IF(BI129&gt;=100%,0,(R129+U129+X129+AA129+AD129+AG129+AJ129+AM129+AP129+AS129)-(V129+Y129+AE129+AH129+AK129+AN129+AQ129+AT129+AZ129))</f>
        <v>#DIV/0!</v>
      </c>
      <c r="BL129" s="70" t="e">
        <f>IF(BJ129&gt;=100%,0,(S129+V129+Y129+AB129+AE129+AH129+AK129+AN129+AQ129+AT129)-(W129+Z129+AF129+AI129+AL129+AO129+AR129+AU129+BA129))</f>
        <v>#DIV/0!</v>
      </c>
      <c r="BM129" s="106" t="e">
        <f>BG129/AW129</f>
        <v>#DIV/0!</v>
      </c>
      <c r="BN129" s="106">
        <f>BH129/AX129</f>
        <v>0.10275156187691081</v>
      </c>
      <c r="BO129" s="71">
        <f>IF(BG129&lt;AW129,AW129-BG129,0)</f>
        <v>0</v>
      </c>
      <c r="BP129" s="71">
        <f>IF(BH129&lt;AX129,AX129-BH129,0)</f>
        <v>675000</v>
      </c>
      <c r="BQ129" s="70" t="e">
        <f>IF(AA129&gt;BK129,0,BK129-AA129)</f>
        <v>#DIV/0!</v>
      </c>
      <c r="BR129" s="70" t="e">
        <f>IF(AB129&gt;BL129,0,BL129-AB129)</f>
        <v>#DIV/0!</v>
      </c>
      <c r="BT129" s="41" t="e">
        <f aca="true" t="shared" si="187" ref="BT129:BW130">$AZ129/N129</f>
        <v>#DIV/0!</v>
      </c>
      <c r="BU129" s="41">
        <f t="shared" si="187"/>
        <v>0</v>
      </c>
      <c r="BV129" s="72" t="e">
        <f t="shared" si="187"/>
        <v>#DIV/0!</v>
      </c>
      <c r="BW129" s="243">
        <f t="shared" si="187"/>
        <v>0</v>
      </c>
      <c r="BX129" s="203">
        <v>0.14</v>
      </c>
      <c r="BY129" s="114">
        <f>AX129*BX129*0.4</f>
        <v>42128.80000000001</v>
      </c>
      <c r="BZ129" s="215"/>
      <c r="CA129" s="195">
        <v>42000</v>
      </c>
      <c r="CB129" s="217"/>
      <c r="CC129" s="204"/>
      <c r="CD129" s="205"/>
      <c r="CE129" s="204"/>
      <c r="CF129" s="204"/>
      <c r="CG129" s="204"/>
      <c r="CH129" s="206" t="s">
        <v>175</v>
      </c>
      <c r="CI129" s="264" t="s">
        <v>47</v>
      </c>
      <c r="CJ129" s="106" t="e">
        <f>($CG129+$CA129+$AZ129+$AT129+$AQ129+$AN129+$AK129+$AH129+$AE129+$Y129+$V129)/$AV129</f>
        <v>#DIV/0!</v>
      </c>
      <c r="CK129" s="53" t="e">
        <f>($CG129+$CA129+$AZ129+$AT129+$AQ129+$AN129+$AK129+$AH129+$AE129+$Y129+$V129)/$AW129</f>
        <v>#DIV/0!</v>
      </c>
      <c r="CL129" s="53"/>
      <c r="CM129" s="204">
        <f>CA129+CG129</f>
        <v>42000</v>
      </c>
      <c r="CN129" s="204"/>
      <c r="CO129" s="204">
        <f>R129+AA129</f>
        <v>0</v>
      </c>
      <c r="CP129" s="204">
        <f>AZ129+CM129</f>
        <v>42000</v>
      </c>
      <c r="CQ129" s="207" t="e">
        <f>-1+CP129/CO129</f>
        <v>#DIV/0!</v>
      </c>
      <c r="CR129" s="114"/>
      <c r="CS129" s="114"/>
      <c r="CT129" s="114">
        <f t="shared" si="159"/>
        <v>0</v>
      </c>
      <c r="CU129" s="208">
        <v>0.86</v>
      </c>
      <c r="CV129" s="114">
        <f>IF(CT129*CU129&lt;T129,CT129*CU129,T129)</f>
        <v>0</v>
      </c>
      <c r="CW129" s="114">
        <f t="shared" si="162"/>
        <v>0</v>
      </c>
      <c r="CX129" s="114" t="e">
        <f t="shared" si="160"/>
        <v>#DIV/0!</v>
      </c>
      <c r="CY129" s="114"/>
      <c r="CZ129" s="114"/>
    </row>
    <row r="130" spans="1:104" ht="24.75" thickBot="1">
      <c r="A130" s="151">
        <v>26538377</v>
      </c>
      <c r="B130" s="93" t="s">
        <v>172</v>
      </c>
      <c r="C130" s="93" t="s">
        <v>43</v>
      </c>
      <c r="D130" s="93" t="s">
        <v>173</v>
      </c>
      <c r="E130" s="93" t="s">
        <v>174</v>
      </c>
      <c r="F130" s="95">
        <v>5370399</v>
      </c>
      <c r="G130" s="94">
        <v>0</v>
      </c>
      <c r="H130" s="94">
        <v>145</v>
      </c>
      <c r="I130" s="94">
        <v>0</v>
      </c>
      <c r="J130" s="94">
        <v>0</v>
      </c>
      <c r="K130" s="94">
        <v>0</v>
      </c>
      <c r="L130" s="94">
        <v>0</v>
      </c>
      <c r="M130" s="94">
        <v>0</v>
      </c>
      <c r="N130" s="94">
        <v>2</v>
      </c>
      <c r="O130" s="94">
        <v>2</v>
      </c>
      <c r="P130" s="94">
        <v>2</v>
      </c>
      <c r="Q130" s="94">
        <v>2</v>
      </c>
      <c r="R130" s="33">
        <v>0</v>
      </c>
      <c r="S130" s="33">
        <v>269000</v>
      </c>
      <c r="T130" s="33">
        <v>612560</v>
      </c>
      <c r="U130" s="33">
        <v>56286</v>
      </c>
      <c r="V130" s="33">
        <v>23544</v>
      </c>
      <c r="W130" s="33">
        <v>0</v>
      </c>
      <c r="X130" s="33">
        <v>0</v>
      </c>
      <c r="Y130" s="33">
        <v>0</v>
      </c>
      <c r="Z130" s="33">
        <v>0</v>
      </c>
      <c r="AA130" s="33">
        <v>57921</v>
      </c>
      <c r="AB130" s="33">
        <v>64089</v>
      </c>
      <c r="AC130" s="33">
        <v>40000</v>
      </c>
      <c r="AD130" s="33">
        <v>0</v>
      </c>
      <c r="AE130" s="33">
        <v>29000</v>
      </c>
      <c r="AF130" s="33">
        <v>30000</v>
      </c>
      <c r="AG130" s="33">
        <v>0</v>
      </c>
      <c r="AH130" s="33">
        <v>0</v>
      </c>
      <c r="AI130" s="33">
        <v>0</v>
      </c>
      <c r="AJ130" s="33">
        <v>0</v>
      </c>
      <c r="AK130" s="33">
        <v>0</v>
      </c>
      <c r="AL130" s="33">
        <v>0</v>
      </c>
      <c r="AM130" s="33">
        <v>0</v>
      </c>
      <c r="AN130" s="33">
        <v>0</v>
      </c>
      <c r="AO130" s="33">
        <v>0</v>
      </c>
      <c r="AP130" s="33">
        <v>450292</v>
      </c>
      <c r="AQ130" s="33">
        <v>188352</v>
      </c>
      <c r="AR130" s="33">
        <v>0</v>
      </c>
      <c r="AS130" s="33">
        <v>0</v>
      </c>
      <c r="AT130" s="33">
        <v>0</v>
      </c>
      <c r="AU130" s="33">
        <v>0</v>
      </c>
      <c r="AV130" s="33">
        <v>579210</v>
      </c>
      <c r="AW130" s="96">
        <v>573985</v>
      </c>
      <c r="AX130" s="96">
        <v>682560</v>
      </c>
      <c r="AY130" s="22"/>
      <c r="AZ130" s="131">
        <v>269000</v>
      </c>
      <c r="BA130" s="131"/>
      <c r="BB130" s="98">
        <f>AZ130/S130</f>
        <v>1</v>
      </c>
      <c r="BC130" s="98">
        <f>BA130/T130</f>
        <v>0</v>
      </c>
      <c r="BD130" s="180"/>
      <c r="BE130" s="180"/>
      <c r="BF130" s="6"/>
      <c r="BG130" s="181">
        <f>V130+Y130+AE130+AH130+AK130+AN130+AQ130+AT130+AZ130</f>
        <v>509896</v>
      </c>
      <c r="BH130" s="181">
        <f>W130+Z130+AF130+AI130+AL130+AO130+AR130+AU130+BA130</f>
        <v>30000</v>
      </c>
      <c r="BI130" s="101">
        <f>BG130/(R130+U130+X130+AA130+AD130+AG130+AJ130+AM130+AP130+AS130)</f>
        <v>0.9032717507028356</v>
      </c>
      <c r="BJ130" s="101">
        <f>BH130/(S130+V130+Y130+AB130+AE130+AH130+AK130+AN130+AQ130+AT130)</f>
        <v>0.05226617420315862</v>
      </c>
      <c r="BK130" s="104">
        <f>IF(BI130&gt;=100%,0,(R130+U130+X130+AA130+AD130+AG130+AJ130+AM130+AP130+AS130)-(V130+Y130+AE130+AH130+AK130+AN130+AQ130+AT130+AZ130))</f>
        <v>54603</v>
      </c>
      <c r="BL130" s="104">
        <f>IF(BJ130&gt;=100%,0,(S130+V130+Y130+AB130+AE130+AH130+AK130+AN130+AQ130+AT130)-(W130+Z130+AF130+AI130+AL130+AO130+AR130+AU130+BA130))</f>
        <v>543985</v>
      </c>
      <c r="BM130" s="102">
        <f>BG130/AW130</f>
        <v>0.8883437720497922</v>
      </c>
      <c r="BN130" s="102">
        <f>BH130/AX130</f>
        <v>0.043952180028129395</v>
      </c>
      <c r="BO130" s="108">
        <f>IF(BG130&lt;AW130,AW130-BG130,0)</f>
        <v>64089</v>
      </c>
      <c r="BP130" s="108">
        <f>IF(BH130&lt;AX130,AX130-BH130,0)</f>
        <v>652560</v>
      </c>
      <c r="BQ130" s="104">
        <f>IF(AA130&gt;BK130,0,BK130-AA130)</f>
        <v>0</v>
      </c>
      <c r="BR130" s="104">
        <f>IF(AB130&gt;BL130,0,BL130-AB130)</f>
        <v>479896</v>
      </c>
      <c r="BT130" s="182">
        <f t="shared" si="187"/>
        <v>134500</v>
      </c>
      <c r="BU130" s="182">
        <f t="shared" si="187"/>
        <v>134500</v>
      </c>
      <c r="BV130" s="183">
        <f t="shared" si="187"/>
        <v>134500</v>
      </c>
      <c r="BW130" s="260">
        <f t="shared" si="187"/>
        <v>134500</v>
      </c>
      <c r="BX130" s="209">
        <v>0.14</v>
      </c>
      <c r="BY130" s="121">
        <f t="shared" si="161"/>
        <v>32143.160000000003</v>
      </c>
      <c r="BZ130" s="216"/>
      <c r="CA130" s="219">
        <v>32000</v>
      </c>
      <c r="CB130" s="218"/>
      <c r="CC130" s="210"/>
      <c r="CD130" s="211"/>
      <c r="CE130" s="210"/>
      <c r="CF130" s="210"/>
      <c r="CG130" s="210"/>
      <c r="CH130" s="212" t="s">
        <v>175</v>
      </c>
      <c r="CI130" s="266" t="s">
        <v>52</v>
      </c>
      <c r="CJ130" s="79">
        <f>($CG130+$CA130+$AZ130+$AT130+$AQ130+$AN130+$AK130+$AH130+$AE130+$Y130+$V130)/$AV130</f>
        <v>0.9355777697208266</v>
      </c>
      <c r="CK130" s="56">
        <f>($CG130+$CA130+$AZ130+$AT130+$AQ130+$AN130+$AK130+$AH130+$AE130+$Y130+$V130)/$AW130</f>
        <v>0.9440943578664948</v>
      </c>
      <c r="CL130" s="56"/>
      <c r="CM130" s="210">
        <f t="shared" si="151"/>
        <v>32000</v>
      </c>
      <c r="CN130" s="210"/>
      <c r="CO130" s="210">
        <f t="shared" si="152"/>
        <v>57921</v>
      </c>
      <c r="CP130" s="210">
        <f>AZ130+CM130</f>
        <v>301000</v>
      </c>
      <c r="CQ130" s="213">
        <f>-1+CP130/CO130</f>
        <v>4.196733481811433</v>
      </c>
      <c r="CR130" s="121"/>
      <c r="CS130" s="121"/>
      <c r="CT130" s="121">
        <f t="shared" si="159"/>
        <v>430488.75</v>
      </c>
      <c r="CU130" s="214">
        <v>0.86</v>
      </c>
      <c r="CV130" s="121">
        <f>IF(CT130*CU130&lt;T130,CT130*CU130,T130)</f>
        <v>370220.325</v>
      </c>
      <c r="CW130" s="121">
        <f t="shared" si="162"/>
        <v>201750</v>
      </c>
      <c r="CX130" s="121">
        <f t="shared" si="160"/>
        <v>0.9909790922118057</v>
      </c>
      <c r="CY130" s="121"/>
      <c r="CZ130" s="121"/>
    </row>
    <row r="131" spans="1:104" ht="7.5" customHeight="1" thickBot="1">
      <c r="A131" s="120"/>
      <c r="B131" s="120"/>
      <c r="C131" s="120"/>
      <c r="D131" s="120"/>
      <c r="E131" s="120"/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81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4"/>
      <c r="BC131" s="34"/>
      <c r="BD131" s="34"/>
      <c r="BE131" s="34"/>
      <c r="BF131" s="34"/>
      <c r="BI131" s="6"/>
      <c r="BJ131" s="6"/>
      <c r="BK131" s="87"/>
      <c r="BL131" s="87"/>
      <c r="BM131" s="38"/>
      <c r="BN131" s="38"/>
      <c r="BQ131" s="87"/>
      <c r="BR131" s="87"/>
      <c r="BT131" s="43"/>
      <c r="BU131" s="43"/>
      <c r="BV131" s="43"/>
      <c r="BW131" s="43"/>
      <c r="BX131" s="13"/>
      <c r="BY131" s="13">
        <f t="shared" si="161"/>
        <v>0</v>
      </c>
      <c r="BZ131" s="13"/>
      <c r="CJ131" s="6"/>
      <c r="CK131" s="6"/>
      <c r="CL131" s="6"/>
      <c r="CR131" s="37"/>
      <c r="CS131" s="37"/>
      <c r="CT131" s="37">
        <f t="shared" si="159"/>
        <v>0</v>
      </c>
      <c r="CU131" s="189"/>
      <c r="CV131" s="37"/>
      <c r="CW131" s="37"/>
      <c r="CX131" s="37"/>
      <c r="CY131" s="37"/>
      <c r="CZ131" s="37"/>
    </row>
    <row r="132" spans="1:104" ht="36.75" thickBot="1">
      <c r="A132" s="257">
        <v>62797549</v>
      </c>
      <c r="B132" s="258" t="s">
        <v>122</v>
      </c>
      <c r="C132" s="258" t="s">
        <v>43</v>
      </c>
      <c r="D132" s="258" t="s">
        <v>176</v>
      </c>
      <c r="E132" s="258" t="s">
        <v>177</v>
      </c>
      <c r="F132" s="117">
        <v>9959954</v>
      </c>
      <c r="G132" s="118"/>
      <c r="H132" s="117">
        <v>110</v>
      </c>
      <c r="I132" s="117">
        <v>65</v>
      </c>
      <c r="J132" s="117">
        <v>35</v>
      </c>
      <c r="K132" s="117">
        <v>10</v>
      </c>
      <c r="L132" s="117">
        <v>0</v>
      </c>
      <c r="M132" s="117">
        <v>0</v>
      </c>
      <c r="N132" s="117">
        <v>7.1</v>
      </c>
      <c r="O132" s="117">
        <v>8.6</v>
      </c>
      <c r="P132" s="117">
        <v>5</v>
      </c>
      <c r="Q132" s="117">
        <v>6</v>
      </c>
      <c r="R132" s="21">
        <v>1010000</v>
      </c>
      <c r="S132" s="21">
        <v>1111000</v>
      </c>
      <c r="T132" s="21">
        <v>1723923</v>
      </c>
      <c r="U132" s="21">
        <v>0</v>
      </c>
      <c r="V132" s="21">
        <v>0</v>
      </c>
      <c r="W132" s="21">
        <v>0</v>
      </c>
      <c r="X132" s="21">
        <v>0</v>
      </c>
      <c r="Y132" s="21">
        <v>0</v>
      </c>
      <c r="Z132" s="21">
        <v>0</v>
      </c>
      <c r="AA132" s="21">
        <v>329375</v>
      </c>
      <c r="AB132" s="21">
        <v>290563</v>
      </c>
      <c r="AC132" s="21">
        <v>300000</v>
      </c>
      <c r="AD132" s="21">
        <v>85000</v>
      </c>
      <c r="AE132" s="21">
        <v>100000</v>
      </c>
      <c r="AF132" s="21">
        <v>100000</v>
      </c>
      <c r="AG132" s="21">
        <v>0</v>
      </c>
      <c r="AH132" s="21">
        <v>0</v>
      </c>
      <c r="AI132" s="21">
        <v>0</v>
      </c>
      <c r="AJ132" s="21">
        <v>162249</v>
      </c>
      <c r="AK132" s="21">
        <v>260000</v>
      </c>
      <c r="AL132" s="21">
        <v>300000</v>
      </c>
      <c r="AM132" s="21">
        <v>0</v>
      </c>
      <c r="AN132" s="21">
        <v>0</v>
      </c>
      <c r="AO132" s="21">
        <v>0</v>
      </c>
      <c r="AP132" s="21">
        <v>0</v>
      </c>
      <c r="AQ132" s="21">
        <v>0</v>
      </c>
      <c r="AR132" s="21">
        <v>0</v>
      </c>
      <c r="AS132" s="21">
        <v>214484</v>
      </c>
      <c r="AT132" s="21">
        <v>503437</v>
      </c>
      <c r="AU132" s="21">
        <v>26077</v>
      </c>
      <c r="AV132" s="21">
        <v>1801108</v>
      </c>
      <c r="AW132" s="119">
        <v>2265000</v>
      </c>
      <c r="AX132" s="119">
        <v>2450000</v>
      </c>
      <c r="AY132" s="3"/>
      <c r="AZ132" s="55">
        <v>1111000</v>
      </c>
      <c r="BA132" s="55"/>
      <c r="BB132" s="56">
        <f>AZ132/S132</f>
        <v>1</v>
      </c>
      <c r="BC132" s="56">
        <f>BA132/T132</f>
        <v>0</v>
      </c>
      <c r="BD132" s="47">
        <f>-1+AZ132/R132</f>
        <v>0.10000000000000009</v>
      </c>
      <c r="BE132" s="47">
        <f>-1+BA132/S132</f>
        <v>-1</v>
      </c>
      <c r="BF132" s="6"/>
      <c r="BG132" s="77">
        <f>V132+Y132+AE132+AH132+AK132+AN132+AQ132+AT132+AZ132</f>
        <v>1974437</v>
      </c>
      <c r="BH132" s="77">
        <f>W132+Z132+AF132+AI132+AL132+AO132+AR132+AU132+BA132</f>
        <v>426077</v>
      </c>
      <c r="BI132" s="112">
        <f>BG132/(R132+U132+X132+AA132+AD132+AG132+AJ132+AM132+AP132+AS132)</f>
        <v>1.0962346511147583</v>
      </c>
      <c r="BJ132" s="112">
        <f>BH132/(S132+V132+Y132+AB132+AE132+AH132+AK132+AN132+AQ132+AT132)</f>
        <v>0.18811346578366445</v>
      </c>
      <c r="BK132" s="78">
        <f>IF(BI132&gt;=100%,0,(R132+U132+X132+AA132+AD132+AG132+AJ132+AM132+AP132+AS132)-(V132+Y132+AE132+AH132+AK132+AN132+AQ132+AT132+AZ132))</f>
        <v>0</v>
      </c>
      <c r="BL132" s="78">
        <f>IF(BJ132&gt;=100%,0,(S132+V132+Y132+AB132+AE132+AH132+AK132+AN132+AQ132+AT132)-(W132+Z132+AF132+AI132+AL132+AO132+AR132+AU132+BA132))</f>
        <v>1838923</v>
      </c>
      <c r="BM132" s="79">
        <f>BG132/AW132</f>
        <v>0.871716114790287</v>
      </c>
      <c r="BN132" s="79">
        <f>BH132/AX132</f>
        <v>0.17390897959183674</v>
      </c>
      <c r="BO132" s="115">
        <f>IF(BG132&lt;AW132,AW132-BG132,0)</f>
        <v>290563</v>
      </c>
      <c r="BP132" s="115">
        <f>IF(BH132&lt;AX132,AX132-BH132,0)</f>
        <v>2023923</v>
      </c>
      <c r="BQ132" s="116">
        <f>IF(AA132&gt;BK132,0,BK132-AA132)</f>
        <v>0</v>
      </c>
      <c r="BR132" s="116">
        <f>IF(AB132&gt;BL132,0,BL132-AB132)</f>
        <v>1548360</v>
      </c>
      <c r="BT132" s="42">
        <f>$AZ132/N132</f>
        <v>156478.87323943662</v>
      </c>
      <c r="BU132" s="42">
        <f>$AZ132/O132</f>
        <v>129186.04651162791</v>
      </c>
      <c r="BV132" s="80">
        <f>$AZ132/P132</f>
        <v>222200</v>
      </c>
      <c r="BW132" s="80">
        <f>$AZ132/Q132</f>
        <v>185166.66666666666</v>
      </c>
      <c r="BX132" s="227">
        <v>0.175</v>
      </c>
      <c r="BY132" s="113">
        <f t="shared" si="161"/>
        <v>158550</v>
      </c>
      <c r="BZ132" s="113"/>
      <c r="CA132" s="193">
        <v>158000</v>
      </c>
      <c r="CB132" s="26"/>
      <c r="CC132" s="30"/>
      <c r="CD132" s="27"/>
      <c r="CE132" s="30"/>
      <c r="CF132" s="31"/>
      <c r="CG132" s="31"/>
      <c r="CH132" s="126" t="s">
        <v>178</v>
      </c>
      <c r="CI132" s="127" t="s">
        <v>52</v>
      </c>
      <c r="CJ132" s="39">
        <f>($CG132+$CA132+$AZ132+$AT132+$AQ132+$AN132+$AK132+$AH132+$AE132+$Y132+$V132)/$AV132</f>
        <v>1.1839584300330686</v>
      </c>
      <c r="CK132" s="39">
        <f>($CG132+$CA132+$AZ132+$AT132+$AQ132+$AN132+$AK132+$AH132+$AE132+$Y132+$V132)/$AW132</f>
        <v>0.9414732891832229</v>
      </c>
      <c r="CL132" s="38"/>
      <c r="CM132" s="31">
        <f t="shared" si="151"/>
        <v>158000</v>
      </c>
      <c r="CN132" s="28"/>
      <c r="CO132" s="31">
        <f t="shared" si="152"/>
        <v>1339375</v>
      </c>
      <c r="CP132" s="31">
        <f>AZ132+CM132</f>
        <v>1269000</v>
      </c>
      <c r="CQ132" s="153">
        <f>-1+CP132/CO132</f>
        <v>-0.05254316378908075</v>
      </c>
      <c r="CR132" s="113"/>
      <c r="CS132" s="113">
        <f>1000*12*H132</f>
        <v>1320000</v>
      </c>
      <c r="CT132" s="113">
        <f t="shared" si="159"/>
        <v>1698750</v>
      </c>
      <c r="CU132" s="228">
        <v>0.67</v>
      </c>
      <c r="CV132" s="113">
        <f>IF(CT132*CU132&lt;T132,CT132*CU132,T132)</f>
        <v>1138162.5</v>
      </c>
      <c r="CW132" s="113">
        <f t="shared" si="162"/>
        <v>833250</v>
      </c>
      <c r="CX132" s="113">
        <f t="shared" si="160"/>
        <v>1.2575592357593215</v>
      </c>
      <c r="CY132" s="113"/>
      <c r="CZ132" s="113"/>
    </row>
    <row r="133" spans="1:104" ht="7.5" customHeight="1" thickBot="1">
      <c r="A133" s="150"/>
      <c r="B133" s="86"/>
      <c r="C133" s="86"/>
      <c r="D133" s="86"/>
      <c r="E133" s="86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0"/>
      <c r="BA133" s="20"/>
      <c r="BB133" s="34"/>
      <c r="BC133" s="34"/>
      <c r="BD133" s="34"/>
      <c r="BE133" s="34"/>
      <c r="BF133" s="34"/>
      <c r="BI133" s="6"/>
      <c r="BJ133" s="6"/>
      <c r="BK133" s="87"/>
      <c r="BL133" s="87"/>
      <c r="BM133" s="38"/>
      <c r="BN133" s="38"/>
      <c r="BQ133" s="87"/>
      <c r="BR133" s="87"/>
      <c r="BT133" s="43"/>
      <c r="BU133" s="43"/>
      <c r="BV133" s="43"/>
      <c r="BW133" s="43"/>
      <c r="BX133" s="13"/>
      <c r="BY133" s="13">
        <f t="shared" si="161"/>
        <v>0</v>
      </c>
      <c r="BZ133" s="13"/>
      <c r="CJ133" s="6"/>
      <c r="CK133" s="6"/>
      <c r="CL133" s="6"/>
      <c r="CR133" s="37"/>
      <c r="CS133" s="37"/>
      <c r="CT133" s="37">
        <f>IF(AW133*1&gt;AX133,AX133,AW133*1*0.75)</f>
        <v>0</v>
      </c>
      <c r="CU133" s="189"/>
      <c r="CV133" s="37"/>
      <c r="CW133" s="37"/>
      <c r="CX133" s="37"/>
      <c r="CY133" s="37"/>
      <c r="CZ133" s="37"/>
    </row>
    <row r="134" spans="1:104" ht="24.75" thickBot="1">
      <c r="A134" s="257">
        <v>66598940</v>
      </c>
      <c r="B134" s="258" t="s">
        <v>180</v>
      </c>
      <c r="C134" s="277" t="s">
        <v>43</v>
      </c>
      <c r="D134" s="258" t="s">
        <v>179</v>
      </c>
      <c r="E134" s="258" t="s">
        <v>181</v>
      </c>
      <c r="F134" s="117">
        <v>4541840</v>
      </c>
      <c r="G134" s="118"/>
      <c r="H134" s="117">
        <v>80</v>
      </c>
      <c r="I134" s="117">
        <v>0</v>
      </c>
      <c r="J134" s="117">
        <v>0</v>
      </c>
      <c r="K134" s="117">
        <v>0</v>
      </c>
      <c r="L134" s="117">
        <v>0</v>
      </c>
      <c r="M134" s="117">
        <v>0</v>
      </c>
      <c r="N134" s="117">
        <v>1.6</v>
      </c>
      <c r="O134" s="117">
        <v>2.6</v>
      </c>
      <c r="P134" s="117">
        <v>0.5</v>
      </c>
      <c r="Q134" s="117">
        <v>1.6</v>
      </c>
      <c r="R134" s="21">
        <v>285600</v>
      </c>
      <c r="S134" s="21">
        <v>545000</v>
      </c>
      <c r="T134" s="21">
        <v>886350</v>
      </c>
      <c r="U134" s="21">
        <v>17000</v>
      </c>
      <c r="V134" s="21">
        <v>82000</v>
      </c>
      <c r="W134" s="21">
        <v>40000</v>
      </c>
      <c r="X134" s="21">
        <v>0</v>
      </c>
      <c r="Y134" s="21">
        <v>0</v>
      </c>
      <c r="Z134" s="21">
        <v>0</v>
      </c>
      <c r="AA134" s="21">
        <v>80000</v>
      </c>
      <c r="AB134" s="21">
        <v>30000</v>
      </c>
      <c r="AC134" s="21">
        <v>20000</v>
      </c>
      <c r="AD134" s="21">
        <v>88481</v>
      </c>
      <c r="AE134" s="21">
        <v>120000</v>
      </c>
      <c r="AF134" s="21">
        <v>128400</v>
      </c>
      <c r="AG134" s="21">
        <v>0</v>
      </c>
      <c r="AH134" s="21">
        <v>0</v>
      </c>
      <c r="AI134" s="21">
        <v>0</v>
      </c>
      <c r="AJ134" s="21">
        <v>3480</v>
      </c>
      <c r="AK134" s="21">
        <v>4600</v>
      </c>
      <c r="AL134" s="21">
        <v>6000</v>
      </c>
      <c r="AM134" s="21">
        <v>0</v>
      </c>
      <c r="AN134" s="21">
        <v>0</v>
      </c>
      <c r="AO134" s="21">
        <v>0</v>
      </c>
      <c r="AP134" s="21">
        <v>0</v>
      </c>
      <c r="AQ134" s="21">
        <v>0</v>
      </c>
      <c r="AR134" s="21">
        <v>0</v>
      </c>
      <c r="AS134" s="21">
        <v>84155</v>
      </c>
      <c r="AT134" s="21">
        <v>49520</v>
      </c>
      <c r="AU134" s="21">
        <v>69900</v>
      </c>
      <c r="AV134" s="21">
        <v>558716</v>
      </c>
      <c r="AW134" s="119">
        <v>831120</v>
      </c>
      <c r="AX134" s="119">
        <v>1150650</v>
      </c>
      <c r="AY134" s="3"/>
      <c r="AZ134" s="48">
        <v>545000</v>
      </c>
      <c r="BA134" s="48"/>
      <c r="BB134" s="4">
        <f>AZ134/S134</f>
        <v>1</v>
      </c>
      <c r="BC134" s="4">
        <f>BA134/T134</f>
        <v>0</v>
      </c>
      <c r="BD134" s="5">
        <f>-1+AZ134/R134</f>
        <v>0.908263305322129</v>
      </c>
      <c r="BE134" s="5">
        <f>-1+BA134/S134</f>
        <v>-1</v>
      </c>
      <c r="BF134" s="6"/>
      <c r="BG134" s="7">
        <f>V134+Y134+AE134+AH134+AK134+AN134+AQ134+AT134+AZ134</f>
        <v>801120</v>
      </c>
      <c r="BH134" s="7">
        <f>W134+Z134+AF134+AI134+AL134+AO134+AR134+AU134+BA134</f>
        <v>244300</v>
      </c>
      <c r="BI134" s="8">
        <f>BG134/(R134+U134+X134+AA134+AD134+AG134+AJ134+AM134+AP134+AS134)</f>
        <v>1.4338590625648808</v>
      </c>
      <c r="BJ134" s="8">
        <f>BH134/(S134+V134+Y134+AB134+AE134+AH134+AK134+AN134+AQ134+AT134)</f>
        <v>0.29394070651650783</v>
      </c>
      <c r="BK134" s="9">
        <f>IF(BI134&gt;=100%,0,(R134+U134+X134+AA134+AD134+AG134+AJ134+AM134+AP134+AS134)-(V134+Y134+AE134+AH134+AK134+AN134+AQ134+AT134+AZ134))</f>
        <v>0</v>
      </c>
      <c r="BL134" s="9">
        <f>IF(BJ134&gt;=100%,0,(S134+V134+Y134+AB134+AE134+AH134+AK134+AN134+AQ134+AT134)-(W134+Z134+AF134+AI134+AL134+AO134+AR134+AU134+BA134))</f>
        <v>586820</v>
      </c>
      <c r="BM134" s="10">
        <f>BG134/AW134</f>
        <v>0.9639041293676004</v>
      </c>
      <c r="BN134" s="10">
        <f>BH134/AX134</f>
        <v>0.2123147786033981</v>
      </c>
      <c r="BO134" s="11">
        <f>IF(BG134&lt;AW134,AW134-BG134,0)</f>
        <v>30000</v>
      </c>
      <c r="BP134" s="11">
        <f>IF(BH134&lt;AX134,AX134-BH134,0)</f>
        <v>906350</v>
      </c>
      <c r="BQ134" s="12">
        <f>IF(AA134&gt;BK134,0,BK134-AA134)</f>
        <v>0</v>
      </c>
      <c r="BR134" s="12">
        <f>IF(AB134&gt;BL134,0,BL134-AB134)</f>
        <v>556820</v>
      </c>
      <c r="BT134" s="14">
        <f>$AZ134/N134</f>
        <v>340625</v>
      </c>
      <c r="BU134" s="14">
        <f>$AZ134/O134</f>
        <v>209615.3846153846</v>
      </c>
      <c r="BV134" s="15">
        <f>$AZ134/P134</f>
        <v>1090000</v>
      </c>
      <c r="BW134" s="244">
        <f>$AZ134/Q134</f>
        <v>340625</v>
      </c>
      <c r="BX134" s="271">
        <v>0.02</v>
      </c>
      <c r="BY134" s="118">
        <f>IF(AW134&lt;AX134,AW134*BX134*0.4,AX134*BX134*0.4)</f>
        <v>6648.960000000001</v>
      </c>
      <c r="BZ134" s="272"/>
      <c r="CA134" s="193">
        <v>16600</v>
      </c>
      <c r="CB134" s="273"/>
      <c r="CC134" s="274"/>
      <c r="CD134" s="275"/>
      <c r="CE134" s="274"/>
      <c r="CF134" s="274"/>
      <c r="CG134" s="274"/>
      <c r="CH134" s="276" t="s">
        <v>137</v>
      </c>
      <c r="CI134" s="127" t="s">
        <v>52</v>
      </c>
      <c r="CJ134" s="106">
        <f>($CG134+$CA134+$AZ134+$AT134+$AQ134+$AN134+$AK134+$AH134+$AE134+$Y134+$V134)/$AV134</f>
        <v>1.4635700427408558</v>
      </c>
      <c r="CK134" s="53">
        <f>($CG134+$CA134+$AZ134+$AT134+$AQ134+$AN134+$AK134+$AH134+$AE134+$Y134+$V134)/$AW134</f>
        <v>0.9838771777841948</v>
      </c>
      <c r="CL134" s="53"/>
      <c r="CM134" s="204">
        <f>CA134+CG134</f>
        <v>16600</v>
      </c>
      <c r="CN134" s="204"/>
      <c r="CO134" s="204">
        <f>R134+AA134</f>
        <v>365600</v>
      </c>
      <c r="CP134" s="204">
        <f>AZ134+CM134</f>
        <v>561600</v>
      </c>
      <c r="CQ134" s="207">
        <f>-1+CP134/CO134</f>
        <v>0.536105032822757</v>
      </c>
      <c r="CR134" s="114"/>
      <c r="CS134" s="114"/>
      <c r="CT134" s="114">
        <f>IF(AW134*1&gt;AX134,AX134,AW134*1*0.75)</f>
        <v>623340</v>
      </c>
      <c r="CU134" s="208">
        <v>0.84</v>
      </c>
      <c r="CV134" s="114">
        <f>IF(CT134*CU134&lt;T134,CT134*CU134,T134)</f>
        <v>523605.6</v>
      </c>
      <c r="CW134" s="114">
        <f>S134*0.75</f>
        <v>408750</v>
      </c>
      <c r="CX134" s="114">
        <f>AW134/AV134</f>
        <v>1.4875536050515825</v>
      </c>
      <c r="CY134" s="114"/>
      <c r="CZ134" s="114"/>
    </row>
    <row r="135" spans="1:104" ht="7.5" customHeight="1" thickBot="1">
      <c r="A135" s="150"/>
      <c r="B135" s="86"/>
      <c r="C135" s="86"/>
      <c r="D135" s="86"/>
      <c r="E135" s="86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  <c r="Q135" s="81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0"/>
      <c r="BA135" s="20"/>
      <c r="BB135" s="34"/>
      <c r="BC135" s="34"/>
      <c r="BD135" s="34"/>
      <c r="BE135" s="34"/>
      <c r="BF135" s="34"/>
      <c r="BI135" s="6"/>
      <c r="BJ135" s="6"/>
      <c r="BK135" s="87"/>
      <c r="BL135" s="87"/>
      <c r="BM135" s="38"/>
      <c r="BN135" s="38"/>
      <c r="BQ135" s="87"/>
      <c r="BR135" s="87"/>
      <c r="BT135" s="43"/>
      <c r="BU135" s="43"/>
      <c r="BV135" s="43"/>
      <c r="BW135" s="43"/>
      <c r="BX135" s="37"/>
      <c r="BY135" s="37">
        <f>IF(AW135&lt;AX135,AW135*BX135*0.4,AX135*BX135*0.4)</f>
        <v>0</v>
      </c>
      <c r="BZ135" s="37"/>
      <c r="CJ135" s="6"/>
      <c r="CK135" s="6"/>
      <c r="CL135" s="6"/>
      <c r="CR135" s="37"/>
      <c r="CS135" s="37"/>
      <c r="CT135" s="37">
        <f>IF(AW135*1&gt;AX135,AX135,AW135*1*0.75)</f>
        <v>0</v>
      </c>
      <c r="CU135" s="189"/>
      <c r="CV135" s="37"/>
      <c r="CW135" s="37"/>
      <c r="CX135" s="37"/>
      <c r="CY135" s="37"/>
      <c r="CZ135" s="37"/>
    </row>
    <row r="136" spans="1:104" ht="24.75" thickBot="1">
      <c r="A136" s="257">
        <v>400858</v>
      </c>
      <c r="B136" s="258" t="s">
        <v>62</v>
      </c>
      <c r="C136" s="258" t="s">
        <v>55</v>
      </c>
      <c r="D136" s="258" t="s">
        <v>182</v>
      </c>
      <c r="E136" s="258" t="s">
        <v>62</v>
      </c>
      <c r="F136" s="117">
        <v>2717289</v>
      </c>
      <c r="G136" s="117">
        <v>28</v>
      </c>
      <c r="H136" s="117">
        <v>28</v>
      </c>
      <c r="I136" s="117">
        <v>0</v>
      </c>
      <c r="J136" s="117">
        <v>8</v>
      </c>
      <c r="K136" s="117">
        <v>6</v>
      </c>
      <c r="L136" s="117">
        <v>14</v>
      </c>
      <c r="M136" s="117">
        <v>0</v>
      </c>
      <c r="N136" s="117">
        <v>23</v>
      </c>
      <c r="O136" s="117">
        <v>22.5</v>
      </c>
      <c r="P136" s="117">
        <v>17</v>
      </c>
      <c r="Q136" s="117">
        <v>17</v>
      </c>
      <c r="R136" s="21">
        <v>2389000</v>
      </c>
      <c r="S136" s="21">
        <v>2016000</v>
      </c>
      <c r="T136" s="21">
        <v>2921000</v>
      </c>
      <c r="U136" s="21">
        <v>0</v>
      </c>
      <c r="V136" s="21">
        <v>0</v>
      </c>
      <c r="W136" s="21">
        <v>0</v>
      </c>
      <c r="X136" s="21">
        <v>0</v>
      </c>
      <c r="Y136" s="21">
        <v>0</v>
      </c>
      <c r="Z136" s="21">
        <v>0</v>
      </c>
      <c r="AA136" s="21">
        <v>299000</v>
      </c>
      <c r="AB136" s="21">
        <v>196000</v>
      </c>
      <c r="AC136" s="21">
        <v>205000</v>
      </c>
      <c r="AD136" s="21">
        <v>0</v>
      </c>
      <c r="AE136" s="21">
        <v>0</v>
      </c>
      <c r="AF136" s="21">
        <v>0</v>
      </c>
      <c r="AG136" s="21">
        <v>5728450</v>
      </c>
      <c r="AH136" s="21">
        <v>5745000</v>
      </c>
      <c r="AI136" s="21">
        <v>5070000</v>
      </c>
      <c r="AJ136" s="21">
        <v>1807673</v>
      </c>
      <c r="AK136" s="21">
        <v>2100000</v>
      </c>
      <c r="AL136" s="21">
        <v>2380000</v>
      </c>
      <c r="AM136" s="21">
        <v>0</v>
      </c>
      <c r="AN136" s="21">
        <v>0</v>
      </c>
      <c r="AO136" s="21">
        <v>0</v>
      </c>
      <c r="AP136" s="21">
        <v>0</v>
      </c>
      <c r="AQ136" s="21">
        <v>0</v>
      </c>
      <c r="AR136" s="21">
        <v>0</v>
      </c>
      <c r="AS136" s="21">
        <v>111586</v>
      </c>
      <c r="AT136" s="21">
        <v>300000</v>
      </c>
      <c r="AU136" s="21">
        <v>384000</v>
      </c>
      <c r="AV136" s="21">
        <v>10335709</v>
      </c>
      <c r="AW136" s="119">
        <v>10357000</v>
      </c>
      <c r="AX136" s="119">
        <v>10960000</v>
      </c>
      <c r="AY136" s="3"/>
      <c r="AZ136" s="52">
        <v>2016000</v>
      </c>
      <c r="BA136" s="52"/>
      <c r="BB136" s="53">
        <f>AZ136/S136</f>
        <v>1</v>
      </c>
      <c r="BC136" s="53">
        <f>BA136/T136</f>
        <v>0</v>
      </c>
      <c r="BD136" s="46">
        <f>-1+AZ136/R136</f>
        <v>-0.15613227291753873</v>
      </c>
      <c r="BE136" s="46">
        <f>-1+BA136/S136</f>
        <v>-1</v>
      </c>
      <c r="BF136" s="6"/>
      <c r="BG136" s="89">
        <f>V136+Y136+AE136+AH136+AK136+AN136+AQ136+AT136+AZ136</f>
        <v>10161000</v>
      </c>
      <c r="BH136" s="89">
        <f>W136+Z136+AF136+AI136+AL136+AO136+AR136+AU136+BA136</f>
        <v>7834000</v>
      </c>
      <c r="BI136" s="44">
        <f>BG136/(R136+U136+X136+AA136+AD136+AG136+AJ136+AM136+AP136+AS136)</f>
        <v>0.9830965635739164</v>
      </c>
      <c r="BJ136" s="44">
        <f>BH136/(S136+V136+Y136+AB136+AE136+AH136+AK136+AN136+AQ136+AT136)</f>
        <v>0.7563966399536546</v>
      </c>
      <c r="BK136" s="70">
        <f>IF(BI136&gt;=100%,0,(R136+U136+X136+AA136+AD136+AG136+AJ136+AM136+AP136+AS136)-(V136+Y136+AE136+AH136+AK136+AN136+AQ136+AT136+AZ136))</f>
        <v>174709</v>
      </c>
      <c r="BL136" s="70">
        <f>IF(BJ136&gt;=100%,0,(S136+V136+Y136+AB136+AE136+AH136+AK136+AN136+AQ136+AT136)-(W136+Z136+AF136+AI136+AL136+AO136+AR136+AU136+BA136))</f>
        <v>2523000</v>
      </c>
      <c r="BM136" s="137">
        <f>BG136/AW136</f>
        <v>0.981075601042773</v>
      </c>
      <c r="BN136" s="137">
        <f>BH136/AX136</f>
        <v>0.7147810218978102</v>
      </c>
      <c r="BO136" s="90">
        <f>IF(BG136&lt;AW136,AW136-BG136,0)</f>
        <v>196000</v>
      </c>
      <c r="BP136" s="90">
        <f>IF(BH136&lt;AX136,AX136-BH136,0)</f>
        <v>3126000</v>
      </c>
      <c r="BQ136" s="70">
        <f>IF(AA136&gt;BK136,0,BK136-AA136)</f>
        <v>0</v>
      </c>
      <c r="BR136" s="70">
        <f>IF(AB136&gt;BL136,0,BL136-AB136)</f>
        <v>2327000</v>
      </c>
      <c r="BT136" s="41">
        <f>$AZ136/N136</f>
        <v>87652.17391304347</v>
      </c>
      <c r="BU136" s="41">
        <f>$AZ136/O136</f>
        <v>89600</v>
      </c>
      <c r="BV136" s="72">
        <f>$AZ136/P136</f>
        <v>118588.23529411765</v>
      </c>
      <c r="BW136" s="243">
        <f>$AZ136/Q136</f>
        <v>118588.23529411765</v>
      </c>
      <c r="BX136" s="271">
        <v>0.022</v>
      </c>
      <c r="BY136" s="118">
        <f>IF(AW136&lt;AX136,AW136*BX136*0.4,AX136*BX136*0.4)</f>
        <v>91141.6</v>
      </c>
      <c r="BZ136" s="272"/>
      <c r="CA136" s="193">
        <v>227900</v>
      </c>
      <c r="CB136" s="273"/>
      <c r="CC136" s="274"/>
      <c r="CD136" s="275"/>
      <c r="CE136" s="274"/>
      <c r="CF136" s="274"/>
      <c r="CG136" s="274"/>
      <c r="CH136" s="276" t="s">
        <v>183</v>
      </c>
      <c r="CI136" s="127" t="s">
        <v>56</v>
      </c>
      <c r="CJ136" s="135">
        <f>($CG136+$CA136+$AZ136+$AT136+$AQ136+$AN136+$AK136+$AH136+$AE136+$Y136+$V136)/$AV136</f>
        <v>1.0051463329704813</v>
      </c>
      <c r="CK136" s="132">
        <f>($CG136+$CA136+$AZ136+$AT136+$AQ136+$AN136+$AK136+$AH136+$AE136+$Y136+$V136)/$AW136</f>
        <v>1.0030800424833446</v>
      </c>
      <c r="CL136" s="132"/>
      <c r="CM136" s="220">
        <f>CA136+CG136</f>
        <v>227900</v>
      </c>
      <c r="CN136" s="220"/>
      <c r="CO136" s="220">
        <f>R136+AA136</f>
        <v>2688000</v>
      </c>
      <c r="CP136" s="220">
        <f>AZ136+CM136</f>
        <v>2243900</v>
      </c>
      <c r="CQ136" s="221">
        <f>-1+CP136/CO136</f>
        <v>-0.1652157738095238</v>
      </c>
      <c r="CR136" s="164"/>
      <c r="CS136" s="164">
        <f>6000*12*H136</f>
        <v>2016000</v>
      </c>
      <c r="CT136" s="164">
        <f>IF(AW136*1&gt;AX136,AX136,AW136*1*0.75)</f>
        <v>7767750</v>
      </c>
      <c r="CU136" s="222">
        <v>0.24</v>
      </c>
      <c r="CV136" s="164">
        <f>IF(CT136*CU136&lt;T136,CT136*CU136,T136)</f>
        <v>1864260</v>
      </c>
      <c r="CW136" s="164">
        <f>S136*0.75</f>
        <v>1512000</v>
      </c>
      <c r="CX136" s="164">
        <f>AW136/AV136</f>
        <v>1.002059945766662</v>
      </c>
      <c r="CY136" s="164"/>
      <c r="CZ136" s="164"/>
    </row>
    <row r="137" spans="1:70" ht="12">
      <c r="A137" s="120"/>
      <c r="B137" s="120"/>
      <c r="C137" s="120"/>
      <c r="D137" s="120"/>
      <c r="E137" s="120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  <c r="Q137" s="81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82"/>
      <c r="BC137" s="82"/>
      <c r="BD137" s="82"/>
      <c r="BE137" s="82"/>
      <c r="BF137" s="82"/>
      <c r="BI137" s="6"/>
      <c r="BJ137" s="6"/>
      <c r="BK137" s="87"/>
      <c r="BL137" s="87"/>
      <c r="BM137" s="6"/>
      <c r="BN137" s="6"/>
      <c r="BQ137" s="138"/>
      <c r="BR137" s="138"/>
    </row>
    <row r="138" spans="54:70" ht="12.75" thickBot="1">
      <c r="BB138" s="82"/>
      <c r="BC138" s="82"/>
      <c r="BD138" s="82"/>
      <c r="BE138" s="82"/>
      <c r="BF138" s="82"/>
      <c r="BI138" s="6"/>
      <c r="BJ138" s="6"/>
      <c r="BK138" s="138"/>
      <c r="BL138" s="138"/>
      <c r="BM138" s="6"/>
      <c r="BN138" s="6"/>
      <c r="BQ138" s="138"/>
      <c r="BR138" s="138"/>
    </row>
    <row r="139" spans="5:104" ht="29.25" customHeight="1" thickBot="1">
      <c r="E139" s="139" t="s">
        <v>184</v>
      </c>
      <c r="R139" s="23" t="e">
        <f>#REF!+#REF!+#REF!+R130+#REF!+#REF!+#REF!+#REF!+#REF!+#REF!+#REF!+#REF!+#REF!+#REF!+#REF!+#REF!+#REF!+#REF!+#REF!+#REF!+#REF!+#REF!</f>
        <v>#REF!</v>
      </c>
      <c r="S139" s="23" t="e">
        <f>#REF!+#REF!+#REF!+S130+#REF!+#REF!+#REF!+#REF!+#REF!+#REF!+#REF!+#REF!+#REF!+#REF!+#REF!+#REF!+#REF!+#REF!+#REF!+#REF!+#REF!+#REF!</f>
        <v>#REF!</v>
      </c>
      <c r="T139" s="23" t="e">
        <f>#REF!+#REF!+#REF!+T130+#REF!+#REF!+#REF!+#REF!+#REF!+#REF!+#REF!+#REF!+#REF!+#REF!+#REF!+#REF!+#REF!+#REF!+#REF!+#REF!+#REF!+#REF!</f>
        <v>#REF!</v>
      </c>
      <c r="U139" s="23" t="e">
        <f>#REF!+#REF!+#REF!+U130+#REF!+#REF!+#REF!+#REF!+#REF!+#REF!+#REF!+#REF!+#REF!+#REF!+#REF!+#REF!+#REF!+#REF!+#REF!+#REF!+#REF!+#REF!</f>
        <v>#REF!</v>
      </c>
      <c r="V139" s="23" t="e">
        <f>#REF!+#REF!+#REF!+V130+#REF!+#REF!+#REF!+#REF!+#REF!+#REF!+#REF!+#REF!+#REF!+#REF!+#REF!+#REF!+#REF!+#REF!+#REF!+#REF!+#REF!+#REF!</f>
        <v>#REF!</v>
      </c>
      <c r="W139" s="23" t="e">
        <f>#REF!+#REF!+#REF!+W130+#REF!+#REF!+#REF!+#REF!+#REF!+#REF!+#REF!+#REF!+#REF!+#REF!+#REF!+#REF!+#REF!+#REF!+#REF!+#REF!+#REF!+#REF!</f>
        <v>#REF!</v>
      </c>
      <c r="X139" s="23" t="e">
        <f>#REF!+#REF!+#REF!+X130+#REF!+#REF!+#REF!+#REF!+#REF!+#REF!+#REF!+#REF!+#REF!+#REF!+#REF!+#REF!+#REF!+#REF!+#REF!+#REF!+#REF!+#REF!</f>
        <v>#REF!</v>
      </c>
      <c r="Y139" s="23" t="e">
        <f>#REF!+#REF!+#REF!+Y130+#REF!+#REF!+#REF!+#REF!+#REF!+#REF!+#REF!+#REF!+#REF!+#REF!+#REF!+#REF!+#REF!+#REF!+#REF!+#REF!+#REF!+#REF!</f>
        <v>#REF!</v>
      </c>
      <c r="Z139" s="23" t="e">
        <f>#REF!+#REF!+#REF!+Z130+#REF!+#REF!+#REF!+#REF!+#REF!+#REF!+#REF!+#REF!+#REF!+#REF!+#REF!+#REF!+#REF!+#REF!+#REF!+#REF!+#REF!+#REF!</f>
        <v>#REF!</v>
      </c>
      <c r="AA139" s="140" t="e">
        <f>#REF!+#REF!+#REF!+AA130+#REF!+#REF!+#REF!+#REF!+#REF!+#REF!+#REF!+#REF!+#REF!+#REF!+#REF!+#REF!+#REF!+#REF!+#REF!+#REF!+#REF!+#REF!</f>
        <v>#REF!</v>
      </c>
      <c r="AB139" s="240"/>
      <c r="AC139" s="240"/>
      <c r="AD139" s="240"/>
      <c r="AE139" s="240"/>
      <c r="AF139" s="240"/>
      <c r="AG139" s="240"/>
      <c r="AH139" s="240"/>
      <c r="AI139" s="240"/>
      <c r="AJ139" s="240"/>
      <c r="AK139" s="240"/>
      <c r="AL139" s="240"/>
      <c r="AM139" s="240"/>
      <c r="AN139" s="240"/>
      <c r="AO139" s="240"/>
      <c r="AP139" s="240"/>
      <c r="AQ139" s="240"/>
      <c r="AR139" s="240"/>
      <c r="AS139" s="240"/>
      <c r="AT139" s="240"/>
      <c r="AU139" s="240"/>
      <c r="AV139" s="240"/>
      <c r="AW139" s="240"/>
      <c r="AX139" s="240"/>
      <c r="AZ139" s="140" t="e">
        <f>#REF!+#REF!+#REF!+AZ130+#REF!+#REF!+#REF!+#REF!+#REF!+#REF!+#REF!+#REF!+#REF!+#REF!+#REF!+#REF!+#REF!+#REF!+#REF!+#REF!+#REF!+#REF!+#REF!+#REF!</f>
        <v>#REF!</v>
      </c>
      <c r="BA139" s="140"/>
      <c r="BB139" s="141" t="e">
        <f>AZ139/S139</f>
        <v>#REF!</v>
      </c>
      <c r="BC139" s="141" t="e">
        <f>BA139/T139</f>
        <v>#REF!</v>
      </c>
      <c r="BD139" s="142" t="e">
        <f>-1+AZ139/R139</f>
        <v>#REF!</v>
      </c>
      <c r="BE139" s="142" t="e">
        <f>-1+BA139/S139</f>
        <v>#REF!</v>
      </c>
      <c r="BF139" s="1"/>
      <c r="BG139" s="140" t="e">
        <f>V139+Y139+AE139+AH139+AK139+AN139+AQ139+AT139+AZ139</f>
        <v>#REF!</v>
      </c>
      <c r="BH139" s="140" t="e">
        <f>W139+Z139+AF139+AI139+AL139+AO139+AR139+AU139+BA139</f>
        <v>#REF!</v>
      </c>
      <c r="BI139" s="83" t="e">
        <f>BG139/(R139+U139+X139+AA139+AD139+AG139+AJ139+AM139+AP139+AS139)</f>
        <v>#REF!</v>
      </c>
      <c r="BJ139" s="83" t="e">
        <f>BH139/(S139+V139+Y139+AB139+AE139+AH139+AK139+AN139+AQ139+AT139)</f>
        <v>#REF!</v>
      </c>
      <c r="BK139" s="140" t="e">
        <f>#REF!+#REF!+#REF!+BK130+#REF!+#REF!+#REF!+#REF!+#REF!+#REF!+#REF!+#REF!+#REF!+#REF!+#REF!+#REF!+#REF!+#REF!+#REF!+#REF!+#REF!+#REF!+#REF!+#REF!</f>
        <v>#REF!</v>
      </c>
      <c r="BL139" s="140" t="e">
        <f>#REF!+#REF!+#REF!+BL130+#REF!+#REF!+#REF!+#REF!+#REF!+#REF!+#REF!+#REF!+#REF!+#REF!+#REF!+#REF!+#REF!+#REF!+#REF!+#REF!+#REF!+#REF!+#REF!+#REF!</f>
        <v>#REF!</v>
      </c>
      <c r="BM139" s="143" t="e">
        <f>BG139/AW139</f>
        <v>#REF!</v>
      </c>
      <c r="BN139" s="143" t="e">
        <f>BH139/AX139</f>
        <v>#REF!</v>
      </c>
      <c r="BO139" s="140" t="e">
        <f>#REF!+#REF!+#REF!+BO130+#REF!+#REF!+#REF!+#REF!+#REF!+#REF!+#REF!+#REF!+#REF!+#REF!+#REF!+#REF!+#REF!+#REF!+#REF!+#REF!+#REF!+#REF!+#REF!+#REF!</f>
        <v>#REF!</v>
      </c>
      <c r="BP139" s="140" t="e">
        <f>#REF!+#REF!+#REF!+BP130+#REF!+#REF!+#REF!+#REF!+#REF!+#REF!+#REF!+#REF!+#REF!+#REF!+#REF!+#REF!+#REF!+#REF!+#REF!+#REF!+#REF!+#REF!+#REF!+#REF!</f>
        <v>#REF!</v>
      </c>
      <c r="BQ139" s="23" t="e">
        <f>#REF!+#REF!+#REF!+BQ130+#REF!+#REF!+#REF!+#REF!+#REF!+#REF!+#REF!+#REF!+#REF!+#REF!+#REF!+#REF!+#REF!+#REF!+#REF!+#REF!+#REF!+#REF!+#REF!+#REF!</f>
        <v>#REF!</v>
      </c>
      <c r="BR139" s="23" t="e">
        <f>#REF!+#REF!+#REF!+BR130+#REF!+#REF!+#REF!+#REF!+#REF!+#REF!+#REF!+#REF!+#REF!+#REF!+#REF!+#REF!+#REF!+#REF!+#REF!+#REF!+#REF!+#REF!+#REF!+#REF!</f>
        <v>#REF!</v>
      </c>
      <c r="BY139" s="190">
        <f>SUM(BY7:BY136)</f>
        <v>5773110.0512</v>
      </c>
      <c r="CA139" s="261">
        <f aca="true" t="shared" si="188" ref="CA139:CZ139">SUM(CA7:CA136)</f>
        <v>6501600</v>
      </c>
      <c r="CB139" s="261">
        <f t="shared" si="188"/>
        <v>0</v>
      </c>
      <c r="CC139" s="261">
        <f t="shared" si="188"/>
        <v>0</v>
      </c>
      <c r="CD139" s="261">
        <f t="shared" si="188"/>
        <v>0</v>
      </c>
      <c r="CE139" s="261">
        <f t="shared" si="188"/>
        <v>0</v>
      </c>
      <c r="CF139" s="261">
        <f t="shared" si="188"/>
        <v>0</v>
      </c>
      <c r="CG139" s="278">
        <f t="shared" si="188"/>
        <v>0</v>
      </c>
      <c r="CH139" s="280"/>
      <c r="CI139" s="280"/>
      <c r="CJ139" s="279" t="e">
        <f t="shared" si="188"/>
        <v>#DIV/0!</v>
      </c>
      <c r="CK139" s="261" t="e">
        <f t="shared" si="188"/>
        <v>#DIV/0!</v>
      </c>
      <c r="CL139" s="261">
        <f t="shared" si="188"/>
        <v>0</v>
      </c>
      <c r="CM139" s="261">
        <f t="shared" si="188"/>
        <v>6063900</v>
      </c>
      <c r="CN139" s="261">
        <f t="shared" si="188"/>
        <v>0</v>
      </c>
      <c r="CO139" s="261">
        <f t="shared" si="188"/>
        <v>59562930</v>
      </c>
      <c r="CP139" s="261">
        <f t="shared" si="188"/>
        <v>58985100</v>
      </c>
      <c r="CQ139" s="261" t="e">
        <f t="shared" si="188"/>
        <v>#DIV/0!</v>
      </c>
      <c r="CR139" s="261">
        <f t="shared" si="188"/>
        <v>0</v>
      </c>
      <c r="CS139" s="261">
        <f t="shared" si="188"/>
        <v>26424000</v>
      </c>
      <c r="CT139" s="261">
        <f t="shared" si="188"/>
        <v>107843810.25</v>
      </c>
      <c r="CU139" s="261">
        <f t="shared" si="188"/>
        <v>54.00499999999997</v>
      </c>
      <c r="CV139" s="261">
        <f t="shared" si="188"/>
        <v>45597490.595</v>
      </c>
      <c r="CW139" s="261">
        <f t="shared" si="188"/>
        <v>45428726.25</v>
      </c>
      <c r="CX139" s="261" t="e">
        <f t="shared" si="188"/>
        <v>#DIV/0!</v>
      </c>
      <c r="CY139" s="261">
        <f t="shared" si="188"/>
        <v>66757.5</v>
      </c>
      <c r="CZ139" s="261">
        <f t="shared" si="188"/>
        <v>110000</v>
      </c>
    </row>
    <row r="140" ht="13.5" customHeight="1">
      <c r="R140" s="144"/>
    </row>
    <row r="141" spans="2:87" ht="12.75" thickBot="1">
      <c r="B141" s="35" t="s">
        <v>187</v>
      </c>
      <c r="E141" s="13"/>
      <c r="P141" s="18"/>
      <c r="Q141" s="18"/>
      <c r="AZ141" s="13"/>
      <c r="BA141" s="13"/>
      <c r="BF141" s="18"/>
      <c r="BG141" s="13"/>
      <c r="BH141" s="13"/>
      <c r="BI141" s="18"/>
      <c r="BJ141" s="18"/>
      <c r="BQ141" s="13"/>
      <c r="BR141" s="13"/>
      <c r="BX141" s="192"/>
      <c r="BY141" s="192"/>
      <c r="BZ141" s="192"/>
      <c r="CI141" s="13"/>
    </row>
    <row r="142" spans="2:87" ht="13.5" thickBot="1">
      <c r="B142" s="281" t="s">
        <v>188</v>
      </c>
      <c r="C142" s="145"/>
      <c r="D142" s="146"/>
      <c r="E142" s="18"/>
      <c r="P142" s="18"/>
      <c r="Q142" s="18"/>
      <c r="AZ142" s="13"/>
      <c r="BA142" s="13"/>
      <c r="BF142" s="18"/>
      <c r="BG142" s="13"/>
      <c r="BH142" s="13"/>
      <c r="BI142" s="18"/>
      <c r="BJ142" s="18"/>
      <c r="BM142" s="84"/>
      <c r="BN142" s="84"/>
      <c r="BQ142" s="13"/>
      <c r="BR142" s="13"/>
      <c r="BX142" s="192"/>
      <c r="BY142" s="192"/>
      <c r="BZ142" s="192"/>
      <c r="CI142" s="13"/>
    </row>
    <row r="143" spans="2:87" ht="12">
      <c r="B143" s="35" t="s">
        <v>202</v>
      </c>
      <c r="D143" s="147">
        <v>31000</v>
      </c>
      <c r="E143" s="13"/>
      <c r="P143" s="18"/>
      <c r="Q143" s="18"/>
      <c r="AZ143" s="13"/>
      <c r="BA143" s="13"/>
      <c r="BF143" s="18"/>
      <c r="BG143" s="13"/>
      <c r="BH143" s="13"/>
      <c r="BI143" s="18"/>
      <c r="BJ143" s="18"/>
      <c r="BM143" s="138"/>
      <c r="BN143" s="138"/>
      <c r="BQ143" s="13"/>
      <c r="BR143" s="13"/>
      <c r="BX143" s="192"/>
      <c r="BY143" s="192"/>
      <c r="BZ143" s="192"/>
      <c r="CI143" s="13"/>
    </row>
    <row r="144" spans="2:87" ht="12">
      <c r="B144" s="35" t="s">
        <v>203</v>
      </c>
      <c r="D144" s="147">
        <v>366000</v>
      </c>
      <c r="E144" s="13"/>
      <c r="P144" s="18"/>
      <c r="Q144" s="18"/>
      <c r="AZ144" s="13"/>
      <c r="BA144" s="13"/>
      <c r="BF144" s="18"/>
      <c r="BG144" s="13"/>
      <c r="BH144" s="13"/>
      <c r="BI144" s="18"/>
      <c r="BJ144" s="18"/>
      <c r="BM144" s="138"/>
      <c r="BN144" s="138"/>
      <c r="BQ144" s="13"/>
      <c r="BR144" s="13"/>
      <c r="BX144" s="192"/>
      <c r="BY144" s="192"/>
      <c r="BZ144" s="192"/>
      <c r="CI144" s="13"/>
    </row>
    <row r="145" spans="2:87" ht="12">
      <c r="B145" s="35" t="s">
        <v>204</v>
      </c>
      <c r="D145" s="147">
        <v>51000</v>
      </c>
      <c r="E145" s="13"/>
      <c r="P145" s="18"/>
      <c r="Q145" s="18"/>
      <c r="AZ145" s="13"/>
      <c r="BA145" s="13"/>
      <c r="BF145" s="18"/>
      <c r="BG145" s="13"/>
      <c r="BH145" s="13"/>
      <c r="BI145" s="18"/>
      <c r="BJ145" s="18"/>
      <c r="BM145" s="138"/>
      <c r="BN145" s="138"/>
      <c r="BQ145" s="13"/>
      <c r="BR145" s="13"/>
      <c r="BX145" s="192"/>
      <c r="BY145" s="192"/>
      <c r="BZ145" s="192"/>
      <c r="CI145" s="13"/>
    </row>
    <row r="146" spans="2:87" ht="12.75">
      <c r="B146" s="281" t="s">
        <v>189</v>
      </c>
      <c r="C146" s="145"/>
      <c r="D146" s="146"/>
      <c r="E146" s="13"/>
      <c r="P146" s="18"/>
      <c r="Q146" s="18"/>
      <c r="AZ146" s="13"/>
      <c r="BA146" s="13"/>
      <c r="BF146" s="18"/>
      <c r="BG146" s="13"/>
      <c r="BH146" s="13"/>
      <c r="BI146" s="18"/>
      <c r="BJ146" s="18"/>
      <c r="BQ146" s="13"/>
      <c r="BR146" s="13"/>
      <c r="BX146" s="192"/>
      <c r="BY146" s="192"/>
      <c r="BZ146" s="192"/>
      <c r="CI146" s="13"/>
    </row>
    <row r="147" spans="2:87" ht="12">
      <c r="B147" s="35" t="s">
        <v>205</v>
      </c>
      <c r="D147" s="147">
        <v>417000</v>
      </c>
      <c r="E147" s="13"/>
      <c r="P147" s="18"/>
      <c r="Q147" s="18"/>
      <c r="AZ147" s="13"/>
      <c r="BA147" s="13"/>
      <c r="BF147" s="18"/>
      <c r="BG147" s="13"/>
      <c r="BH147" s="13"/>
      <c r="BI147" s="18"/>
      <c r="BJ147" s="18"/>
      <c r="BQ147" s="13"/>
      <c r="BR147" s="13"/>
      <c r="BX147" s="192"/>
      <c r="BY147" s="192"/>
      <c r="BZ147" s="192"/>
      <c r="CI147" s="13"/>
    </row>
    <row r="148" spans="2:87" ht="12">
      <c r="B148" s="35" t="s">
        <v>206</v>
      </c>
      <c r="D148" s="147">
        <v>18000</v>
      </c>
      <c r="E148" s="13"/>
      <c r="P148" s="18"/>
      <c r="Q148" s="18"/>
      <c r="AZ148" s="13"/>
      <c r="BA148" s="13"/>
      <c r="BF148" s="18"/>
      <c r="BG148" s="13"/>
      <c r="BH148" s="13"/>
      <c r="BI148" s="18"/>
      <c r="BJ148" s="18"/>
      <c r="BQ148" s="13"/>
      <c r="BR148" s="13"/>
      <c r="BX148" s="192"/>
      <c r="BY148" s="192"/>
      <c r="BZ148" s="192"/>
      <c r="CI148" s="13"/>
    </row>
    <row r="149" spans="2:87" ht="12">
      <c r="B149" s="35" t="s">
        <v>298</v>
      </c>
      <c r="D149" s="147">
        <v>236000</v>
      </c>
      <c r="E149" s="13"/>
      <c r="P149" s="18"/>
      <c r="Q149" s="18"/>
      <c r="AZ149" s="13"/>
      <c r="BA149" s="13"/>
      <c r="BF149" s="18"/>
      <c r="BG149" s="13"/>
      <c r="BH149" s="13"/>
      <c r="BI149" s="18"/>
      <c r="BJ149" s="18"/>
      <c r="BQ149" s="13"/>
      <c r="BR149" s="13"/>
      <c r="BX149" s="192"/>
      <c r="BY149" s="192"/>
      <c r="BZ149" s="192"/>
      <c r="CI149" s="13"/>
    </row>
    <row r="150" spans="2:87" ht="12.75">
      <c r="B150" s="281" t="s">
        <v>190</v>
      </c>
      <c r="C150" s="145"/>
      <c r="D150" s="146"/>
      <c r="E150" s="18"/>
      <c r="P150" s="18"/>
      <c r="Q150" s="18"/>
      <c r="AZ150" s="13"/>
      <c r="BA150" s="13"/>
      <c r="BF150" s="18"/>
      <c r="BG150" s="13"/>
      <c r="BH150" s="13"/>
      <c r="BI150" s="18"/>
      <c r="BJ150" s="18"/>
      <c r="BQ150" s="13"/>
      <c r="BR150" s="13"/>
      <c r="BX150" s="192"/>
      <c r="BY150" s="192"/>
      <c r="BZ150" s="192"/>
      <c r="CI150" s="13"/>
    </row>
    <row r="151" spans="2:87" ht="12">
      <c r="B151" s="35" t="s">
        <v>207</v>
      </c>
      <c r="D151" s="147">
        <v>18000</v>
      </c>
      <c r="E151" s="13"/>
      <c r="P151" s="18"/>
      <c r="Q151" s="18"/>
      <c r="AZ151" s="13"/>
      <c r="BA151" s="13"/>
      <c r="BF151" s="18"/>
      <c r="BG151" s="13"/>
      <c r="BH151" s="13"/>
      <c r="BI151" s="18"/>
      <c r="BJ151" s="18"/>
      <c r="BQ151" s="13"/>
      <c r="BR151" s="13"/>
      <c r="BX151" s="192"/>
      <c r="BY151" s="192"/>
      <c r="BZ151" s="192"/>
      <c r="CI151" s="13"/>
    </row>
    <row r="152" spans="2:87" ht="12">
      <c r="B152" s="35" t="s">
        <v>208</v>
      </c>
      <c r="D152" s="147">
        <v>312000</v>
      </c>
      <c r="E152" s="13"/>
      <c r="P152" s="18"/>
      <c r="Q152" s="18"/>
      <c r="AZ152" s="13"/>
      <c r="BA152" s="13"/>
      <c r="BF152" s="18"/>
      <c r="BG152" s="13"/>
      <c r="BH152" s="13"/>
      <c r="BI152" s="18"/>
      <c r="BJ152" s="18"/>
      <c r="BQ152" s="13"/>
      <c r="BR152" s="13"/>
      <c r="BX152" s="192"/>
      <c r="BY152" s="192"/>
      <c r="BZ152" s="192"/>
      <c r="CI152" s="13"/>
    </row>
    <row r="153" spans="2:87" ht="12">
      <c r="B153" s="35" t="s">
        <v>209</v>
      </c>
      <c r="D153" s="147">
        <v>356000</v>
      </c>
      <c r="E153" s="13"/>
      <c r="P153" s="18"/>
      <c r="Q153" s="18"/>
      <c r="AZ153" s="13"/>
      <c r="BA153" s="13"/>
      <c r="BF153" s="18"/>
      <c r="BG153" s="13"/>
      <c r="BH153" s="13"/>
      <c r="BI153" s="18"/>
      <c r="BJ153" s="18"/>
      <c r="BQ153" s="13"/>
      <c r="BR153" s="13"/>
      <c r="BX153" s="192"/>
      <c r="BY153" s="192"/>
      <c r="BZ153" s="192"/>
      <c r="CI153" s="13"/>
    </row>
    <row r="154" spans="2:87" ht="12">
      <c r="B154" s="35" t="s">
        <v>299</v>
      </c>
      <c r="D154" s="147">
        <v>16000</v>
      </c>
      <c r="E154" s="13"/>
      <c r="P154" s="18"/>
      <c r="Q154" s="18"/>
      <c r="AZ154" s="13"/>
      <c r="BA154" s="13"/>
      <c r="BF154" s="18"/>
      <c r="BG154" s="13"/>
      <c r="BH154" s="13"/>
      <c r="BI154" s="18"/>
      <c r="BJ154" s="18"/>
      <c r="BQ154" s="13"/>
      <c r="BR154" s="13"/>
      <c r="BX154" s="192"/>
      <c r="BY154" s="192"/>
      <c r="BZ154" s="192"/>
      <c r="CI154" s="13"/>
    </row>
    <row r="155" spans="2:87" ht="12.75">
      <c r="B155" s="281" t="s">
        <v>191</v>
      </c>
      <c r="C155" s="145"/>
      <c r="D155" s="146"/>
      <c r="E155" s="13"/>
      <c r="P155" s="18"/>
      <c r="Q155" s="18"/>
      <c r="AZ155" s="13"/>
      <c r="BA155" s="13"/>
      <c r="BF155" s="18"/>
      <c r="BG155" s="13"/>
      <c r="BH155" s="13"/>
      <c r="BI155" s="18"/>
      <c r="BJ155" s="18"/>
      <c r="BQ155" s="13"/>
      <c r="BR155" s="13"/>
      <c r="BX155" s="192"/>
      <c r="BY155" s="192"/>
      <c r="BZ155" s="192"/>
      <c r="CI155" s="13"/>
    </row>
    <row r="156" spans="2:87" ht="12">
      <c r="B156" s="35" t="s">
        <v>223</v>
      </c>
      <c r="C156" s="145"/>
      <c r="D156" s="147">
        <v>158000</v>
      </c>
      <c r="E156" s="13"/>
      <c r="P156" s="18"/>
      <c r="Q156" s="18"/>
      <c r="AZ156" s="13"/>
      <c r="BA156" s="13"/>
      <c r="BF156" s="18"/>
      <c r="BG156" s="13"/>
      <c r="BH156" s="13"/>
      <c r="BI156" s="18"/>
      <c r="BJ156" s="18"/>
      <c r="BQ156" s="13"/>
      <c r="BR156" s="13"/>
      <c r="BX156" s="192"/>
      <c r="BY156" s="192"/>
      <c r="BZ156" s="192"/>
      <c r="CI156" s="13"/>
    </row>
    <row r="157" spans="2:87" ht="12.75">
      <c r="B157" s="281" t="s">
        <v>192</v>
      </c>
      <c r="C157" s="145"/>
      <c r="D157" s="146"/>
      <c r="E157" s="13"/>
      <c r="P157" s="18"/>
      <c r="Q157" s="18"/>
      <c r="AZ157" s="13"/>
      <c r="BA157" s="13"/>
      <c r="BF157" s="18"/>
      <c r="BG157" s="13"/>
      <c r="BH157" s="13"/>
      <c r="BI157" s="18"/>
      <c r="BJ157" s="18"/>
      <c r="BQ157" s="13"/>
      <c r="BR157" s="13"/>
      <c r="BX157" s="192"/>
      <c r="BY157" s="192"/>
      <c r="BZ157" s="192"/>
      <c r="CI157" s="13"/>
    </row>
    <row r="158" spans="2:87" ht="12">
      <c r="B158" s="35" t="s">
        <v>210</v>
      </c>
      <c r="C158" s="145"/>
      <c r="D158" s="147">
        <v>21500</v>
      </c>
      <c r="E158" s="13"/>
      <c r="P158" s="18"/>
      <c r="Q158" s="18"/>
      <c r="AZ158" s="13"/>
      <c r="BA158" s="13"/>
      <c r="BF158" s="18"/>
      <c r="BG158" s="13"/>
      <c r="BH158" s="13"/>
      <c r="BI158" s="18"/>
      <c r="BJ158" s="18"/>
      <c r="BQ158" s="13"/>
      <c r="BR158" s="13"/>
      <c r="BX158" s="192"/>
      <c r="BY158" s="192"/>
      <c r="BZ158" s="192"/>
      <c r="CI158" s="13"/>
    </row>
    <row r="159" spans="2:87" ht="12">
      <c r="B159" s="35" t="s">
        <v>300</v>
      </c>
      <c r="C159" s="145"/>
      <c r="D159" s="147">
        <v>5900</v>
      </c>
      <c r="E159" s="13"/>
      <c r="P159" s="18"/>
      <c r="Q159" s="18"/>
      <c r="AZ159" s="13"/>
      <c r="BA159" s="13"/>
      <c r="BF159" s="18"/>
      <c r="BG159" s="13"/>
      <c r="BH159" s="13"/>
      <c r="BI159" s="18"/>
      <c r="BJ159" s="18"/>
      <c r="BQ159" s="13"/>
      <c r="BR159" s="13"/>
      <c r="BX159" s="192"/>
      <c r="BY159" s="192"/>
      <c r="BZ159" s="192"/>
      <c r="CI159" s="13"/>
    </row>
    <row r="160" spans="2:87" ht="12.75">
      <c r="B160" s="281" t="s">
        <v>193</v>
      </c>
      <c r="C160" s="145"/>
      <c r="D160" s="146"/>
      <c r="E160" s="13"/>
      <c r="P160" s="18"/>
      <c r="Q160" s="18"/>
      <c r="AZ160" s="13"/>
      <c r="BA160" s="13"/>
      <c r="BF160" s="18"/>
      <c r="BG160" s="13"/>
      <c r="BH160" s="13"/>
      <c r="BI160" s="18"/>
      <c r="BJ160" s="18"/>
      <c r="BQ160" s="13"/>
      <c r="BR160" s="13"/>
      <c r="BX160" s="192"/>
      <c r="BY160" s="192"/>
      <c r="BZ160" s="192"/>
      <c r="CI160" s="13"/>
    </row>
    <row r="161" spans="2:87" ht="12">
      <c r="B161" s="35" t="s">
        <v>211</v>
      </c>
      <c r="D161" s="147">
        <v>137900</v>
      </c>
      <c r="E161" s="13"/>
      <c r="P161" s="18"/>
      <c r="Q161" s="18"/>
      <c r="AZ161" s="13"/>
      <c r="BA161" s="13"/>
      <c r="BF161" s="18"/>
      <c r="BG161" s="13"/>
      <c r="BH161" s="13"/>
      <c r="BI161" s="18"/>
      <c r="BJ161" s="18"/>
      <c r="BQ161" s="13"/>
      <c r="BR161" s="13"/>
      <c r="BX161" s="192"/>
      <c r="BY161" s="192"/>
      <c r="BZ161" s="192"/>
      <c r="CI161" s="13"/>
    </row>
    <row r="162" spans="2:87" ht="12.75">
      <c r="B162" s="281" t="s">
        <v>194</v>
      </c>
      <c r="C162" s="145"/>
      <c r="D162" s="146"/>
      <c r="E162" s="13"/>
      <c r="P162" s="18"/>
      <c r="Q162" s="18"/>
      <c r="AZ162" s="13"/>
      <c r="BA162" s="13"/>
      <c r="BF162" s="18"/>
      <c r="BG162" s="13"/>
      <c r="BH162" s="13"/>
      <c r="BI162" s="18"/>
      <c r="BJ162" s="18"/>
      <c r="BQ162" s="13"/>
      <c r="BR162" s="13"/>
      <c r="BX162" s="192"/>
      <c r="BY162" s="192"/>
      <c r="BZ162" s="192"/>
      <c r="CI162" s="13"/>
    </row>
    <row r="163" spans="2:87" ht="12">
      <c r="B163" s="35" t="s">
        <v>212</v>
      </c>
      <c r="D163" s="147">
        <v>227900</v>
      </c>
      <c r="E163" s="13"/>
      <c r="P163" s="18"/>
      <c r="Q163" s="18"/>
      <c r="AZ163" s="13"/>
      <c r="BA163" s="13"/>
      <c r="BF163" s="18"/>
      <c r="BG163" s="13"/>
      <c r="BH163" s="13"/>
      <c r="BI163" s="18"/>
      <c r="BJ163" s="18"/>
      <c r="BQ163" s="13"/>
      <c r="BR163" s="13"/>
      <c r="BX163" s="192"/>
      <c r="BY163" s="192"/>
      <c r="BZ163" s="192"/>
      <c r="CI163" s="13"/>
    </row>
    <row r="164" spans="2:87" ht="12.75">
      <c r="B164" s="281" t="s">
        <v>195</v>
      </c>
      <c r="C164" s="145"/>
      <c r="D164" s="146"/>
      <c r="E164" s="18"/>
      <c r="P164" s="18"/>
      <c r="Q164" s="18"/>
      <c r="AZ164" s="13"/>
      <c r="BA164" s="13"/>
      <c r="BF164" s="18"/>
      <c r="BG164" s="13"/>
      <c r="BH164" s="13"/>
      <c r="BI164" s="18"/>
      <c r="BJ164" s="18"/>
      <c r="BQ164" s="13"/>
      <c r="BR164" s="13"/>
      <c r="BX164" s="192"/>
      <c r="BY164" s="192"/>
      <c r="BZ164" s="192"/>
      <c r="CI164" s="13"/>
    </row>
    <row r="165" spans="2:87" ht="12">
      <c r="B165" s="35" t="s">
        <v>213</v>
      </c>
      <c r="D165" s="147">
        <v>30000</v>
      </c>
      <c r="E165" s="13"/>
      <c r="P165" s="18"/>
      <c r="Q165" s="18"/>
      <c r="AZ165" s="13"/>
      <c r="BA165" s="13"/>
      <c r="BF165" s="18"/>
      <c r="BG165" s="13"/>
      <c r="BH165" s="13"/>
      <c r="BI165" s="18"/>
      <c r="BJ165" s="18"/>
      <c r="BQ165" s="13"/>
      <c r="BR165" s="13"/>
      <c r="BX165" s="192"/>
      <c r="BY165" s="192"/>
      <c r="BZ165" s="192"/>
      <c r="CI165" s="13"/>
    </row>
    <row r="166" spans="2:87" ht="12">
      <c r="B166" s="35" t="s">
        <v>214</v>
      </c>
      <c r="D166" s="147">
        <v>459000</v>
      </c>
      <c r="E166" s="13"/>
      <c r="P166" s="18"/>
      <c r="Q166" s="18"/>
      <c r="AZ166" s="13"/>
      <c r="BA166" s="13"/>
      <c r="BF166" s="18"/>
      <c r="BG166" s="13"/>
      <c r="BH166" s="13"/>
      <c r="BI166" s="18"/>
      <c r="BJ166" s="18"/>
      <c r="BQ166" s="13"/>
      <c r="BR166" s="13"/>
      <c r="BX166" s="192"/>
      <c r="BY166" s="192"/>
      <c r="BZ166" s="192"/>
      <c r="CI166" s="13"/>
    </row>
    <row r="167" spans="2:87" ht="12">
      <c r="B167" s="35" t="s">
        <v>215</v>
      </c>
      <c r="D167" s="147">
        <v>434000</v>
      </c>
      <c r="E167" s="13"/>
      <c r="P167" s="18"/>
      <c r="Q167" s="18"/>
      <c r="AZ167" s="13"/>
      <c r="BA167" s="13"/>
      <c r="BF167" s="18"/>
      <c r="BG167" s="13"/>
      <c r="BH167" s="13"/>
      <c r="BI167" s="18"/>
      <c r="BJ167" s="18"/>
      <c r="BQ167" s="13"/>
      <c r="BR167" s="13"/>
      <c r="BX167" s="192"/>
      <c r="BY167" s="192"/>
      <c r="BZ167" s="192"/>
      <c r="CI167" s="13"/>
    </row>
    <row r="168" spans="2:87" ht="12">
      <c r="B168" s="35" t="s">
        <v>301</v>
      </c>
      <c r="D168" s="147">
        <v>699000</v>
      </c>
      <c r="E168" s="13"/>
      <c r="P168" s="18"/>
      <c r="Q168" s="18"/>
      <c r="AZ168" s="13"/>
      <c r="BA168" s="13"/>
      <c r="BF168" s="18"/>
      <c r="BG168" s="13"/>
      <c r="BH168" s="13"/>
      <c r="BI168" s="18"/>
      <c r="BJ168" s="18"/>
      <c r="BQ168" s="13"/>
      <c r="BR168" s="13"/>
      <c r="BX168" s="192"/>
      <c r="BY168" s="192"/>
      <c r="BZ168" s="192"/>
      <c r="CI168" s="13"/>
    </row>
    <row r="169" spans="2:87" ht="12.75">
      <c r="B169" s="281" t="s">
        <v>196</v>
      </c>
      <c r="C169" s="145"/>
      <c r="D169" s="146"/>
      <c r="E169" s="13"/>
      <c r="P169" s="18"/>
      <c r="Q169" s="18"/>
      <c r="AZ169" s="13"/>
      <c r="BA169" s="13"/>
      <c r="BF169" s="18"/>
      <c r="BG169" s="13"/>
      <c r="BH169" s="13"/>
      <c r="BI169" s="18"/>
      <c r="BJ169" s="18"/>
      <c r="BQ169" s="13"/>
      <c r="BR169" s="13"/>
      <c r="BX169" s="192"/>
      <c r="BY169" s="192"/>
      <c r="BZ169" s="192"/>
      <c r="CI169" s="13"/>
    </row>
    <row r="170" spans="2:87" ht="12">
      <c r="B170" s="35" t="s">
        <v>302</v>
      </c>
      <c r="D170" s="147">
        <v>57500</v>
      </c>
      <c r="E170" s="13"/>
      <c r="P170" s="18"/>
      <c r="Q170" s="18"/>
      <c r="AZ170" s="13"/>
      <c r="BA170" s="13"/>
      <c r="BF170" s="18"/>
      <c r="BG170" s="13"/>
      <c r="BH170" s="13"/>
      <c r="BI170" s="18"/>
      <c r="BJ170" s="18"/>
      <c r="BQ170" s="13"/>
      <c r="BR170" s="13"/>
      <c r="BX170" s="192"/>
      <c r="BY170" s="192"/>
      <c r="BZ170" s="192"/>
      <c r="CI170" s="13"/>
    </row>
    <row r="171" spans="2:87" ht="12">
      <c r="B171" s="35" t="s">
        <v>216</v>
      </c>
      <c r="D171" s="147">
        <v>226900</v>
      </c>
      <c r="E171" s="13"/>
      <c r="P171" s="18"/>
      <c r="Q171" s="18"/>
      <c r="AZ171" s="13"/>
      <c r="BA171" s="13"/>
      <c r="BF171" s="18"/>
      <c r="BG171" s="13"/>
      <c r="BH171" s="13"/>
      <c r="BI171" s="18"/>
      <c r="BJ171" s="18"/>
      <c r="BQ171" s="13"/>
      <c r="BR171" s="13"/>
      <c r="BX171" s="192"/>
      <c r="BY171" s="192"/>
      <c r="BZ171" s="192"/>
      <c r="CI171" s="13"/>
    </row>
    <row r="172" spans="2:87" ht="12">
      <c r="B172" s="35" t="s">
        <v>303</v>
      </c>
      <c r="D172" s="147">
        <v>18300</v>
      </c>
      <c r="E172" s="13"/>
      <c r="P172" s="18"/>
      <c r="Q172" s="18"/>
      <c r="AZ172" s="13"/>
      <c r="BA172" s="13"/>
      <c r="BF172" s="18"/>
      <c r="BG172" s="13"/>
      <c r="BH172" s="13"/>
      <c r="BI172" s="18"/>
      <c r="BJ172" s="18"/>
      <c r="BQ172" s="13"/>
      <c r="BR172" s="13"/>
      <c r="BX172" s="192"/>
      <c r="BY172" s="192"/>
      <c r="BZ172" s="192"/>
      <c r="CI172" s="13"/>
    </row>
    <row r="173" spans="2:87" ht="12.75">
      <c r="B173" s="281" t="s">
        <v>197</v>
      </c>
      <c r="C173" s="145"/>
      <c r="D173" s="146"/>
      <c r="E173" s="13"/>
      <c r="P173" s="18"/>
      <c r="Q173" s="18"/>
      <c r="AZ173" s="13"/>
      <c r="BA173" s="13"/>
      <c r="BF173" s="18"/>
      <c r="BG173" s="13"/>
      <c r="BH173" s="13"/>
      <c r="BI173" s="18"/>
      <c r="BJ173" s="18"/>
      <c r="BQ173" s="13"/>
      <c r="BR173" s="13"/>
      <c r="BX173" s="192"/>
      <c r="BY173" s="192"/>
      <c r="BZ173" s="192"/>
      <c r="CI173" s="13"/>
    </row>
    <row r="174" spans="2:87" ht="12">
      <c r="B174" s="35" t="s">
        <v>217</v>
      </c>
      <c r="D174" s="147">
        <v>62900</v>
      </c>
      <c r="E174" s="13"/>
      <c r="P174" s="18"/>
      <c r="Q174" s="18"/>
      <c r="AZ174" s="13"/>
      <c r="BA174" s="13"/>
      <c r="BF174" s="18"/>
      <c r="BG174" s="13"/>
      <c r="BH174" s="13"/>
      <c r="BI174" s="18"/>
      <c r="BJ174" s="18"/>
      <c r="BQ174" s="13"/>
      <c r="BR174" s="13"/>
      <c r="BX174" s="192"/>
      <c r="BY174" s="192"/>
      <c r="BZ174" s="192"/>
      <c r="CI174" s="13"/>
    </row>
    <row r="175" spans="2:87" ht="12">
      <c r="B175" s="35" t="s">
        <v>218</v>
      </c>
      <c r="D175" s="147">
        <v>102200</v>
      </c>
      <c r="E175" s="13"/>
      <c r="P175" s="18"/>
      <c r="Q175" s="18"/>
      <c r="AZ175" s="13"/>
      <c r="BA175" s="13"/>
      <c r="BF175" s="18"/>
      <c r="BG175" s="13"/>
      <c r="BH175" s="13"/>
      <c r="BI175" s="18"/>
      <c r="BJ175" s="18"/>
      <c r="BQ175" s="13"/>
      <c r="BR175" s="13"/>
      <c r="BX175" s="192"/>
      <c r="BY175" s="192"/>
      <c r="BZ175" s="192"/>
      <c r="CI175" s="13"/>
    </row>
    <row r="176" spans="2:87" ht="12.75">
      <c r="B176" s="281" t="s">
        <v>304</v>
      </c>
      <c r="D176" s="147"/>
      <c r="E176" s="13"/>
      <c r="P176" s="18"/>
      <c r="Q176" s="18"/>
      <c r="AZ176" s="13"/>
      <c r="BA176" s="13"/>
      <c r="BF176" s="18"/>
      <c r="BG176" s="13"/>
      <c r="BH176" s="13"/>
      <c r="BI176" s="18"/>
      <c r="BJ176" s="18"/>
      <c r="BQ176" s="13"/>
      <c r="BR176" s="13"/>
      <c r="BX176" s="192"/>
      <c r="BY176" s="192"/>
      <c r="BZ176" s="192"/>
      <c r="CI176" s="13"/>
    </row>
    <row r="177" spans="2:87" ht="12">
      <c r="B177" s="35" t="s">
        <v>305</v>
      </c>
      <c r="D177" s="147">
        <v>34000</v>
      </c>
      <c r="E177" s="13"/>
      <c r="P177" s="18"/>
      <c r="Q177" s="18"/>
      <c r="AZ177" s="13"/>
      <c r="BA177" s="13"/>
      <c r="BF177" s="18"/>
      <c r="BG177" s="13"/>
      <c r="BH177" s="13"/>
      <c r="BI177" s="18"/>
      <c r="BJ177" s="18"/>
      <c r="BQ177" s="13"/>
      <c r="BR177" s="13"/>
      <c r="BX177" s="192"/>
      <c r="BY177" s="192"/>
      <c r="BZ177" s="192"/>
      <c r="CI177" s="13"/>
    </row>
    <row r="178" spans="2:87" ht="12">
      <c r="B178" s="35" t="s">
        <v>313</v>
      </c>
      <c r="D178" s="147">
        <v>39000</v>
      </c>
      <c r="E178" s="13"/>
      <c r="P178" s="18"/>
      <c r="Q178" s="18"/>
      <c r="AZ178" s="13"/>
      <c r="BA178" s="13"/>
      <c r="BF178" s="18"/>
      <c r="BG178" s="13"/>
      <c r="BH178" s="13"/>
      <c r="BI178" s="18"/>
      <c r="BJ178" s="18"/>
      <c r="BQ178" s="13"/>
      <c r="BR178" s="13"/>
      <c r="BX178" s="192"/>
      <c r="BY178" s="192"/>
      <c r="BZ178" s="192"/>
      <c r="CI178" s="13"/>
    </row>
    <row r="179" spans="2:87" ht="12.75">
      <c r="B179" s="281" t="s">
        <v>198</v>
      </c>
      <c r="C179" s="145"/>
      <c r="D179" s="146"/>
      <c r="E179" s="18"/>
      <c r="P179" s="18"/>
      <c r="Q179" s="18"/>
      <c r="AZ179" s="13"/>
      <c r="BA179" s="13"/>
      <c r="BF179" s="18"/>
      <c r="BG179" s="13"/>
      <c r="BH179" s="13"/>
      <c r="BI179" s="18"/>
      <c r="BJ179" s="18"/>
      <c r="BQ179" s="13"/>
      <c r="BR179" s="13"/>
      <c r="BX179" s="192"/>
      <c r="BY179" s="192"/>
      <c r="BZ179" s="192"/>
      <c r="CI179" s="13"/>
    </row>
    <row r="180" spans="2:87" ht="12">
      <c r="B180" s="35" t="s">
        <v>219</v>
      </c>
      <c r="D180" s="147">
        <v>152000</v>
      </c>
      <c r="E180" s="13"/>
      <c r="P180" s="18"/>
      <c r="Q180" s="18"/>
      <c r="AZ180" s="13"/>
      <c r="BA180" s="13"/>
      <c r="BF180" s="18"/>
      <c r="BG180" s="13"/>
      <c r="BH180" s="13"/>
      <c r="BI180" s="18"/>
      <c r="BJ180" s="18"/>
      <c r="BQ180" s="13"/>
      <c r="BR180" s="13"/>
      <c r="BX180" s="192"/>
      <c r="BY180" s="192"/>
      <c r="BZ180" s="192"/>
      <c r="CI180" s="13"/>
    </row>
    <row r="181" spans="2:87" ht="12">
      <c r="B181" s="35" t="s">
        <v>220</v>
      </c>
      <c r="D181" s="147">
        <v>610000</v>
      </c>
      <c r="E181" s="13"/>
      <c r="P181" s="18"/>
      <c r="Q181" s="18"/>
      <c r="AZ181" s="13"/>
      <c r="BA181" s="13"/>
      <c r="BF181" s="18"/>
      <c r="BG181" s="13"/>
      <c r="BH181" s="13"/>
      <c r="BI181" s="18"/>
      <c r="BJ181" s="18"/>
      <c r="BQ181" s="13"/>
      <c r="BR181" s="13"/>
      <c r="BX181" s="192"/>
      <c r="BY181" s="192"/>
      <c r="BZ181" s="192"/>
      <c r="CI181" s="13"/>
    </row>
    <row r="182" spans="2:87" ht="12">
      <c r="B182" s="35" t="s">
        <v>306</v>
      </c>
      <c r="D182" s="147">
        <v>48000</v>
      </c>
      <c r="E182" s="13"/>
      <c r="P182" s="18"/>
      <c r="Q182" s="18"/>
      <c r="AZ182" s="13"/>
      <c r="BA182" s="13"/>
      <c r="BF182" s="18"/>
      <c r="BG182" s="13"/>
      <c r="BH182" s="13"/>
      <c r="BI182" s="18"/>
      <c r="BJ182" s="18"/>
      <c r="BQ182" s="13"/>
      <c r="BR182" s="13"/>
      <c r="BX182" s="192"/>
      <c r="BY182" s="192"/>
      <c r="BZ182" s="192"/>
      <c r="CI182" s="13"/>
    </row>
    <row r="183" spans="2:87" ht="12.75">
      <c r="B183" s="281" t="s">
        <v>199</v>
      </c>
      <c r="C183" s="145"/>
      <c r="D183" s="146"/>
      <c r="E183" s="18"/>
      <c r="P183" s="18"/>
      <c r="Q183" s="18"/>
      <c r="AZ183" s="13"/>
      <c r="BA183" s="13"/>
      <c r="BF183" s="18"/>
      <c r="BG183" s="13"/>
      <c r="BH183" s="13"/>
      <c r="BI183" s="18"/>
      <c r="BJ183" s="18"/>
      <c r="BQ183" s="13"/>
      <c r="BR183" s="13"/>
      <c r="BX183" s="192"/>
      <c r="BY183" s="192"/>
      <c r="BZ183" s="192"/>
      <c r="CI183" s="13"/>
    </row>
    <row r="184" spans="2:87" ht="12">
      <c r="B184" s="35" t="s">
        <v>221</v>
      </c>
      <c r="D184" s="147">
        <v>569000</v>
      </c>
      <c r="E184" s="13"/>
      <c r="P184" s="18"/>
      <c r="Q184" s="18"/>
      <c r="AZ184" s="13"/>
      <c r="BA184" s="13"/>
      <c r="BF184" s="18"/>
      <c r="BG184" s="13"/>
      <c r="BH184" s="13"/>
      <c r="BI184" s="18"/>
      <c r="BJ184" s="18"/>
      <c r="BQ184" s="13"/>
      <c r="BR184" s="13"/>
      <c r="BX184" s="192"/>
      <c r="BY184" s="192"/>
      <c r="BZ184" s="192"/>
      <c r="CI184" s="13"/>
    </row>
    <row r="185" spans="2:87" ht="12">
      <c r="B185" s="35" t="s">
        <v>222</v>
      </c>
      <c r="D185" s="147">
        <v>420000</v>
      </c>
      <c r="E185" s="13"/>
      <c r="P185" s="18"/>
      <c r="Q185" s="18"/>
      <c r="AZ185" s="13"/>
      <c r="BA185" s="13"/>
      <c r="BF185" s="18"/>
      <c r="BG185" s="13"/>
      <c r="BH185" s="13"/>
      <c r="BI185" s="18"/>
      <c r="BJ185" s="18"/>
      <c r="BQ185" s="13"/>
      <c r="BR185" s="13"/>
      <c r="BX185" s="192"/>
      <c r="BY185" s="192"/>
      <c r="BZ185" s="192"/>
      <c r="CI185" s="13"/>
    </row>
    <row r="186" spans="2:87" ht="12.75">
      <c r="B186" s="281" t="s">
        <v>200</v>
      </c>
      <c r="C186" s="145"/>
      <c r="D186" s="146"/>
      <c r="E186" s="13"/>
      <c r="P186" s="18"/>
      <c r="Q186" s="18"/>
      <c r="AZ186" s="13"/>
      <c r="BA186" s="13"/>
      <c r="BF186" s="18"/>
      <c r="BG186" s="13"/>
      <c r="BH186" s="13"/>
      <c r="BI186" s="18"/>
      <c r="BJ186" s="18"/>
      <c r="BQ186" s="13"/>
      <c r="BR186" s="13"/>
      <c r="BX186" s="192"/>
      <c r="BY186" s="192"/>
      <c r="BZ186" s="192"/>
      <c r="CI186" s="13"/>
    </row>
    <row r="187" spans="2:87" ht="12">
      <c r="B187" s="35" t="s">
        <v>224</v>
      </c>
      <c r="D187" s="147">
        <v>32000</v>
      </c>
      <c r="E187" s="13"/>
      <c r="P187" s="18"/>
      <c r="Q187" s="18"/>
      <c r="AZ187" s="13"/>
      <c r="BA187" s="13"/>
      <c r="BF187" s="18"/>
      <c r="BG187" s="13"/>
      <c r="BH187" s="13"/>
      <c r="BI187" s="18"/>
      <c r="BJ187" s="18"/>
      <c r="BQ187" s="13"/>
      <c r="BR187" s="13"/>
      <c r="BX187" s="192"/>
      <c r="BY187" s="192"/>
      <c r="BZ187" s="192"/>
      <c r="CI187" s="13"/>
    </row>
    <row r="188" spans="2:87" ht="12">
      <c r="B188" s="35" t="s">
        <v>307</v>
      </c>
      <c r="D188" s="147">
        <v>42000</v>
      </c>
      <c r="E188" s="13"/>
      <c r="P188" s="18"/>
      <c r="Q188" s="18"/>
      <c r="AZ188" s="13"/>
      <c r="BA188" s="13"/>
      <c r="BF188" s="18"/>
      <c r="BG188" s="13"/>
      <c r="BH188" s="13"/>
      <c r="BI188" s="18"/>
      <c r="BJ188" s="18"/>
      <c r="BQ188" s="13"/>
      <c r="BR188" s="13"/>
      <c r="BX188" s="192"/>
      <c r="BY188" s="192"/>
      <c r="BZ188" s="192"/>
      <c r="CI188" s="13"/>
    </row>
    <row r="189" spans="2:87" ht="12.75">
      <c r="B189" s="281" t="s">
        <v>201</v>
      </c>
      <c r="C189" s="145"/>
      <c r="D189" s="146"/>
      <c r="E189" s="18"/>
      <c r="P189" s="18"/>
      <c r="Q189" s="18"/>
      <c r="AZ189" s="13"/>
      <c r="BA189" s="13"/>
      <c r="BF189" s="18"/>
      <c r="BG189" s="13"/>
      <c r="BH189" s="13"/>
      <c r="BI189" s="18"/>
      <c r="BJ189" s="18"/>
      <c r="BQ189" s="13"/>
      <c r="BR189" s="13"/>
      <c r="BX189" s="192"/>
      <c r="BY189" s="192"/>
      <c r="BZ189" s="192"/>
      <c r="CI189" s="13"/>
    </row>
    <row r="190" spans="2:5" ht="12">
      <c r="B190" s="35" t="s">
        <v>225</v>
      </c>
      <c r="D190" s="147">
        <v>26000</v>
      </c>
      <c r="E190" s="147"/>
    </row>
    <row r="191" spans="2:4" ht="12">
      <c r="B191" s="35" t="s">
        <v>226</v>
      </c>
      <c r="D191" s="147">
        <v>67600</v>
      </c>
    </row>
    <row r="192" spans="2:4" ht="15">
      <c r="B192" s="282" t="s">
        <v>57</v>
      </c>
      <c r="C192" s="145"/>
      <c r="D192" s="283">
        <f>SUM(D142:D191)</f>
        <v>6501600</v>
      </c>
    </row>
    <row r="193" spans="81:94" ht="12">
      <c r="CC193" s="24"/>
      <c r="CD193" s="24"/>
      <c r="CE193" s="24"/>
      <c r="CF193" s="24"/>
      <c r="CG193" s="24"/>
      <c r="CM193" s="24"/>
      <c r="CN193" s="24"/>
      <c r="CO193" s="24"/>
      <c r="CP193" s="24"/>
    </row>
    <row r="194" spans="79:82" ht="12">
      <c r="CA194" s="29"/>
      <c r="CB194" s="29"/>
      <c r="CD194" s="29"/>
    </row>
  </sheetData>
  <mergeCells count="3">
    <mergeCell ref="CH6:CI6"/>
    <mergeCell ref="A3:AX3"/>
    <mergeCell ref="A4:CH5"/>
  </mergeCells>
  <conditionalFormatting sqref="CD7:CD136">
    <cfRule type="cellIs" priority="1" dxfId="0" operator="lessThan" stopIfTrue="1">
      <formula>$CD$35</formula>
    </cfRule>
  </conditionalFormatting>
  <printOptions/>
  <pageMargins left="0.7874015748031497" right="0.7874015748031497" top="0.984251968503937" bottom="0.984251968503937" header="0.5118110236220472" footer="0.5118110236220472"/>
  <pageSetup fitToHeight="5" horizontalDpi="600" verticalDpi="600" orientation="portrait" paperSize="9" scale="57" r:id="rId3"/>
  <headerFooter alignWithMargins="0">
    <oddFooter>&amp;CStránka &amp;P z &amp;N</oddFooter>
  </headerFooter>
  <colBreaks count="1" manualBreakCount="1">
    <brk id="104" min="2" max="208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sykora</dc:creator>
  <cp:keywords/>
  <dc:description/>
  <cp:lastModifiedBy>sykora</cp:lastModifiedBy>
  <cp:lastPrinted>2008-12-02T21:35:19Z</cp:lastPrinted>
  <dcterms:created xsi:type="dcterms:W3CDTF">2008-01-23T12:57:27Z</dcterms:created>
  <dcterms:modified xsi:type="dcterms:W3CDTF">2008-12-05T07:54:39Z</dcterms:modified>
  <cp:category/>
  <cp:version/>
  <cp:contentType/>
  <cp:contentStatus/>
</cp:coreProperties>
</file>