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2008" sheetId="1" r:id="rId1"/>
    <sheet name="Cizí samostatně" sheetId="2" r:id="rId2"/>
    <sheet name="2007" sheetId="3" r:id="rId3"/>
  </sheets>
  <definedNames>
    <definedName name="_xlnm.Print_Area" localSheetId="0">'2008'!$A$1:$P$57</definedName>
  </definedNames>
  <calcPr fullCalcOnLoad="1"/>
</workbook>
</file>

<file path=xl/sharedStrings.xml><?xml version="1.0" encoding="utf-8"?>
<sst xmlns="http://schemas.openxmlformats.org/spreadsheetml/2006/main" count="222" uniqueCount="81">
  <si>
    <t>leden</t>
  </si>
  <si>
    <t>únor</t>
  </si>
  <si>
    <t>březen</t>
  </si>
  <si>
    <t>DE</t>
  </si>
  <si>
    <t>DO</t>
  </si>
  <si>
    <t>Celkem</t>
  </si>
  <si>
    <t>celkem kontaktů</t>
  </si>
  <si>
    <t>změna v %</t>
  </si>
  <si>
    <t>poplatky celkem</t>
  </si>
  <si>
    <t>Období</t>
  </si>
  <si>
    <t>2008-2007</t>
  </si>
  <si>
    <t>+ / -</t>
  </si>
  <si>
    <t>odesláno k hospitalizaci</t>
  </si>
  <si>
    <t>odesláno na další vyšetření</t>
  </si>
  <si>
    <t>poplatky nezaplatilo</t>
  </si>
  <si>
    <t>okres Žďár nad Sázavou</t>
  </si>
  <si>
    <t>okres Jihlava</t>
  </si>
  <si>
    <t>okres Pelhřimov</t>
  </si>
  <si>
    <t>okres Třebíč</t>
  </si>
  <si>
    <t>kraj celkem</t>
  </si>
  <si>
    <t>celkem ošetřeno</t>
  </si>
  <si>
    <t>dotace kraje na 1 ošetření</t>
  </si>
  <si>
    <t>celkem ošetření (průměrná hodnota)</t>
  </si>
  <si>
    <t>následně hospitalizováno</t>
  </si>
  <si>
    <t>obyvatelé kraje na počet vyšetření</t>
  </si>
  <si>
    <t>dále ambulantně vyšetřeno</t>
  </si>
  <si>
    <t>průměrný počet ošetření za den</t>
  </si>
  <si>
    <t>obyvatelé okresu na počet vyšetření</t>
  </si>
  <si>
    <t>obyvatelé - pomocné hodnoty pro výpočet</t>
  </si>
  <si>
    <t xml:space="preserve">Dospělí </t>
  </si>
  <si>
    <t>Děti</t>
  </si>
  <si>
    <t>průměr měsíc DO</t>
  </si>
  <si>
    <t>průměr měsíc DE</t>
  </si>
  <si>
    <t>Havlíčkův Brod</t>
  </si>
  <si>
    <t>Chotěboř</t>
  </si>
  <si>
    <t>Ledeč</t>
  </si>
  <si>
    <t>Celkem Havlíčkobrodsko</t>
  </si>
  <si>
    <t>Jihlava</t>
  </si>
  <si>
    <t>Dukovany</t>
  </si>
  <si>
    <t>Moravské Budějovice</t>
  </si>
  <si>
    <t>Náměšť nad Oslavou</t>
  </si>
  <si>
    <t>Třebíč</t>
  </si>
  <si>
    <t>Celkem Třebíčsko</t>
  </si>
  <si>
    <t>Pacov</t>
  </si>
  <si>
    <t>Pelhřimov</t>
  </si>
  <si>
    <t>Počátky</t>
  </si>
  <si>
    <t>Humpolec</t>
  </si>
  <si>
    <t>Celkem Pelhřimovsko</t>
  </si>
  <si>
    <t>Nové Město n M</t>
  </si>
  <si>
    <t>Velká Bíteš</t>
  </si>
  <si>
    <t>Velké Meziříčí</t>
  </si>
  <si>
    <t>Bystřice n. p.</t>
  </si>
  <si>
    <t>Žďár nad Sázavou</t>
  </si>
  <si>
    <t>Celkem Žďársko</t>
  </si>
  <si>
    <t>Celkem kraj</t>
  </si>
  <si>
    <t>Celkem kraj za čtvrtletí</t>
  </si>
  <si>
    <t>celkem</t>
  </si>
  <si>
    <t>LSPP v roce 2007 - data z výkazu UZIS - pomocný výpočet</t>
  </si>
  <si>
    <t>Mimo dotační systém kraje</t>
  </si>
  <si>
    <t>mimo systém kraje</t>
  </si>
  <si>
    <t>Rok</t>
  </si>
  <si>
    <t xml:space="preserve">Na vyžádání nám poliklinika poskytla skutečné počty kontaktů podle měsíců - v tomto případě nejsou roční data UZIS zde pro porovnání použita. Od 1. ledna 2008 nová ordinační doba na LSPP : po – pá 17,00 – 21,00  a So, ne, svátky 08,00 – 21,00 hodin
</t>
  </si>
  <si>
    <r>
      <t>Humpolec:</t>
    </r>
    <r>
      <rPr>
        <sz val="10"/>
        <rFont val="Arial CE"/>
        <family val="0"/>
      </rPr>
      <t xml:space="preserve"> Celkový počet ošetřených pacientů za 1.čtvrtletí 2008 bylo 221. V roce 2007 bylo za čtvrtletí ošetřeno (průměr z ročního hlášení UZIS) 1015 pacientů.</t>
    </r>
  </si>
  <si>
    <t>Pozn: do celkového součtu DO za čtvrtletí bylo připočteno 221 pacientů ošetřených v Humpolci (členění dle jednotlivých měsíců není známo)</t>
  </si>
  <si>
    <t>celkem průměr za měsíc</t>
  </si>
  <si>
    <t>Přehled počtu ošetřených pacientů mimo nemocnice</t>
  </si>
  <si>
    <t>Provozovatelé LSPP mimo nemocnic - 1.čtvrtletí (hrazeno z totace kraje)</t>
  </si>
  <si>
    <t>změna 2008 - 2007</t>
  </si>
  <si>
    <t>duben</t>
  </si>
  <si>
    <t>měsíc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</si>
  <si>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</si>
  <si>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</si>
  <si>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</si>
  <si>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</si>
  <si>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</si>
  <si>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</si>
  <si>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</si>
  <si>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</si>
  <si>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Počet stran: 3</t>
  </si>
  <si>
    <r>
      <t xml:space="preserve">okres Havlíčkův Brod                                                                                                                                                       </t>
    </r>
    <r>
      <rPr>
        <b/>
        <sz val="10"/>
        <rFont val="Arial CE"/>
        <family val="2"/>
      </rPr>
      <t>neveřejná příloha</t>
    </r>
  </si>
  <si>
    <t>RK-17-2008-26,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</si>
</sst>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mmm/yyyy"/>
    <numFmt numFmtId="166" formatCode="d/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000"/>
    <numFmt numFmtId="171" formatCode="0.0"/>
    <numFmt numFmtId="172" formatCode="#,##0.0"/>
    <numFmt numFmtId="173" formatCode="#,##0.00\ &quot;Kč&quot;"/>
    <numFmt numFmtId="174" formatCode="0.0000"/>
    <numFmt numFmtId="175" formatCode="0.0%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0" fontId="7" fillId="0" borderId="8" xfId="0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vertical="center"/>
    </xf>
    <xf numFmtId="10" fontId="7" fillId="2" borderId="13" xfId="0" applyNumberFormat="1" applyFont="1" applyFill="1" applyBorder="1" applyAlignment="1">
      <alignment vertical="center"/>
    </xf>
    <xf numFmtId="164" fontId="8" fillId="2" borderId="13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10" fontId="8" fillId="0" borderId="16" xfId="0" applyNumberFormat="1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0" fontId="8" fillId="2" borderId="17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64" fontId="7" fillId="2" borderId="19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/>
    </xf>
    <xf numFmtId="3" fontId="7" fillId="2" borderId="17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5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2" borderId="34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3" fillId="0" borderId="36" xfId="0" applyNumberFormat="1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/>
    </xf>
    <xf numFmtId="10" fontId="7" fillId="0" borderId="11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10" fontId="7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10" fontId="8" fillId="0" borderId="30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0" fontId="8" fillId="0" borderId="3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8" xfId="0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1" xfId="0" applyBorder="1" applyAlignment="1">
      <alignment vertical="center"/>
    </xf>
    <xf numFmtId="10" fontId="0" fillId="0" borderId="2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30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0" fillId="0" borderId="49" xfId="0" applyBorder="1" applyAlignment="1">
      <alignment/>
    </xf>
    <xf numFmtId="0" fontId="3" fillId="0" borderId="50" xfId="0" applyFont="1" applyBorder="1" applyAlignment="1">
      <alignment vertical="top" wrapText="1"/>
    </xf>
    <xf numFmtId="0" fontId="3" fillId="0" borderId="51" xfId="0" applyFont="1" applyBorder="1" applyAlignment="1">
      <alignment vertical="top" wrapText="1"/>
    </xf>
    <xf numFmtId="0" fontId="0" fillId="0" borderId="52" xfId="0" applyBorder="1" applyAlignment="1">
      <alignment/>
    </xf>
    <xf numFmtId="0" fontId="1" fillId="0" borderId="29" xfId="0" applyFont="1" applyBorder="1" applyAlignment="1">
      <alignment horizontal="justify" vertical="top" wrapText="1"/>
    </xf>
    <xf numFmtId="0" fontId="0" fillId="0" borderId="53" xfId="0" applyBorder="1" applyAlignment="1">
      <alignment vertical="top" wrapText="1"/>
    </xf>
    <xf numFmtId="0" fontId="0" fillId="0" borderId="40" xfId="0" applyBorder="1" applyAlignment="1">
      <alignment/>
    </xf>
    <xf numFmtId="0" fontId="0" fillId="0" borderId="20" xfId="0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0" fillId="0" borderId="6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75" zoomScaleNormal="75" workbookViewId="0" topLeftCell="A1">
      <selection activeCell="O1" sqref="O1"/>
    </sheetView>
  </sheetViews>
  <sheetFormatPr defaultColWidth="9.00390625" defaultRowHeight="12.75"/>
  <cols>
    <col min="1" max="1" width="7.00390625" style="0" customWidth="1"/>
    <col min="2" max="3" width="7.375" style="0" customWidth="1"/>
    <col min="4" max="4" width="9.25390625" style="0" customWidth="1"/>
    <col min="7" max="7" width="8.375" style="0" customWidth="1"/>
    <col min="9" max="9" width="9.375" style="10" customWidth="1"/>
    <col min="10" max="11" width="10.75390625" style="0" customWidth="1"/>
    <col min="12" max="12" width="12.00390625" style="0" customWidth="1"/>
    <col min="13" max="13" width="10.125" style="39" customWidth="1"/>
    <col min="14" max="14" width="10.75390625" style="2" customWidth="1"/>
    <col min="15" max="15" width="8.875" style="0" customWidth="1"/>
    <col min="16" max="16" width="9.375" style="0" customWidth="1"/>
    <col min="18" max="18" width="9.25390625" style="0" bestFit="1" customWidth="1"/>
  </cols>
  <sheetData>
    <row r="1" spans="1:15" ht="15.75" customHeight="1">
      <c r="A1" s="37"/>
      <c r="O1" s="156" t="s">
        <v>80</v>
      </c>
    </row>
    <row r="2" spans="1:15" ht="45" customHeight="1" thickBot="1">
      <c r="A2" s="9" t="s">
        <v>79</v>
      </c>
      <c r="O2" s="157" t="s">
        <v>78</v>
      </c>
    </row>
    <row r="3" spans="1:16" ht="18" customHeight="1">
      <c r="A3" s="162" t="s">
        <v>9</v>
      </c>
      <c r="B3" s="164">
        <v>2008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40"/>
      <c r="N3" s="7">
        <v>2007</v>
      </c>
      <c r="O3" s="166" t="s">
        <v>10</v>
      </c>
      <c r="P3" s="167"/>
    </row>
    <row r="4" spans="1:28" s="1" customFormat="1" ht="52.5" customHeight="1" thickBot="1">
      <c r="A4" s="163"/>
      <c r="B4" s="4" t="s">
        <v>3</v>
      </c>
      <c r="C4" s="4" t="s">
        <v>4</v>
      </c>
      <c r="D4" s="4" t="s">
        <v>20</v>
      </c>
      <c r="E4" s="26" t="s">
        <v>13</v>
      </c>
      <c r="F4" s="11" t="s">
        <v>12</v>
      </c>
      <c r="G4" s="11" t="s">
        <v>14</v>
      </c>
      <c r="H4" s="26" t="s">
        <v>27</v>
      </c>
      <c r="I4" s="11" t="s">
        <v>25</v>
      </c>
      <c r="J4" s="26" t="s">
        <v>23</v>
      </c>
      <c r="K4" s="4" t="s">
        <v>21</v>
      </c>
      <c r="L4" s="6" t="s">
        <v>8</v>
      </c>
      <c r="M4" s="41" t="s">
        <v>26</v>
      </c>
      <c r="N4" s="36" t="s">
        <v>22</v>
      </c>
      <c r="O4" s="8" t="s">
        <v>11</v>
      </c>
      <c r="P4" s="5" t="s">
        <v>7</v>
      </c>
      <c r="T4" s="160" t="s">
        <v>28</v>
      </c>
      <c r="U4" s="161"/>
      <c r="V4" s="161"/>
      <c r="W4" s="161"/>
      <c r="X4" s="161"/>
      <c r="Y4" s="161"/>
      <c r="Z4" s="161"/>
      <c r="AA4" s="161"/>
      <c r="AB4" s="161"/>
    </row>
    <row r="5" spans="1:25" s="16" customFormat="1" ht="20.25" customHeight="1">
      <c r="A5" s="12" t="s">
        <v>0</v>
      </c>
      <c r="B5" s="13">
        <v>183</v>
      </c>
      <c r="C5" s="13">
        <v>269</v>
      </c>
      <c r="D5" s="13">
        <f>SUM(B5:C5)</f>
        <v>452</v>
      </c>
      <c r="E5" s="13">
        <f>25+56</f>
        <v>81</v>
      </c>
      <c r="F5" s="13">
        <f>26+13</f>
        <v>39</v>
      </c>
      <c r="G5" s="13">
        <v>53</v>
      </c>
      <c r="H5" s="22">
        <f>+T5/D5</f>
        <v>209.1150442477876</v>
      </c>
      <c r="I5" s="14">
        <f>+E5/D5</f>
        <v>0.17920353982300885</v>
      </c>
      <c r="J5" s="14">
        <f>+F5/D5</f>
        <v>0.08628318584070796</v>
      </c>
      <c r="K5" s="27">
        <f>+(4000000/12)/D5</f>
        <v>737.4631268436577</v>
      </c>
      <c r="L5" s="15">
        <f>+(178+221)*90</f>
        <v>35910</v>
      </c>
      <c r="M5" s="42">
        <f>+D5/31</f>
        <v>14.580645161290322</v>
      </c>
      <c r="N5" s="30">
        <f>+(8252+3199)/12</f>
        <v>954.25</v>
      </c>
      <c r="O5" s="31">
        <f>+D5-N5</f>
        <v>-502.25</v>
      </c>
      <c r="P5" s="33">
        <f>+D5/N5</f>
        <v>0.47367042179722296</v>
      </c>
      <c r="T5" s="18">
        <v>94520</v>
      </c>
      <c r="U5" s="18">
        <v>110104</v>
      </c>
      <c r="V5" s="18">
        <v>72684</v>
      </c>
      <c r="W5" s="18">
        <v>119366</v>
      </c>
      <c r="X5" s="18">
        <v>114593</v>
      </c>
      <c r="Y5" s="18">
        <f>SUM(T5:X5)</f>
        <v>511267</v>
      </c>
    </row>
    <row r="6" spans="1:16" s="16" customFormat="1" ht="20.25" customHeight="1">
      <c r="A6" s="17" t="s">
        <v>1</v>
      </c>
      <c r="B6" s="18">
        <v>162</v>
      </c>
      <c r="C6" s="18">
        <v>270</v>
      </c>
      <c r="D6" s="13">
        <f>SUM(B6:C6)</f>
        <v>432</v>
      </c>
      <c r="E6" s="13">
        <v>87</v>
      </c>
      <c r="F6" s="13">
        <v>22</v>
      </c>
      <c r="G6" s="13">
        <v>9</v>
      </c>
      <c r="H6" s="23">
        <f>+T5/D6</f>
        <v>218.7962962962963</v>
      </c>
      <c r="I6" s="14">
        <f>+E6/D6</f>
        <v>0.2013888888888889</v>
      </c>
      <c r="J6" s="14">
        <f>+F6/D6</f>
        <v>0.05092592592592592</v>
      </c>
      <c r="K6" s="27">
        <f>+(4000000/12)/D6</f>
        <v>771.6049382716049</v>
      </c>
      <c r="L6" s="15">
        <f>+(158+265)*90</f>
        <v>38070</v>
      </c>
      <c r="M6" s="42">
        <f>+D6/29</f>
        <v>14.89655172413793</v>
      </c>
      <c r="N6" s="30">
        <f>+(8252+3199)/12</f>
        <v>954.25</v>
      </c>
      <c r="O6" s="31">
        <f>+D6-N6</f>
        <v>-522.25</v>
      </c>
      <c r="P6" s="33">
        <f>+D6/N6</f>
        <v>0.4527115535761069</v>
      </c>
    </row>
    <row r="7" spans="1:16" s="16" customFormat="1" ht="20.25" customHeight="1">
      <c r="A7" s="17" t="s">
        <v>2</v>
      </c>
      <c r="B7" s="19">
        <v>260</v>
      </c>
      <c r="C7" s="19">
        <v>334</v>
      </c>
      <c r="D7" s="19">
        <f>SUM(B7:C7)</f>
        <v>594</v>
      </c>
      <c r="E7" s="19">
        <f>39+73</f>
        <v>112</v>
      </c>
      <c r="F7" s="19">
        <f>22+40</f>
        <v>62</v>
      </c>
      <c r="G7" s="19">
        <v>16</v>
      </c>
      <c r="H7" s="24">
        <f>+T5/D7</f>
        <v>159.12457912457913</v>
      </c>
      <c r="I7" s="114">
        <f>+E7/D7</f>
        <v>0.18855218855218855</v>
      </c>
      <c r="J7" s="114">
        <f>+F7/D7</f>
        <v>0.10437710437710437</v>
      </c>
      <c r="K7" s="115">
        <f>+(4000000/12)/D7</f>
        <v>561.1672278338945</v>
      </c>
      <c r="L7" s="115">
        <f>+(D7-G7)*90</f>
        <v>52020</v>
      </c>
      <c r="M7" s="42">
        <f>+D7/31</f>
        <v>19.161290322580644</v>
      </c>
      <c r="N7" s="130">
        <f>+(8252+3199)/12</f>
        <v>954.25</v>
      </c>
      <c r="O7" s="120">
        <f>+D7-N7</f>
        <v>-360.25</v>
      </c>
      <c r="P7" s="121">
        <f>+D7/N7</f>
        <v>0.622478386167147</v>
      </c>
    </row>
    <row r="8" spans="1:16" s="16" customFormat="1" ht="20.25" customHeight="1" thickBot="1">
      <c r="A8" s="129" t="s">
        <v>68</v>
      </c>
      <c r="B8" s="19">
        <v>193</v>
      </c>
      <c r="C8" s="19">
        <v>321</v>
      </c>
      <c r="D8" s="19">
        <f>SUM(B8:C8)</f>
        <v>514</v>
      </c>
      <c r="E8" s="19">
        <f>75+39</f>
        <v>114</v>
      </c>
      <c r="F8" s="19">
        <f>20+20</f>
        <v>40</v>
      </c>
      <c r="G8" s="19">
        <f>4+7</f>
        <v>11</v>
      </c>
      <c r="H8" s="24">
        <f>+T5/D8</f>
        <v>183.89105058365757</v>
      </c>
      <c r="I8" s="117">
        <f>+E8/D8</f>
        <v>0.22178988326848248</v>
      </c>
      <c r="J8" s="117">
        <f>+F8/D8</f>
        <v>0.07782101167315175</v>
      </c>
      <c r="K8" s="118">
        <f>+(4000000/12)/D8</f>
        <v>648.5084306095979</v>
      </c>
      <c r="L8" s="118">
        <f>+(D8-G8)*90</f>
        <v>45270</v>
      </c>
      <c r="M8" s="42">
        <f>+D8/30</f>
        <v>17.133333333333333</v>
      </c>
      <c r="N8" s="131">
        <f>+(8252+3199)/12</f>
        <v>954.25</v>
      </c>
      <c r="O8" s="122">
        <f>+D8-N8</f>
        <v>-440.25</v>
      </c>
      <c r="P8" s="124">
        <f>+D8/N8</f>
        <v>0.5386429132826828</v>
      </c>
    </row>
    <row r="9" spans="1:16" s="16" customFormat="1" ht="20.25" customHeight="1" thickBot="1">
      <c r="A9" s="20" t="s">
        <v>5</v>
      </c>
      <c r="B9" s="21">
        <f aca="true" t="shared" si="0" ref="B9:G9">SUM(B5:B8)</f>
        <v>798</v>
      </c>
      <c r="C9" s="25">
        <f t="shared" si="0"/>
        <v>1194</v>
      </c>
      <c r="D9" s="25">
        <f t="shared" si="0"/>
        <v>1992</v>
      </c>
      <c r="E9" s="25">
        <f t="shared" si="0"/>
        <v>394</v>
      </c>
      <c r="F9" s="25">
        <f t="shared" si="0"/>
        <v>163</v>
      </c>
      <c r="G9" s="25">
        <f t="shared" si="0"/>
        <v>89</v>
      </c>
      <c r="H9" s="25">
        <f>+T5/D9</f>
        <v>47.44979919678715</v>
      </c>
      <c r="I9" s="28">
        <f>+E9/D9</f>
        <v>0.19779116465863453</v>
      </c>
      <c r="J9" s="28">
        <f>+F9/D9</f>
        <v>0.0818273092369478</v>
      </c>
      <c r="K9" s="29">
        <f>+(4000000/12*4)/D9</f>
        <v>669.3440428380187</v>
      </c>
      <c r="L9" s="38">
        <f>+(D9-G9)*90</f>
        <v>171270</v>
      </c>
      <c r="M9" s="43">
        <f>+D9/121</f>
        <v>16.462809917355372</v>
      </c>
      <c r="N9" s="32">
        <f>+(8252+3199)/12*4</f>
        <v>3817</v>
      </c>
      <c r="O9" s="34">
        <f>+D9-N9</f>
        <v>-1825</v>
      </c>
      <c r="P9" s="35">
        <f>+D9/N9</f>
        <v>0.5218758187057899</v>
      </c>
    </row>
    <row r="10" ht="4.5" customHeight="1"/>
    <row r="11" spans="1:10" ht="16.5" thickBot="1">
      <c r="A11" s="9" t="s">
        <v>16</v>
      </c>
      <c r="J11" s="45"/>
    </row>
    <row r="12" spans="1:16" ht="18" customHeight="1">
      <c r="A12" s="162" t="s">
        <v>9</v>
      </c>
      <c r="B12" s="164">
        <v>2008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40"/>
      <c r="N12" s="7">
        <v>2007</v>
      </c>
      <c r="O12" s="166" t="s">
        <v>10</v>
      </c>
      <c r="P12" s="167"/>
    </row>
    <row r="13" spans="1:26" s="1" customFormat="1" ht="52.5" customHeight="1" thickBot="1">
      <c r="A13" s="163"/>
      <c r="B13" s="4" t="s">
        <v>3</v>
      </c>
      <c r="C13" s="4" t="s">
        <v>4</v>
      </c>
      <c r="D13" s="4" t="s">
        <v>20</v>
      </c>
      <c r="E13" s="26" t="s">
        <v>13</v>
      </c>
      <c r="F13" s="11" t="s">
        <v>12</v>
      </c>
      <c r="G13" s="11" t="s">
        <v>14</v>
      </c>
      <c r="H13" s="26" t="s">
        <v>27</v>
      </c>
      <c r="I13" s="11" t="s">
        <v>25</v>
      </c>
      <c r="J13" s="26" t="s">
        <v>23</v>
      </c>
      <c r="K13" s="4" t="s">
        <v>21</v>
      </c>
      <c r="L13" s="6" t="s">
        <v>8</v>
      </c>
      <c r="M13" s="41" t="s">
        <v>26</v>
      </c>
      <c r="N13" s="36" t="s">
        <v>22</v>
      </c>
      <c r="O13" s="8" t="s">
        <v>11</v>
      </c>
      <c r="P13" s="5" t="s">
        <v>7</v>
      </c>
      <c r="T13"/>
      <c r="U13"/>
      <c r="V13"/>
      <c r="W13"/>
      <c r="X13"/>
      <c r="Y13"/>
      <c r="Z13"/>
    </row>
    <row r="14" spans="1:26" s="16" customFormat="1" ht="20.25" customHeight="1">
      <c r="A14" s="12" t="s">
        <v>0</v>
      </c>
      <c r="B14" s="13">
        <v>198</v>
      </c>
      <c r="C14" s="13">
        <v>214</v>
      </c>
      <c r="D14" s="13">
        <f>SUM(B14:C14)</f>
        <v>412</v>
      </c>
      <c r="E14" s="13">
        <f>27+62</f>
        <v>89</v>
      </c>
      <c r="F14" s="13">
        <v>40</v>
      </c>
      <c r="G14" s="13">
        <v>12</v>
      </c>
      <c r="H14" s="22">
        <f>+U5/D14</f>
        <v>267.24271844660194</v>
      </c>
      <c r="I14" s="14">
        <f>+E14/D14</f>
        <v>0.21601941747572814</v>
      </c>
      <c r="J14" s="14">
        <f>+F14/D14</f>
        <v>0.0970873786407767</v>
      </c>
      <c r="K14" s="27">
        <f>+(4000000/12)/D14</f>
        <v>809.0614886731391</v>
      </c>
      <c r="L14" s="15">
        <f>+(D14-G14)*90</f>
        <v>36000</v>
      </c>
      <c r="M14" s="42">
        <f>+D14/31</f>
        <v>13.290322580645162</v>
      </c>
      <c r="N14" s="30">
        <f>+(5234+4784)/12</f>
        <v>834.8333333333334</v>
      </c>
      <c r="O14" s="31">
        <f>+D14-N14</f>
        <v>-422.83333333333337</v>
      </c>
      <c r="P14" s="33">
        <f>+D14/N14</f>
        <v>0.4935116789778399</v>
      </c>
      <c r="T14"/>
      <c r="U14"/>
      <c r="V14"/>
      <c r="W14"/>
      <c r="X14"/>
      <c r="Y14"/>
      <c r="Z14"/>
    </row>
    <row r="15" spans="1:26" s="16" customFormat="1" ht="20.25" customHeight="1">
      <c r="A15" s="17" t="s">
        <v>1</v>
      </c>
      <c r="B15" s="18">
        <v>253</v>
      </c>
      <c r="C15" s="18">
        <v>245</v>
      </c>
      <c r="D15" s="13">
        <f>SUM(B15:C15)</f>
        <v>498</v>
      </c>
      <c r="E15" s="13">
        <f>37+55</f>
        <v>92</v>
      </c>
      <c r="F15" s="13">
        <f>27+14</f>
        <v>41</v>
      </c>
      <c r="G15" s="13">
        <v>28</v>
      </c>
      <c r="H15" s="23">
        <f>+U5/D15</f>
        <v>221.09236947791166</v>
      </c>
      <c r="I15" s="14">
        <f>+E15/D15</f>
        <v>0.18473895582329317</v>
      </c>
      <c r="J15" s="14">
        <f>+F15/D15</f>
        <v>0.0823293172690763</v>
      </c>
      <c r="K15" s="27">
        <f>+(4000000/12)/D15</f>
        <v>669.3440428380187</v>
      </c>
      <c r="L15" s="15">
        <f>+(D15-G15)*90</f>
        <v>42300</v>
      </c>
      <c r="M15" s="42">
        <f>+D15/29</f>
        <v>17.17241379310345</v>
      </c>
      <c r="N15" s="30">
        <f>+(5234+4784)/12</f>
        <v>834.8333333333334</v>
      </c>
      <c r="O15" s="31">
        <f>+D15-N15</f>
        <v>-336.83333333333337</v>
      </c>
      <c r="P15" s="33">
        <f>+D15/N15</f>
        <v>0.5965262527450589</v>
      </c>
      <c r="T15"/>
      <c r="U15"/>
      <c r="V15"/>
      <c r="W15"/>
      <c r="X15"/>
      <c r="Y15"/>
      <c r="Z15"/>
    </row>
    <row r="16" spans="1:26" s="16" customFormat="1" ht="20.25" customHeight="1">
      <c r="A16" s="17" t="s">
        <v>2</v>
      </c>
      <c r="B16" s="19">
        <v>373</v>
      </c>
      <c r="C16" s="19">
        <v>404</v>
      </c>
      <c r="D16" s="19">
        <f>SUM(B16:C16)</f>
        <v>777</v>
      </c>
      <c r="E16" s="19">
        <f>68+45</f>
        <v>113</v>
      </c>
      <c r="F16" s="19">
        <f>15+29</f>
        <v>44</v>
      </c>
      <c r="G16" s="19">
        <f>32+40</f>
        <v>72</v>
      </c>
      <c r="H16" s="24">
        <f>+U5/D16</f>
        <v>141.7039897039897</v>
      </c>
      <c r="I16" s="114">
        <f>+E16/D16</f>
        <v>0.14543114543114544</v>
      </c>
      <c r="J16" s="114">
        <f>+F16/D16</f>
        <v>0.05662805662805663</v>
      </c>
      <c r="K16" s="115">
        <f>+(4000000/12)/D16</f>
        <v>429.000429000429</v>
      </c>
      <c r="L16" s="115">
        <f>+(D16-G16)*90</f>
        <v>63450</v>
      </c>
      <c r="M16" s="116">
        <f>+D16/31</f>
        <v>25.06451612903226</v>
      </c>
      <c r="N16" s="127">
        <f>+(5234+4784)/12</f>
        <v>834.8333333333334</v>
      </c>
      <c r="O16" s="125">
        <f>+D16-N16</f>
        <v>-57.83333333333337</v>
      </c>
      <c r="P16" s="121">
        <f>+D16/N16</f>
        <v>0.9307246955480135</v>
      </c>
      <c r="T16"/>
      <c r="U16"/>
      <c r="V16"/>
      <c r="W16"/>
      <c r="X16"/>
      <c r="Y16"/>
      <c r="Z16"/>
    </row>
    <row r="17" spans="1:26" s="16" customFormat="1" ht="20.25" customHeight="1" thickBot="1">
      <c r="A17" s="129" t="s">
        <v>68</v>
      </c>
      <c r="B17" s="19">
        <v>321</v>
      </c>
      <c r="C17" s="19">
        <v>286</v>
      </c>
      <c r="D17" s="19">
        <f>SUM(B17:C17)</f>
        <v>607</v>
      </c>
      <c r="E17" s="19">
        <f>49+62</f>
        <v>111</v>
      </c>
      <c r="F17" s="19">
        <f>10+12</f>
        <v>22</v>
      </c>
      <c r="G17" s="19">
        <f>13+5</f>
        <v>18</v>
      </c>
      <c r="H17" s="24">
        <f>+U5/D17</f>
        <v>181.39044481054367</v>
      </c>
      <c r="I17" s="117">
        <f>+E17/D17</f>
        <v>0.1828665568369028</v>
      </c>
      <c r="J17" s="117">
        <f>+F17/D17</f>
        <v>0.036243822075782535</v>
      </c>
      <c r="K17" s="118">
        <f>+(4000000/12)/D17</f>
        <v>549.1488193300385</v>
      </c>
      <c r="L17" s="118">
        <f>+(D17-G17)*90</f>
        <v>53010</v>
      </c>
      <c r="M17" s="119">
        <f>+D17/30</f>
        <v>20.233333333333334</v>
      </c>
      <c r="N17" s="128">
        <f>+(5234+4784)/12</f>
        <v>834.8333333333334</v>
      </c>
      <c r="O17" s="126">
        <f>+D17-N17</f>
        <v>-227.83333333333337</v>
      </c>
      <c r="P17" s="124">
        <f>+D17/N17</f>
        <v>0.7270912357756039</v>
      </c>
      <c r="T17"/>
      <c r="U17"/>
      <c r="V17"/>
      <c r="W17"/>
      <c r="X17"/>
      <c r="Y17"/>
      <c r="Z17"/>
    </row>
    <row r="18" spans="1:26" s="16" customFormat="1" ht="20.25" customHeight="1" thickBot="1">
      <c r="A18" s="20" t="s">
        <v>5</v>
      </c>
      <c r="B18" s="25">
        <f aca="true" t="shared" si="1" ref="B18:G18">SUM(B14:B17)</f>
        <v>1145</v>
      </c>
      <c r="C18" s="25">
        <f t="shared" si="1"/>
        <v>1149</v>
      </c>
      <c r="D18" s="25">
        <f t="shared" si="1"/>
        <v>2294</v>
      </c>
      <c r="E18" s="21">
        <f t="shared" si="1"/>
        <v>405</v>
      </c>
      <c r="F18" s="21">
        <f t="shared" si="1"/>
        <v>147</v>
      </c>
      <c r="G18" s="21">
        <f t="shared" si="1"/>
        <v>130</v>
      </c>
      <c r="H18" s="25">
        <f>+U5/D18</f>
        <v>47.99651264167393</v>
      </c>
      <c r="I18" s="28">
        <f>+E18/D18</f>
        <v>0.17654751525719267</v>
      </c>
      <c r="J18" s="28">
        <f>+F18/D18</f>
        <v>0.06408020924149957</v>
      </c>
      <c r="K18" s="29">
        <f>+(4000000/12*4)/D18</f>
        <v>581.2263876780005</v>
      </c>
      <c r="L18" s="38">
        <f>+(D18-G18)*90</f>
        <v>194760</v>
      </c>
      <c r="M18" s="43">
        <f>+D18/121</f>
        <v>18.958677685950413</v>
      </c>
      <c r="N18" s="32">
        <f>+(5234+4784)/12*4</f>
        <v>3339.3333333333335</v>
      </c>
      <c r="O18" s="34">
        <f>+D18-N18</f>
        <v>-1045.3333333333335</v>
      </c>
      <c r="P18" s="35">
        <f>+D18/N18</f>
        <v>0.686963465761629</v>
      </c>
      <c r="T18"/>
      <c r="U18"/>
      <c r="V18"/>
      <c r="W18"/>
      <c r="X18"/>
      <c r="Y18"/>
      <c r="Z18"/>
    </row>
    <row r="19" ht="4.5" customHeight="1"/>
    <row r="20" ht="16.5" thickBot="1">
      <c r="A20" s="9" t="s">
        <v>17</v>
      </c>
    </row>
    <row r="21" spans="1:16" ht="18" customHeight="1">
      <c r="A21" s="162" t="s">
        <v>9</v>
      </c>
      <c r="B21" s="164">
        <v>2008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40"/>
      <c r="N21" s="7">
        <v>2007</v>
      </c>
      <c r="O21" s="166" t="s">
        <v>10</v>
      </c>
      <c r="P21" s="167"/>
    </row>
    <row r="22" spans="1:26" s="1" customFormat="1" ht="52.5" customHeight="1" thickBot="1">
      <c r="A22" s="163"/>
      <c r="B22" s="4" t="s">
        <v>3</v>
      </c>
      <c r="C22" s="4" t="s">
        <v>4</v>
      </c>
      <c r="D22" s="4" t="s">
        <v>20</v>
      </c>
      <c r="E22" s="26" t="s">
        <v>13</v>
      </c>
      <c r="F22" s="11" t="s">
        <v>12</v>
      </c>
      <c r="G22" s="11" t="s">
        <v>14</v>
      </c>
      <c r="H22" s="26" t="s">
        <v>27</v>
      </c>
      <c r="I22" s="11" t="s">
        <v>25</v>
      </c>
      <c r="J22" s="26" t="s">
        <v>23</v>
      </c>
      <c r="K22" s="4" t="s">
        <v>21</v>
      </c>
      <c r="L22" s="6" t="s">
        <v>8</v>
      </c>
      <c r="M22" s="41" t="s">
        <v>26</v>
      </c>
      <c r="N22" s="36" t="s">
        <v>22</v>
      </c>
      <c r="O22" s="8" t="s">
        <v>11</v>
      </c>
      <c r="P22" s="5" t="s">
        <v>7</v>
      </c>
      <c r="T22"/>
      <c r="U22"/>
      <c r="V22"/>
      <c r="W22"/>
      <c r="X22"/>
      <c r="Y22"/>
      <c r="Z22"/>
    </row>
    <row r="23" spans="1:26" s="16" customFormat="1" ht="20.25" customHeight="1">
      <c r="A23" s="12" t="s">
        <v>0</v>
      </c>
      <c r="B23" s="13">
        <v>200</v>
      </c>
      <c r="C23" s="13">
        <v>262</v>
      </c>
      <c r="D23" s="13">
        <f>SUM(B23:C23)</f>
        <v>462</v>
      </c>
      <c r="E23" s="13">
        <f>29+67</f>
        <v>96</v>
      </c>
      <c r="F23" s="13">
        <v>18</v>
      </c>
      <c r="G23" s="13">
        <v>28</v>
      </c>
      <c r="H23" s="22">
        <f>+V5/D23</f>
        <v>157.32467532467533</v>
      </c>
      <c r="I23" s="14">
        <f>+E23/D23</f>
        <v>0.2077922077922078</v>
      </c>
      <c r="J23" s="14">
        <f>+F23/D23</f>
        <v>0.03896103896103896</v>
      </c>
      <c r="K23" s="27">
        <f>+(4000000/12)/D23</f>
        <v>721.5007215007215</v>
      </c>
      <c r="L23" s="15">
        <f>+(D23-G23)*90</f>
        <v>39060</v>
      </c>
      <c r="M23" s="42">
        <f>+D23/31</f>
        <v>14.903225806451612</v>
      </c>
      <c r="N23" s="30">
        <f>+(10789+5455)/12</f>
        <v>1353.6666666666667</v>
      </c>
      <c r="O23" s="31">
        <f>+D23-N23</f>
        <v>-891.6666666666667</v>
      </c>
      <c r="P23" s="33">
        <f>+D23/N23</f>
        <v>0.3412952474759911</v>
      </c>
      <c r="T23"/>
      <c r="U23"/>
      <c r="V23"/>
      <c r="W23"/>
      <c r="X23"/>
      <c r="Y23"/>
      <c r="Z23"/>
    </row>
    <row r="24" spans="1:26" s="16" customFormat="1" ht="20.25" customHeight="1">
      <c r="A24" s="17" t="s">
        <v>1</v>
      </c>
      <c r="B24" s="18">
        <v>203</v>
      </c>
      <c r="C24" s="18">
        <v>234</v>
      </c>
      <c r="D24" s="13">
        <f>SUM(B24:C24)</f>
        <v>437</v>
      </c>
      <c r="E24" s="13">
        <v>96</v>
      </c>
      <c r="F24" s="13">
        <v>20</v>
      </c>
      <c r="G24" s="13">
        <v>21</v>
      </c>
      <c r="H24" s="23">
        <f>+V5/D24</f>
        <v>166.32494279176203</v>
      </c>
      <c r="I24" s="14">
        <f>+E24/D24</f>
        <v>0.21967963386727687</v>
      </c>
      <c r="J24" s="14">
        <f>+F24/D24</f>
        <v>0.04576659038901602</v>
      </c>
      <c r="K24" s="27">
        <f>+(4000000/12)/D24</f>
        <v>762.7765064836003</v>
      </c>
      <c r="L24" s="15">
        <f>+(D24-G24)*90</f>
        <v>37440</v>
      </c>
      <c r="M24" s="42">
        <f>+D24/29</f>
        <v>15.068965517241379</v>
      </c>
      <c r="N24" s="30">
        <f>+(10789+5455)/12</f>
        <v>1353.6666666666667</v>
      </c>
      <c r="O24" s="31">
        <f>+D24-N24</f>
        <v>-916.6666666666667</v>
      </c>
      <c r="P24" s="33">
        <f>+D24/N24</f>
        <v>0.322826889928589</v>
      </c>
      <c r="T24"/>
      <c r="U24"/>
      <c r="V24"/>
      <c r="W24"/>
      <c r="X24"/>
      <c r="Y24"/>
      <c r="Z24"/>
    </row>
    <row r="25" spans="1:26" s="16" customFormat="1" ht="20.25" customHeight="1">
      <c r="A25" s="17" t="s">
        <v>2</v>
      </c>
      <c r="B25" s="18">
        <v>224</v>
      </c>
      <c r="C25" s="18">
        <v>369</v>
      </c>
      <c r="D25" s="18">
        <f>SUM(B25:C25)</f>
        <v>593</v>
      </c>
      <c r="E25" s="18">
        <f>31+81</f>
        <v>112</v>
      </c>
      <c r="F25" s="18">
        <f>15+11</f>
        <v>26</v>
      </c>
      <c r="G25" s="18">
        <f>10+8</f>
        <v>18</v>
      </c>
      <c r="H25" s="23">
        <f>+V5/D25</f>
        <v>122.56998313659359</v>
      </c>
      <c r="I25" s="114">
        <f>+E25/D25</f>
        <v>0.18887015177065766</v>
      </c>
      <c r="J25" s="114">
        <f>+F25/D25</f>
        <v>0.04384485666104553</v>
      </c>
      <c r="K25" s="115">
        <f>+(4000000/12)/D25</f>
        <v>562.1135469364812</v>
      </c>
      <c r="L25" s="115">
        <f>+(D25-G25)*90</f>
        <v>51750</v>
      </c>
      <c r="M25" s="116">
        <f>+D25/31</f>
        <v>19.129032258064516</v>
      </c>
      <c r="N25" s="127">
        <f>+(10789+5455)/12</f>
        <v>1353.6666666666667</v>
      </c>
      <c r="O25" s="120">
        <f>+D25-N25</f>
        <v>-760.6666666666667</v>
      </c>
      <c r="P25" s="121">
        <f>+D25/N25</f>
        <v>0.4380694410243782</v>
      </c>
      <c r="T25"/>
      <c r="U25"/>
      <c r="V25"/>
      <c r="W25"/>
      <c r="X25"/>
      <c r="Y25"/>
      <c r="Z25"/>
    </row>
    <row r="26" spans="1:26" s="16" customFormat="1" ht="20.25" customHeight="1" thickBot="1">
      <c r="A26" s="129" t="s">
        <v>68</v>
      </c>
      <c r="B26" s="18">
        <v>250</v>
      </c>
      <c r="C26" s="18">
        <v>234</v>
      </c>
      <c r="D26" s="132">
        <f>SUM(B26:C26)</f>
        <v>484</v>
      </c>
      <c r="E26" s="132">
        <f>67+45</f>
        <v>112</v>
      </c>
      <c r="F26" s="132">
        <f>8+13</f>
        <v>21</v>
      </c>
      <c r="G26" s="132">
        <f>8+16</f>
        <v>24</v>
      </c>
      <c r="H26" s="123">
        <f>+V5/D26</f>
        <v>150.17355371900825</v>
      </c>
      <c r="I26" s="117">
        <f>+E26/D26</f>
        <v>0.23140495867768596</v>
      </c>
      <c r="J26" s="117">
        <f>+F26/D26</f>
        <v>0.04338842975206612</v>
      </c>
      <c r="K26" s="118">
        <f>+(4000000/12)/D26</f>
        <v>688.7052341597796</v>
      </c>
      <c r="L26" s="118">
        <f>+(D26-G26)*90</f>
        <v>41400</v>
      </c>
      <c r="M26" s="119">
        <f>+D26/30</f>
        <v>16.133333333333333</v>
      </c>
      <c r="N26" s="127">
        <f>+(10789+5455)/12</f>
        <v>1353.6666666666667</v>
      </c>
      <c r="O26" s="120">
        <f>+D26-N26</f>
        <v>-869.6666666666667</v>
      </c>
      <c r="P26" s="121">
        <f>+D26/N26</f>
        <v>0.35754740211770497</v>
      </c>
      <c r="T26"/>
      <c r="U26"/>
      <c r="V26"/>
      <c r="W26"/>
      <c r="X26"/>
      <c r="Y26"/>
      <c r="Z26"/>
    </row>
    <row r="27" spans="1:26" s="16" customFormat="1" ht="20.25" customHeight="1" thickBot="1">
      <c r="A27" s="20" t="s">
        <v>5</v>
      </c>
      <c r="B27" s="21">
        <f aca="true" t="shared" si="2" ref="B27:G27">SUM(B23:B26)</f>
        <v>877</v>
      </c>
      <c r="C27" s="25">
        <f t="shared" si="2"/>
        <v>1099</v>
      </c>
      <c r="D27" s="25">
        <f t="shared" si="2"/>
        <v>1976</v>
      </c>
      <c r="E27" s="21">
        <f t="shared" si="2"/>
        <v>416</v>
      </c>
      <c r="F27" s="21">
        <f t="shared" si="2"/>
        <v>85</v>
      </c>
      <c r="G27" s="21">
        <f t="shared" si="2"/>
        <v>91</v>
      </c>
      <c r="H27" s="25">
        <f>+W5/D27</f>
        <v>60.4078947368421</v>
      </c>
      <c r="I27" s="28">
        <f>+E27/D27</f>
        <v>0.21052631578947367</v>
      </c>
      <c r="J27" s="28">
        <f>+F27/D27</f>
        <v>0.0430161943319838</v>
      </c>
      <c r="K27" s="29">
        <f>+(4000000/12*4)/D27</f>
        <v>674.7638326585694</v>
      </c>
      <c r="L27" s="38">
        <f>+(D27-G27)*90</f>
        <v>169650</v>
      </c>
      <c r="M27" s="43">
        <f>+D27/121</f>
        <v>16.330578512396695</v>
      </c>
      <c r="N27" s="32">
        <f>+(10789+5455)/12*4</f>
        <v>5414.666666666667</v>
      </c>
      <c r="O27" s="34">
        <f>+D27-N27</f>
        <v>-3438.666666666667</v>
      </c>
      <c r="P27" s="35">
        <f>+D27/N27</f>
        <v>0.36493474513666585</v>
      </c>
      <c r="T27"/>
      <c r="U27"/>
      <c r="V27"/>
      <c r="W27"/>
      <c r="X27"/>
      <c r="Y27"/>
      <c r="Z27"/>
    </row>
    <row r="28" ht="10.5" customHeight="1">
      <c r="A28" s="113" t="s">
        <v>63</v>
      </c>
    </row>
    <row r="29" ht="16.5" thickBot="1">
      <c r="A29" s="9" t="s">
        <v>18</v>
      </c>
    </row>
    <row r="30" spans="1:16" ht="18" customHeight="1">
      <c r="A30" s="162" t="s">
        <v>9</v>
      </c>
      <c r="B30" s="164">
        <v>2008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40"/>
      <c r="N30" s="7">
        <v>2007</v>
      </c>
      <c r="O30" s="166" t="s">
        <v>10</v>
      </c>
      <c r="P30" s="167"/>
    </row>
    <row r="31" spans="1:26" s="1" customFormat="1" ht="52.5" customHeight="1" thickBot="1">
      <c r="A31" s="163"/>
      <c r="B31" s="4" t="s">
        <v>3</v>
      </c>
      <c r="C31" s="4" t="s">
        <v>4</v>
      </c>
      <c r="D31" s="4" t="s">
        <v>6</v>
      </c>
      <c r="E31" s="26" t="s">
        <v>13</v>
      </c>
      <c r="F31" s="11" t="s">
        <v>12</v>
      </c>
      <c r="G31" s="11" t="s">
        <v>14</v>
      </c>
      <c r="H31" s="26" t="s">
        <v>27</v>
      </c>
      <c r="I31" s="11" t="s">
        <v>25</v>
      </c>
      <c r="J31" s="26" t="s">
        <v>23</v>
      </c>
      <c r="K31" s="4" t="s">
        <v>21</v>
      </c>
      <c r="L31" s="6" t="s">
        <v>8</v>
      </c>
      <c r="M31" s="41" t="s">
        <v>26</v>
      </c>
      <c r="N31" s="36" t="s">
        <v>22</v>
      </c>
      <c r="O31" s="8" t="s">
        <v>11</v>
      </c>
      <c r="P31" s="5" t="s">
        <v>7</v>
      </c>
      <c r="T31"/>
      <c r="U31"/>
      <c r="V31"/>
      <c r="W31"/>
      <c r="X31"/>
      <c r="Y31"/>
      <c r="Z31"/>
    </row>
    <row r="32" spans="1:26" s="16" customFormat="1" ht="20.25" customHeight="1">
      <c r="A32" s="12" t="s">
        <v>0</v>
      </c>
      <c r="B32" s="13">
        <v>111</v>
      </c>
      <c r="C32" s="13">
        <f>248+61</f>
        <v>309</v>
      </c>
      <c r="D32" s="13">
        <f>SUM(B32:C32)</f>
        <v>420</v>
      </c>
      <c r="E32" s="13">
        <f>67+5</f>
        <v>72</v>
      </c>
      <c r="F32" s="13">
        <f>31+4</f>
        <v>35</v>
      </c>
      <c r="G32" s="13">
        <f>15+6</f>
        <v>21</v>
      </c>
      <c r="H32" s="22">
        <f>+W5/D32</f>
        <v>284.2047619047619</v>
      </c>
      <c r="I32" s="14">
        <f>+E32/D32</f>
        <v>0.17142857142857143</v>
      </c>
      <c r="J32" s="14">
        <f>+F32/D32</f>
        <v>0.08333333333333333</v>
      </c>
      <c r="K32" s="27">
        <f>+(4000000/12+52000)/D32</f>
        <v>917.4603174603175</v>
      </c>
      <c r="L32" s="15">
        <f>+(D32-G32)*90</f>
        <v>35910</v>
      </c>
      <c r="M32" s="42">
        <f>+D32/31</f>
        <v>13.548387096774194</v>
      </c>
      <c r="N32" s="30">
        <f>+(9321+3858)/12</f>
        <v>1098.25</v>
      </c>
      <c r="O32" s="31">
        <f>+D32-N32</f>
        <v>-678.25</v>
      </c>
      <c r="P32" s="33">
        <f>+D32/N32</f>
        <v>0.3824265877532438</v>
      </c>
      <c r="T32"/>
      <c r="U32"/>
      <c r="V32"/>
      <c r="W32"/>
      <c r="X32"/>
      <c r="Y32"/>
      <c r="Z32"/>
    </row>
    <row r="33" spans="1:26" s="16" customFormat="1" ht="20.25" customHeight="1">
      <c r="A33" s="17" t="s">
        <v>1</v>
      </c>
      <c r="B33" s="18">
        <v>170</v>
      </c>
      <c r="C33" s="18">
        <f>232+52</f>
        <v>284</v>
      </c>
      <c r="D33" s="13">
        <f>SUM(B33:C33)</f>
        <v>454</v>
      </c>
      <c r="E33" s="13">
        <f>59+8</f>
        <v>67</v>
      </c>
      <c r="F33" s="13">
        <f>23+6</f>
        <v>29</v>
      </c>
      <c r="G33" s="13">
        <f>28+5</f>
        <v>33</v>
      </c>
      <c r="H33" s="23">
        <f>+W5/D33</f>
        <v>262.92070484581495</v>
      </c>
      <c r="I33" s="14">
        <f>+E33/D33</f>
        <v>0.14757709251101322</v>
      </c>
      <c r="J33" s="14">
        <f>+F33/D33</f>
        <v>0.06387665198237885</v>
      </c>
      <c r="K33" s="27">
        <f>+(4000000/12+52000)/D33</f>
        <v>848.7518355359765</v>
      </c>
      <c r="L33" s="15">
        <f>+(D33-G33)*90</f>
        <v>37890</v>
      </c>
      <c r="M33" s="42">
        <f>+D33/29</f>
        <v>15.655172413793103</v>
      </c>
      <c r="N33" s="30">
        <f>+(9321+3858)/12</f>
        <v>1098.25</v>
      </c>
      <c r="O33" s="31">
        <f>+D33-N33</f>
        <v>-644.25</v>
      </c>
      <c r="P33" s="33">
        <f>+D33/N33</f>
        <v>0.41338493057136355</v>
      </c>
      <c r="T33"/>
      <c r="U33"/>
      <c r="V33"/>
      <c r="W33"/>
      <c r="X33"/>
      <c r="Y33"/>
      <c r="Z33"/>
    </row>
    <row r="34" spans="1:26" s="16" customFormat="1" ht="20.25" customHeight="1">
      <c r="A34" s="17" t="s">
        <v>2</v>
      </c>
      <c r="B34" s="19">
        <v>270</v>
      </c>
      <c r="C34" s="19">
        <f>83+319</f>
        <v>402</v>
      </c>
      <c r="D34" s="19">
        <f>SUM(B34:C34)</f>
        <v>672</v>
      </c>
      <c r="E34" s="19">
        <f>9+44+101</f>
        <v>154</v>
      </c>
      <c r="F34" s="19">
        <f>7+17+35</f>
        <v>59</v>
      </c>
      <c r="G34" s="19">
        <f>8+31+7</f>
        <v>46</v>
      </c>
      <c r="H34" s="24">
        <f>+W5/D34</f>
        <v>177.6279761904762</v>
      </c>
      <c r="I34" s="114">
        <f>+E34/D34</f>
        <v>0.22916666666666666</v>
      </c>
      <c r="J34" s="114">
        <f>+F34/D34</f>
        <v>0.08779761904761904</v>
      </c>
      <c r="K34" s="115">
        <f>+(4000000/12+52000)/D34</f>
        <v>573.4126984126984</v>
      </c>
      <c r="L34" s="115">
        <f>+(D34-G34)*90</f>
        <v>56340</v>
      </c>
      <c r="M34" s="116">
        <f>+D34/31</f>
        <v>21.677419354838708</v>
      </c>
      <c r="N34" s="127">
        <f>+(9321+3858)/12</f>
        <v>1098.25</v>
      </c>
      <c r="O34" s="120">
        <f>+D34-N34</f>
        <v>-426.25</v>
      </c>
      <c r="P34" s="121">
        <f>+D34/N34</f>
        <v>0.6118825404051901</v>
      </c>
      <c r="T34"/>
      <c r="U34"/>
      <c r="V34"/>
      <c r="W34"/>
      <c r="X34"/>
      <c r="Y34"/>
      <c r="Z34"/>
    </row>
    <row r="35" spans="1:26" s="16" customFormat="1" ht="20.25" customHeight="1" thickBot="1">
      <c r="A35" s="129" t="s">
        <v>68</v>
      </c>
      <c r="B35" s="19">
        <v>255</v>
      </c>
      <c r="C35" s="19">
        <f>234+55</f>
        <v>289</v>
      </c>
      <c r="D35" s="19">
        <f>SUM(B35:C35)</f>
        <v>544</v>
      </c>
      <c r="E35" s="19">
        <f>76+33+6</f>
        <v>115</v>
      </c>
      <c r="F35" s="19">
        <f>34+26+3</f>
        <v>63</v>
      </c>
      <c r="G35" s="19">
        <f>8+35+4</f>
        <v>47</v>
      </c>
      <c r="H35" s="24">
        <f>+W5/D35</f>
        <v>219.42279411764707</v>
      </c>
      <c r="I35" s="117">
        <f>+E35/D35</f>
        <v>0.2113970588235294</v>
      </c>
      <c r="J35" s="117">
        <f>+F35/D35</f>
        <v>0.11580882352941177</v>
      </c>
      <c r="K35" s="118">
        <f>+(4000000/12+52000)/D35</f>
        <v>708.3333333333333</v>
      </c>
      <c r="L35" s="118">
        <f>+(D35-G35)*90</f>
        <v>44730</v>
      </c>
      <c r="M35" s="119">
        <f>+D35/30</f>
        <v>18.133333333333333</v>
      </c>
      <c r="N35" s="128">
        <f>+(9321+3858)/12</f>
        <v>1098.25</v>
      </c>
      <c r="O35" s="122">
        <f>+D35-N35</f>
        <v>-554.25</v>
      </c>
      <c r="P35" s="124">
        <f>+D35/N35</f>
        <v>0.49533348508991576</v>
      </c>
      <c r="T35"/>
      <c r="U35"/>
      <c r="V35"/>
      <c r="W35"/>
      <c r="X35"/>
      <c r="Y35"/>
      <c r="Z35"/>
    </row>
    <row r="36" spans="1:26" s="16" customFormat="1" ht="20.25" customHeight="1" thickBot="1">
      <c r="A36" s="20" t="s">
        <v>5</v>
      </c>
      <c r="B36" s="21">
        <f aca="true" t="shared" si="3" ref="B36:G36">SUM(B32:B35)</f>
        <v>806</v>
      </c>
      <c r="C36" s="21">
        <f t="shared" si="3"/>
        <v>1284</v>
      </c>
      <c r="D36" s="21">
        <f t="shared" si="3"/>
        <v>2090</v>
      </c>
      <c r="E36" s="21">
        <f t="shared" si="3"/>
        <v>408</v>
      </c>
      <c r="F36" s="21">
        <f t="shared" si="3"/>
        <v>186</v>
      </c>
      <c r="G36" s="21">
        <f t="shared" si="3"/>
        <v>147</v>
      </c>
      <c r="H36" s="25">
        <f>+W5/D36</f>
        <v>57.11291866028708</v>
      </c>
      <c r="I36" s="28">
        <f>+E36/D36</f>
        <v>0.19521531100478468</v>
      </c>
      <c r="J36" s="28">
        <f>+F36/D36</f>
        <v>0.08899521531100478</v>
      </c>
      <c r="K36" s="29">
        <f>+(4000000/12*4+52000*4)/D36</f>
        <v>737.4800637958532</v>
      </c>
      <c r="L36" s="38">
        <f>+(D36-G36)*90</f>
        <v>174870</v>
      </c>
      <c r="M36" s="43">
        <f>+D36/121</f>
        <v>17.272727272727273</v>
      </c>
      <c r="N36" s="32">
        <f>+(9321+3858)/12*4</f>
        <v>4393</v>
      </c>
      <c r="O36" s="34">
        <f>+D36-N36</f>
        <v>-2303</v>
      </c>
      <c r="P36" s="35">
        <f>+D36/N36</f>
        <v>0.4757568859549283</v>
      </c>
      <c r="T36"/>
      <c r="U36"/>
      <c r="V36"/>
      <c r="W36"/>
      <c r="X36"/>
      <c r="Y36"/>
      <c r="Z36"/>
    </row>
    <row r="37" ht="3.75" customHeight="1"/>
    <row r="38" ht="16.5" thickBot="1">
      <c r="A38" s="9" t="s">
        <v>15</v>
      </c>
    </row>
    <row r="39" spans="1:16" ht="18" customHeight="1">
      <c r="A39" s="162" t="s">
        <v>9</v>
      </c>
      <c r="B39" s="164">
        <v>2008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40"/>
      <c r="N39" s="7">
        <v>2007</v>
      </c>
      <c r="O39" s="166" t="s">
        <v>10</v>
      </c>
      <c r="P39" s="167"/>
    </row>
    <row r="40" spans="1:26" s="1" customFormat="1" ht="52.5" customHeight="1" thickBot="1">
      <c r="A40" s="163"/>
      <c r="B40" s="4" t="s">
        <v>3</v>
      </c>
      <c r="C40" s="4" t="s">
        <v>4</v>
      </c>
      <c r="D40" s="4" t="s">
        <v>20</v>
      </c>
      <c r="E40" s="26" t="s">
        <v>13</v>
      </c>
      <c r="F40" s="11" t="s">
        <v>12</v>
      </c>
      <c r="G40" s="11" t="s">
        <v>14</v>
      </c>
      <c r="H40" s="26" t="s">
        <v>27</v>
      </c>
      <c r="I40" s="11" t="s">
        <v>25</v>
      </c>
      <c r="J40" s="26" t="s">
        <v>23</v>
      </c>
      <c r="K40" s="4" t="s">
        <v>21</v>
      </c>
      <c r="L40" s="6" t="s">
        <v>8</v>
      </c>
      <c r="M40" s="41" t="s">
        <v>26</v>
      </c>
      <c r="N40" s="36" t="s">
        <v>22</v>
      </c>
      <c r="O40" s="8" t="s">
        <v>11</v>
      </c>
      <c r="P40" s="5" t="s">
        <v>7</v>
      </c>
      <c r="T40"/>
      <c r="U40"/>
      <c r="V40"/>
      <c r="W40"/>
      <c r="X40"/>
      <c r="Y40"/>
      <c r="Z40"/>
    </row>
    <row r="41" spans="1:26" s="16" customFormat="1" ht="20.25" customHeight="1">
      <c r="A41" s="12" t="s">
        <v>0</v>
      </c>
      <c r="B41" s="13">
        <f>126+40</f>
        <v>166</v>
      </c>
      <c r="C41" s="13">
        <f>107+119+178</f>
        <v>404</v>
      </c>
      <c r="D41" s="13">
        <f>SUM(B41:C41)</f>
        <v>570</v>
      </c>
      <c r="E41" s="13">
        <f>88+10</f>
        <v>98</v>
      </c>
      <c r="F41" s="13">
        <f>21+11</f>
        <v>32</v>
      </c>
      <c r="G41" s="13">
        <f>10+5</f>
        <v>15</v>
      </c>
      <c r="H41" s="22">
        <f>+X5/D41</f>
        <v>201.040350877193</v>
      </c>
      <c r="I41" s="14">
        <f>+E41/D41</f>
        <v>0.17192982456140352</v>
      </c>
      <c r="J41" s="14">
        <f>+F41/D41</f>
        <v>0.056140350877192984</v>
      </c>
      <c r="K41" s="27">
        <f>+(4000000/12+69000)/D41</f>
        <v>705.8479532163742</v>
      </c>
      <c r="L41" s="15">
        <f>+(D41-G41)*90</f>
        <v>49950</v>
      </c>
      <c r="M41" s="42">
        <f>+D41/31</f>
        <v>18.387096774193548</v>
      </c>
      <c r="N41" s="30">
        <f>+(13103+6802)/12</f>
        <v>1658.75</v>
      </c>
      <c r="O41" s="31">
        <f>+D41-N41</f>
        <v>-1088.75</v>
      </c>
      <c r="P41" s="33">
        <f>+D41/N41</f>
        <v>0.3436322532027129</v>
      </c>
      <c r="T41"/>
      <c r="U41"/>
      <c r="V41"/>
      <c r="W41"/>
      <c r="X41"/>
      <c r="Y41"/>
      <c r="Z41"/>
    </row>
    <row r="42" spans="1:26" s="16" customFormat="1" ht="20.25" customHeight="1">
      <c r="A42" s="17" t="s">
        <v>1</v>
      </c>
      <c r="B42" s="18">
        <f>112+48</f>
        <v>160</v>
      </c>
      <c r="C42" s="18">
        <f>112+135+131</f>
        <v>378</v>
      </c>
      <c r="D42" s="13">
        <f>SUM(B42:C42)</f>
        <v>538</v>
      </c>
      <c r="E42" s="13">
        <f>47+11</f>
        <v>58</v>
      </c>
      <c r="F42" s="13">
        <f>23+4</f>
        <v>27</v>
      </c>
      <c r="G42" s="13">
        <f>14+7</f>
        <v>21</v>
      </c>
      <c r="H42" s="23">
        <f>+X5/D42</f>
        <v>212.9981412639405</v>
      </c>
      <c r="I42" s="14">
        <f>+E42/D42</f>
        <v>0.10780669144981413</v>
      </c>
      <c r="J42" s="14">
        <f>+F42/D42</f>
        <v>0.05018587360594796</v>
      </c>
      <c r="K42" s="27">
        <f>+(4000000/12+69000)/D42</f>
        <v>747.8314745972738</v>
      </c>
      <c r="L42" s="15">
        <f>+(D42-G42)*90</f>
        <v>46530</v>
      </c>
      <c r="M42" s="42">
        <f>+D42/29</f>
        <v>18.551724137931036</v>
      </c>
      <c r="N42" s="30">
        <f>+(13103+6802)/12</f>
        <v>1658.75</v>
      </c>
      <c r="O42" s="31">
        <f>+D42-N42</f>
        <v>-1120.75</v>
      </c>
      <c r="P42" s="33">
        <f>+D42/N42</f>
        <v>0.32434061793519214</v>
      </c>
      <c r="T42"/>
      <c r="U42"/>
      <c r="V42"/>
      <c r="W42"/>
      <c r="X42"/>
      <c r="Y42"/>
      <c r="Z42"/>
    </row>
    <row r="43" spans="1:26" s="16" customFormat="1" ht="20.25" customHeight="1">
      <c r="A43" s="17" t="s">
        <v>2</v>
      </c>
      <c r="B43" s="18">
        <f>164+62</f>
        <v>226</v>
      </c>
      <c r="C43" s="18">
        <f>177+223+156</f>
        <v>556</v>
      </c>
      <c r="D43" s="18">
        <f>SUM(B43:C43)</f>
        <v>782</v>
      </c>
      <c r="E43" s="18">
        <f>31+27+19</f>
        <v>77</v>
      </c>
      <c r="F43" s="18">
        <f>12+10+6</f>
        <v>28</v>
      </c>
      <c r="G43" s="18">
        <f>10+5+21</f>
        <v>36</v>
      </c>
      <c r="H43" s="23">
        <f>+X5/D43</f>
        <v>146.53836317135548</v>
      </c>
      <c r="I43" s="114">
        <f>+E43/D43</f>
        <v>0.09846547314578005</v>
      </c>
      <c r="J43" s="114">
        <f>+F43/D43</f>
        <v>0.03580562659846547</v>
      </c>
      <c r="K43" s="115">
        <f>+(4000000/12+69000)/D43</f>
        <v>514.4927536231884</v>
      </c>
      <c r="L43" s="115">
        <f>+(D43-G43)*90</f>
        <v>67140</v>
      </c>
      <c r="M43" s="116">
        <f>+D43/31</f>
        <v>25.225806451612904</v>
      </c>
      <c r="N43" s="127">
        <f>+(13103+6802)/12</f>
        <v>1658.75</v>
      </c>
      <c r="O43" s="120">
        <f>+D43-N43</f>
        <v>-876.75</v>
      </c>
      <c r="P43" s="121">
        <f>+D43/N43</f>
        <v>0.4714393368500377</v>
      </c>
      <c r="T43"/>
      <c r="U43"/>
      <c r="V43"/>
      <c r="W43"/>
      <c r="X43"/>
      <c r="Y43"/>
      <c r="Z43"/>
    </row>
    <row r="44" spans="1:26" s="16" customFormat="1" ht="20.25" customHeight="1" thickBot="1">
      <c r="A44" s="129" t="s">
        <v>68</v>
      </c>
      <c r="B44" s="18">
        <f>155+54</f>
        <v>209</v>
      </c>
      <c r="C44" s="18">
        <f>128+177+109</f>
        <v>414</v>
      </c>
      <c r="D44" s="18">
        <f>SUM(B44:C44)</f>
        <v>623</v>
      </c>
      <c r="E44" s="18">
        <f>34+22</f>
        <v>56</v>
      </c>
      <c r="F44" s="18">
        <f>7+9</f>
        <v>16</v>
      </c>
      <c r="G44" s="18">
        <f>5+6</f>
        <v>11</v>
      </c>
      <c r="H44" s="23">
        <f>+X5/D44</f>
        <v>183.93739967897272</v>
      </c>
      <c r="I44" s="114">
        <f>+E44/D44</f>
        <v>0.0898876404494382</v>
      </c>
      <c r="J44" s="114">
        <f>+F44/D44</f>
        <v>0.025682182985553772</v>
      </c>
      <c r="K44" s="115">
        <f>+(4000000/12+69000)/D44</f>
        <v>645.7998929909041</v>
      </c>
      <c r="L44" s="115">
        <f>+(D44-G44)*90</f>
        <v>55080</v>
      </c>
      <c r="M44" s="116">
        <f>+D44/30</f>
        <v>20.766666666666666</v>
      </c>
      <c r="N44" s="127">
        <f>+(13103+6802)/12</f>
        <v>1658.75</v>
      </c>
      <c r="O44" s="120">
        <f>+D44-N44</f>
        <v>-1035.75</v>
      </c>
      <c r="P44" s="121">
        <f>+D44/N44</f>
        <v>0.37558402411454406</v>
      </c>
      <c r="T44"/>
      <c r="U44"/>
      <c r="V44"/>
      <c r="W44"/>
      <c r="X44"/>
      <c r="Y44"/>
      <c r="Z44"/>
    </row>
    <row r="45" spans="1:26" s="2" customFormat="1" ht="20.25" customHeight="1" thickBot="1">
      <c r="A45" s="3" t="s">
        <v>5</v>
      </c>
      <c r="B45" s="21">
        <f aca="true" t="shared" si="4" ref="B45:H45">SUM(B41:B44)</f>
        <v>761</v>
      </c>
      <c r="C45" s="25">
        <f t="shared" si="4"/>
        <v>1752</v>
      </c>
      <c r="D45" s="25">
        <f t="shared" si="4"/>
        <v>2513</v>
      </c>
      <c r="E45" s="25">
        <f t="shared" si="4"/>
        <v>289</v>
      </c>
      <c r="F45" s="25">
        <f t="shared" si="4"/>
        <v>103</v>
      </c>
      <c r="G45" s="25">
        <f t="shared" si="4"/>
        <v>83</v>
      </c>
      <c r="H45" s="25">
        <f t="shared" si="4"/>
        <v>744.5142549914617</v>
      </c>
      <c r="I45" s="28">
        <f>+E45/D45</f>
        <v>0.11500198965380024</v>
      </c>
      <c r="J45" s="28">
        <f>+F45/D45</f>
        <v>0.040986868284918425</v>
      </c>
      <c r="K45" s="29">
        <f>+(4000000/12*4+69000*4)/D45</f>
        <v>640.403236503515</v>
      </c>
      <c r="L45" s="38">
        <f>+(D45-G45)*90</f>
        <v>218700</v>
      </c>
      <c r="M45" s="43">
        <f>+D45/121</f>
        <v>20.768595041322314</v>
      </c>
      <c r="N45" s="32">
        <f>+(13103+6802)/12*4</f>
        <v>6635</v>
      </c>
      <c r="O45" s="34">
        <f>+D45-N45</f>
        <v>-4122</v>
      </c>
      <c r="P45" s="35">
        <f>+D45/N45</f>
        <v>0.3787490580256217</v>
      </c>
      <c r="T45"/>
      <c r="U45"/>
      <c r="V45"/>
      <c r="W45"/>
      <c r="X45"/>
      <c r="Y45"/>
      <c r="Z45"/>
    </row>
    <row r="46" ht="3.75" customHeight="1"/>
    <row r="47" ht="2.25" customHeight="1"/>
    <row r="48" ht="16.5" thickBot="1">
      <c r="A48" s="9" t="s">
        <v>19</v>
      </c>
    </row>
    <row r="49" spans="1:16" ht="18" customHeight="1">
      <c r="A49" s="162" t="s">
        <v>9</v>
      </c>
      <c r="B49" s="164">
        <v>2008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40"/>
      <c r="N49" s="7">
        <v>2007</v>
      </c>
      <c r="O49" s="166" t="s">
        <v>10</v>
      </c>
      <c r="P49" s="167"/>
    </row>
    <row r="50" spans="1:26" s="1" customFormat="1" ht="52.5" customHeight="1" thickBot="1">
      <c r="A50" s="163"/>
      <c r="B50" s="4" t="s">
        <v>3</v>
      </c>
      <c r="C50" s="4" t="s">
        <v>4</v>
      </c>
      <c r="D50" s="4" t="s">
        <v>20</v>
      </c>
      <c r="E50" s="26" t="s">
        <v>13</v>
      </c>
      <c r="F50" s="11" t="s">
        <v>12</v>
      </c>
      <c r="G50" s="11" t="s">
        <v>14</v>
      </c>
      <c r="H50" s="26" t="s">
        <v>24</v>
      </c>
      <c r="I50" s="11" t="s">
        <v>25</v>
      </c>
      <c r="J50" s="26" t="s">
        <v>23</v>
      </c>
      <c r="K50" s="4" t="s">
        <v>21</v>
      </c>
      <c r="L50" s="6" t="s">
        <v>8</v>
      </c>
      <c r="M50" s="41" t="s">
        <v>26</v>
      </c>
      <c r="N50" s="36" t="s">
        <v>22</v>
      </c>
      <c r="O50" s="8" t="s">
        <v>11</v>
      </c>
      <c r="P50" s="5" t="s">
        <v>7</v>
      </c>
      <c r="T50"/>
      <c r="U50"/>
      <c r="V50"/>
      <c r="W50"/>
      <c r="X50"/>
      <c r="Y50"/>
      <c r="Z50"/>
    </row>
    <row r="51" spans="1:26" s="16" customFormat="1" ht="20.25" customHeight="1">
      <c r="A51" s="12" t="s">
        <v>0</v>
      </c>
      <c r="B51" s="22">
        <f aca="true" t="shared" si="5" ref="B51:C53">+B41+B32+B23+B14+B5</f>
        <v>858</v>
      </c>
      <c r="C51" s="22">
        <f t="shared" si="5"/>
        <v>1458</v>
      </c>
      <c r="D51" s="22">
        <f>SUM(B51:C51)</f>
        <v>2316</v>
      </c>
      <c r="E51" s="13">
        <f aca="true" t="shared" si="6" ref="E51:G53">+E41+E32+E23+E14+E5</f>
        <v>436</v>
      </c>
      <c r="F51" s="13">
        <f t="shared" si="6"/>
        <v>164</v>
      </c>
      <c r="G51" s="13">
        <f t="shared" si="6"/>
        <v>129</v>
      </c>
      <c r="H51" s="22">
        <f>+Y5/D51</f>
        <v>220.7543177892919</v>
      </c>
      <c r="I51" s="14">
        <f>+E51/D51</f>
        <v>0.18825561312607944</v>
      </c>
      <c r="J51" s="14">
        <f>+F51/D51</f>
        <v>0.07081174438687392</v>
      </c>
      <c r="K51" s="27">
        <f>+(20000000/12+69000+52000)/D51</f>
        <v>771.8767990788716</v>
      </c>
      <c r="L51" s="15">
        <f>+(D51-G51)*90</f>
        <v>196830</v>
      </c>
      <c r="M51" s="42">
        <f>+D51/31</f>
        <v>74.70967741935483</v>
      </c>
      <c r="N51" s="30">
        <f>+(46699+24098)/12</f>
        <v>5899.75</v>
      </c>
      <c r="O51" s="31">
        <f>+D51-N51</f>
        <v>-3583.75</v>
      </c>
      <c r="P51" s="33">
        <f>+D51/N51</f>
        <v>0.3925590067375736</v>
      </c>
      <c r="T51"/>
      <c r="U51"/>
      <c r="V51"/>
      <c r="W51"/>
      <c r="X51"/>
      <c r="Y51"/>
      <c r="Z51"/>
    </row>
    <row r="52" spans="1:26" s="16" customFormat="1" ht="20.25" customHeight="1">
      <c r="A52" s="17" t="s">
        <v>1</v>
      </c>
      <c r="B52" s="23">
        <f t="shared" si="5"/>
        <v>948</v>
      </c>
      <c r="C52" s="23">
        <f t="shared" si="5"/>
        <v>1411</v>
      </c>
      <c r="D52" s="22">
        <f>SUM(B52:C52)</f>
        <v>2359</v>
      </c>
      <c r="E52" s="13">
        <f t="shared" si="6"/>
        <v>400</v>
      </c>
      <c r="F52" s="13">
        <f t="shared" si="6"/>
        <v>139</v>
      </c>
      <c r="G52" s="13">
        <f t="shared" si="6"/>
        <v>112</v>
      </c>
      <c r="H52" s="23">
        <f>+Y5/D52</f>
        <v>216.73039423484528</v>
      </c>
      <c r="I52" s="14">
        <f>+E52/D52</f>
        <v>0.1695633743111488</v>
      </c>
      <c r="J52" s="14">
        <f>+F52/D52</f>
        <v>0.05892327257312421</v>
      </c>
      <c r="K52" s="27">
        <f>+(20000000/12+69000+52000)/D52</f>
        <v>757.8069803589092</v>
      </c>
      <c r="L52" s="15">
        <f>+(D52-G52)*90</f>
        <v>202230</v>
      </c>
      <c r="M52" s="42">
        <f>+D52/29</f>
        <v>81.34482758620689</v>
      </c>
      <c r="N52" s="30">
        <f>+(46699+24098)/12</f>
        <v>5899.75</v>
      </c>
      <c r="O52" s="31">
        <f>+D52-N52</f>
        <v>-3540.75</v>
      </c>
      <c r="P52" s="33">
        <f>+D52/N52</f>
        <v>0.3998474511631849</v>
      </c>
      <c r="T52"/>
      <c r="U52"/>
      <c r="V52"/>
      <c r="W52"/>
      <c r="X52"/>
      <c r="Y52"/>
      <c r="Z52"/>
    </row>
    <row r="53" spans="1:26" s="16" customFormat="1" ht="20.25" customHeight="1">
      <c r="A53" s="17" t="s">
        <v>2</v>
      </c>
      <c r="B53" s="23">
        <f t="shared" si="5"/>
        <v>1353</v>
      </c>
      <c r="C53" s="23">
        <f t="shared" si="5"/>
        <v>2065</v>
      </c>
      <c r="D53" s="23">
        <f>SUM(B53:C53)</f>
        <v>3418</v>
      </c>
      <c r="E53" s="18">
        <f t="shared" si="6"/>
        <v>568</v>
      </c>
      <c r="F53" s="18">
        <f t="shared" si="6"/>
        <v>219</v>
      </c>
      <c r="G53" s="18">
        <f t="shared" si="6"/>
        <v>188</v>
      </c>
      <c r="H53" s="23">
        <f>+Y5/D53</f>
        <v>149.58074897600937</v>
      </c>
      <c r="I53" s="114">
        <f>+E53/D53</f>
        <v>0.16617905207723815</v>
      </c>
      <c r="J53" s="114">
        <f>+F53/D53</f>
        <v>0.06407255705090696</v>
      </c>
      <c r="K53" s="115">
        <f>+(20000000/12+69000+52000)/D53</f>
        <v>523.0154086210259</v>
      </c>
      <c r="L53" s="115">
        <f>+(D53-G53)*90</f>
        <v>290700</v>
      </c>
      <c r="M53" s="116">
        <f>+D53/31</f>
        <v>110.25806451612904</v>
      </c>
      <c r="N53" s="127">
        <f>+(46699+24098)/12</f>
        <v>5899.75</v>
      </c>
      <c r="O53" s="120">
        <f>+D53-N53</f>
        <v>-2481.75</v>
      </c>
      <c r="P53" s="121">
        <f>+D53/N53</f>
        <v>0.5793465824823085</v>
      </c>
      <c r="T53"/>
      <c r="U53"/>
      <c r="V53"/>
      <c r="W53"/>
      <c r="X53"/>
      <c r="Y53"/>
      <c r="Z53"/>
    </row>
    <row r="54" spans="1:26" s="16" customFormat="1" ht="20.25" customHeight="1" thickBot="1">
      <c r="A54" s="129" t="s">
        <v>68</v>
      </c>
      <c r="B54" s="123">
        <f>+B45+B35+B26+B17+B8</f>
        <v>1780</v>
      </c>
      <c r="C54" s="123">
        <f>+C45+C35+C26+C17+C8</f>
        <v>2882</v>
      </c>
      <c r="D54" s="123">
        <f>SUM(B54:C54)</f>
        <v>4662</v>
      </c>
      <c r="E54" s="132">
        <f>+E45+E35+E26+E17+E8</f>
        <v>741</v>
      </c>
      <c r="F54" s="132">
        <f>+F45+F35+F26+F17+F8</f>
        <v>249</v>
      </c>
      <c r="G54" s="132">
        <f>+G45+G35+G26+G17+G8</f>
        <v>183</v>
      </c>
      <c r="H54" s="123">
        <f>+Y5/D54</f>
        <v>109.66688116688117</v>
      </c>
      <c r="I54" s="117">
        <f>+E54/D54</f>
        <v>0.15894465894465895</v>
      </c>
      <c r="J54" s="117">
        <f>+F54/D54</f>
        <v>0.05341055341055341</v>
      </c>
      <c r="K54" s="118">
        <f>+(20000000/12+69000+52000)/D54</f>
        <v>383.4548834548835</v>
      </c>
      <c r="L54" s="118">
        <f>+(D54-G54)*90</f>
        <v>403110</v>
      </c>
      <c r="M54" s="119">
        <f>+D54/30</f>
        <v>155.4</v>
      </c>
      <c r="N54" s="128">
        <f>+(46699+24098)/12</f>
        <v>5899.75</v>
      </c>
      <c r="O54" s="122">
        <f>+D54-N54</f>
        <v>-1237.75</v>
      </c>
      <c r="P54" s="124">
        <f>+D54/N54</f>
        <v>0.7902029747023179</v>
      </c>
      <c r="T54"/>
      <c r="U54"/>
      <c r="V54"/>
      <c r="W54"/>
      <c r="X54"/>
      <c r="Y54"/>
      <c r="Z54"/>
    </row>
    <row r="55" spans="1:26" s="16" customFormat="1" ht="20.25" customHeight="1" thickBot="1">
      <c r="A55" s="20" t="s">
        <v>5</v>
      </c>
      <c r="B55" s="25">
        <f aca="true" t="shared" si="7" ref="B55:G55">SUM(B51:B54)</f>
        <v>4939</v>
      </c>
      <c r="C55" s="25">
        <f t="shared" si="7"/>
        <v>7816</v>
      </c>
      <c r="D55" s="25">
        <f t="shared" si="7"/>
        <v>12755</v>
      </c>
      <c r="E55" s="25">
        <f t="shared" si="7"/>
        <v>2145</v>
      </c>
      <c r="F55" s="21">
        <f t="shared" si="7"/>
        <v>771</v>
      </c>
      <c r="G55" s="21">
        <f t="shared" si="7"/>
        <v>612</v>
      </c>
      <c r="H55" s="25">
        <f>+Y5/D55</f>
        <v>40.083653469227755</v>
      </c>
      <c r="I55" s="28">
        <f>+E55/D55</f>
        <v>0.16816934535476283</v>
      </c>
      <c r="J55" s="28">
        <f>+F55/D55</f>
        <v>0.060446883575068604</v>
      </c>
      <c r="K55" s="29">
        <f>+(20000000/12*4+52000*4+69000*4)/D55</f>
        <v>560.6167516006795</v>
      </c>
      <c r="L55" s="38">
        <f>+(D55-G55)*90</f>
        <v>1092870</v>
      </c>
      <c r="M55" s="43">
        <f>+D55/121</f>
        <v>105.41322314049587</v>
      </c>
      <c r="N55" s="32">
        <f>+(46699+24098)/12*4</f>
        <v>23599</v>
      </c>
      <c r="O55" s="34">
        <f>+D55-N55</f>
        <v>-10844</v>
      </c>
      <c r="P55" s="35">
        <f>+D55/N55</f>
        <v>0.5404890037713462</v>
      </c>
      <c r="S55" s="97"/>
      <c r="T55"/>
      <c r="U55"/>
      <c r="V55"/>
      <c r="W55"/>
      <c r="X55"/>
      <c r="Y55"/>
      <c r="Z55"/>
    </row>
    <row r="56" ht="2.25" customHeight="1"/>
    <row r="57" ht="3" customHeight="1"/>
  </sheetData>
  <mergeCells count="19">
    <mergeCell ref="B3:L3"/>
    <mergeCell ref="A3:A4"/>
    <mergeCell ref="O3:P3"/>
    <mergeCell ref="A12:A13"/>
    <mergeCell ref="B12:L12"/>
    <mergeCell ref="O12:P12"/>
    <mergeCell ref="A49:A50"/>
    <mergeCell ref="B49:L49"/>
    <mergeCell ref="O49:P49"/>
    <mergeCell ref="A21:A22"/>
    <mergeCell ref="B21:L21"/>
    <mergeCell ref="O21:P21"/>
    <mergeCell ref="A30:A31"/>
    <mergeCell ref="B30:L30"/>
    <mergeCell ref="O30:P30"/>
    <mergeCell ref="T4:AB4"/>
    <mergeCell ref="A39:A40"/>
    <mergeCell ref="B39:L39"/>
    <mergeCell ref="O39:P39"/>
  </mergeCells>
  <printOptions horizontalCentered="1"/>
  <pageMargins left="0.1968503937007874" right="0.2362204724409449" top="0.3937007874015748" bottom="0.2362204724409449" header="0.22" footer="0.15748031496062992"/>
  <pageSetup horizontalDpi="600" verticalDpi="600" orientation="portrait" paperSize="9" scale="68" r:id="rId1"/>
  <headerFooter alignWithMargins="0">
    <oddHeader>&amp;C&amp;"Arial CE,tučné"&amp;12Ošetření pacienti na LSPP podle okresů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20" sqref="E20"/>
    </sheetView>
  </sheetViews>
  <sheetFormatPr defaultColWidth="9.00390625" defaultRowHeight="12.75"/>
  <cols>
    <col min="1" max="1" width="17.875" style="0" customWidth="1"/>
    <col min="2" max="5" width="9.75390625" style="2" customWidth="1"/>
    <col min="6" max="7" width="9.75390625" style="0" customWidth="1"/>
    <col min="8" max="9" width="11.75390625" style="0" customWidth="1"/>
  </cols>
  <sheetData>
    <row r="1" ht="25.5" customHeight="1">
      <c r="A1" s="9" t="s">
        <v>65</v>
      </c>
    </row>
    <row r="2" ht="15.75" customHeight="1"/>
    <row r="3" ht="16.5" thickBot="1">
      <c r="A3" s="9" t="s">
        <v>66</v>
      </c>
    </row>
    <row r="4" spans="1:7" ht="16.5" customHeight="1">
      <c r="A4" s="180" t="s">
        <v>69</v>
      </c>
      <c r="B4" s="165" t="s">
        <v>50</v>
      </c>
      <c r="C4" s="165"/>
      <c r="D4" s="177"/>
      <c r="E4" s="166" t="s">
        <v>40</v>
      </c>
      <c r="F4" s="165"/>
      <c r="G4" s="167"/>
    </row>
    <row r="5" spans="1:7" ht="23.25" customHeight="1" thickBot="1">
      <c r="A5" s="181"/>
      <c r="B5" s="133">
        <v>2007</v>
      </c>
      <c r="C5" s="134">
        <v>2008</v>
      </c>
      <c r="D5" s="6" t="s">
        <v>7</v>
      </c>
      <c r="E5" s="135">
        <v>2007</v>
      </c>
      <c r="F5" s="134">
        <v>2008</v>
      </c>
      <c r="G5" s="5" t="s">
        <v>7</v>
      </c>
    </row>
    <row r="6" spans="1:7" ht="16.5" customHeight="1">
      <c r="A6" s="136" t="s">
        <v>0</v>
      </c>
      <c r="B6" s="137">
        <v>480</v>
      </c>
      <c r="C6" s="138">
        <v>119</v>
      </c>
      <c r="D6" s="139">
        <f>+C6/B6</f>
        <v>0.24791666666666667</v>
      </c>
      <c r="E6" s="140">
        <v>106</v>
      </c>
      <c r="F6" s="138">
        <v>61</v>
      </c>
      <c r="G6" s="141">
        <f>+F6/E6</f>
        <v>0.5754716981132075</v>
      </c>
    </row>
    <row r="7" spans="1:7" ht="16.5" customHeight="1">
      <c r="A7" s="142" t="s">
        <v>1</v>
      </c>
      <c r="B7" s="143">
        <v>469</v>
      </c>
      <c r="C7" s="144">
        <v>135</v>
      </c>
      <c r="D7" s="145">
        <f>+C7/B7</f>
        <v>0.2878464818763326</v>
      </c>
      <c r="E7" s="146">
        <v>85</v>
      </c>
      <c r="F7" s="144">
        <v>52</v>
      </c>
      <c r="G7" s="147">
        <f>+F7/E7</f>
        <v>0.611764705882353</v>
      </c>
    </row>
    <row r="8" spans="1:7" ht="16.5" customHeight="1">
      <c r="A8" s="142" t="s">
        <v>2</v>
      </c>
      <c r="B8" s="143">
        <v>333</v>
      </c>
      <c r="C8" s="144">
        <v>156</v>
      </c>
      <c r="D8" s="145">
        <f>+C8/B8</f>
        <v>0.46846846846846846</v>
      </c>
      <c r="E8" s="146">
        <v>111</v>
      </c>
      <c r="F8" s="144">
        <v>83</v>
      </c>
      <c r="G8" s="147">
        <f>+F8/E8</f>
        <v>0.7477477477477478</v>
      </c>
    </row>
    <row r="9" spans="1:7" ht="16.5" customHeight="1">
      <c r="A9" s="142" t="s">
        <v>68</v>
      </c>
      <c r="B9" s="143">
        <v>390</v>
      </c>
      <c r="C9" s="144">
        <v>109</v>
      </c>
      <c r="D9" s="145">
        <f>+C9/B9</f>
        <v>0.2794871794871795</v>
      </c>
      <c r="E9" s="146">
        <v>128</v>
      </c>
      <c r="F9" s="144">
        <v>55</v>
      </c>
      <c r="G9" s="147">
        <f>+F9/E9</f>
        <v>0.4296875</v>
      </c>
    </row>
    <row r="10" spans="1:7" ht="16.5" customHeight="1">
      <c r="A10" s="142" t="s">
        <v>70</v>
      </c>
      <c r="B10" s="143">
        <v>345</v>
      </c>
      <c r="C10" s="144"/>
      <c r="D10" s="148"/>
      <c r="E10" s="146">
        <v>102</v>
      </c>
      <c r="F10" s="144"/>
      <c r="G10" s="149"/>
    </row>
    <row r="11" spans="1:7" ht="16.5" customHeight="1">
      <c r="A11" s="142" t="s">
        <v>71</v>
      </c>
      <c r="B11" s="143">
        <v>382</v>
      </c>
      <c r="C11" s="144"/>
      <c r="D11" s="148"/>
      <c r="E11" s="146">
        <v>135</v>
      </c>
      <c r="F11" s="144"/>
      <c r="G11" s="149"/>
    </row>
    <row r="12" spans="1:7" ht="16.5" customHeight="1">
      <c r="A12" s="142" t="s">
        <v>72</v>
      </c>
      <c r="B12" s="143">
        <v>443</v>
      </c>
      <c r="C12" s="144"/>
      <c r="D12" s="148"/>
      <c r="E12" s="146">
        <v>122</v>
      </c>
      <c r="F12" s="144"/>
      <c r="G12" s="149"/>
    </row>
    <row r="13" spans="1:7" ht="16.5" customHeight="1">
      <c r="A13" s="142" t="s">
        <v>73</v>
      </c>
      <c r="B13" s="143">
        <v>272</v>
      </c>
      <c r="C13" s="144"/>
      <c r="D13" s="148"/>
      <c r="E13" s="146">
        <v>89</v>
      </c>
      <c r="F13" s="144"/>
      <c r="G13" s="149"/>
    </row>
    <row r="14" spans="1:7" ht="16.5" customHeight="1">
      <c r="A14" s="142" t="s">
        <v>74</v>
      </c>
      <c r="B14" s="143">
        <v>297</v>
      </c>
      <c r="C14" s="144"/>
      <c r="D14" s="148"/>
      <c r="E14" s="146">
        <v>106</v>
      </c>
      <c r="F14" s="144"/>
      <c r="G14" s="149"/>
    </row>
    <row r="15" spans="1:7" ht="16.5" customHeight="1">
      <c r="A15" s="142" t="s">
        <v>75</v>
      </c>
      <c r="B15" s="143">
        <v>217</v>
      </c>
      <c r="C15" s="144"/>
      <c r="D15" s="148"/>
      <c r="E15" s="146">
        <v>77</v>
      </c>
      <c r="F15" s="144"/>
      <c r="G15" s="149"/>
    </row>
    <row r="16" spans="1:7" ht="16.5" customHeight="1">
      <c r="A16" s="142" t="s">
        <v>76</v>
      </c>
      <c r="B16" s="143">
        <v>209</v>
      </c>
      <c r="C16" s="144"/>
      <c r="D16" s="148"/>
      <c r="E16" s="146">
        <v>72</v>
      </c>
      <c r="F16" s="144"/>
      <c r="G16" s="149"/>
    </row>
    <row r="17" spans="1:7" ht="16.5" customHeight="1" thickBot="1">
      <c r="A17" s="150" t="s">
        <v>77</v>
      </c>
      <c r="B17" s="151">
        <v>568</v>
      </c>
      <c r="C17" s="152"/>
      <c r="D17" s="153"/>
      <c r="E17" s="154">
        <v>199</v>
      </c>
      <c r="F17" s="152"/>
      <c r="G17" s="155"/>
    </row>
    <row r="18" s="10" customFormat="1" ht="58.5" customHeight="1" thickBot="1">
      <c r="A18" s="9" t="s">
        <v>58</v>
      </c>
    </row>
    <row r="19" spans="1:7" s="99" customFormat="1" ht="26.25" customHeight="1">
      <c r="A19" s="101" t="s">
        <v>59</v>
      </c>
      <c r="B19" s="102" t="s">
        <v>60</v>
      </c>
      <c r="C19" s="103" t="s">
        <v>0</v>
      </c>
      <c r="D19" s="103" t="s">
        <v>1</v>
      </c>
      <c r="E19" s="104" t="s">
        <v>2</v>
      </c>
      <c r="F19" s="104" t="s">
        <v>68</v>
      </c>
      <c r="G19" s="105" t="s">
        <v>56</v>
      </c>
    </row>
    <row r="20" spans="1:7" s="57" customFormat="1" ht="20.25" customHeight="1">
      <c r="A20" s="158" t="s">
        <v>52</v>
      </c>
      <c r="B20" s="106">
        <v>2008</v>
      </c>
      <c r="C20" s="59">
        <f>40+178</f>
        <v>218</v>
      </c>
      <c r="D20" s="59">
        <f>48+131</f>
        <v>179</v>
      </c>
      <c r="E20" s="60">
        <f>62+223</f>
        <v>285</v>
      </c>
      <c r="F20" s="60">
        <f>177+54</f>
        <v>231</v>
      </c>
      <c r="G20" s="100">
        <f>SUM(C20:F20)</f>
        <v>913</v>
      </c>
    </row>
    <row r="21" spans="1:7" s="10" customFormat="1" ht="20.25" customHeight="1" thickBot="1">
      <c r="A21" s="159"/>
      <c r="B21" s="107">
        <v>2007</v>
      </c>
      <c r="C21" s="64">
        <f>210+365</f>
        <v>575</v>
      </c>
      <c r="D21" s="64">
        <f>230+392</f>
        <v>622</v>
      </c>
      <c r="E21" s="65">
        <f>140+368</f>
        <v>508</v>
      </c>
      <c r="F21" s="65">
        <f>162+436</f>
        <v>598</v>
      </c>
      <c r="G21" s="108">
        <f>SUM(C21:F21)</f>
        <v>2303</v>
      </c>
    </row>
    <row r="22" spans="1:7" s="10" customFormat="1" ht="20.25" customHeight="1" thickBot="1">
      <c r="A22" s="178" t="s">
        <v>67</v>
      </c>
      <c r="B22" s="179"/>
      <c r="C22" s="109">
        <f>+C20-C21</f>
        <v>-357</v>
      </c>
      <c r="D22" s="109">
        <f>+D20-D21</f>
        <v>-443</v>
      </c>
      <c r="E22" s="110">
        <f>+E20-E21</f>
        <v>-223</v>
      </c>
      <c r="F22" s="110">
        <f>+F20-F21</f>
        <v>-367</v>
      </c>
      <c r="G22" s="111">
        <f>+G20-G21</f>
        <v>-1390</v>
      </c>
    </row>
    <row r="23" spans="2:5" ht="8.25" customHeight="1" thickBot="1">
      <c r="B23"/>
      <c r="C23"/>
      <c r="D23"/>
      <c r="E23"/>
    </row>
    <row r="24" spans="1:7" ht="20.25" customHeight="1">
      <c r="A24" s="168" t="s">
        <v>61</v>
      </c>
      <c r="B24" s="169"/>
      <c r="C24" s="169"/>
      <c r="D24" s="169"/>
      <c r="E24" s="169"/>
      <c r="F24" s="169"/>
      <c r="G24" s="170"/>
    </row>
    <row r="25" spans="1:7" ht="15" customHeight="1" thickBot="1">
      <c r="A25" s="171"/>
      <c r="B25" s="172"/>
      <c r="C25" s="172"/>
      <c r="D25" s="172"/>
      <c r="E25" s="172"/>
      <c r="F25" s="172"/>
      <c r="G25" s="173"/>
    </row>
    <row r="26" spans="2:5" ht="39.75" customHeight="1">
      <c r="B26"/>
      <c r="C26"/>
      <c r="D26"/>
      <c r="E26"/>
    </row>
    <row r="27" spans="1:9" s="2" customFormat="1" ht="39.75" customHeight="1">
      <c r="A27" s="174" t="s">
        <v>62</v>
      </c>
      <c r="B27" s="175"/>
      <c r="C27" s="175"/>
      <c r="D27" s="175"/>
      <c r="E27" s="175"/>
      <c r="F27" s="175"/>
      <c r="G27" s="176"/>
      <c r="H27"/>
      <c r="I27"/>
    </row>
  </sheetData>
  <mergeCells count="7">
    <mergeCell ref="A24:G25"/>
    <mergeCell ref="A27:G27"/>
    <mergeCell ref="A20:A21"/>
    <mergeCell ref="B4:D4"/>
    <mergeCell ref="E4:G4"/>
    <mergeCell ref="A22:B2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2">
      <selection activeCell="D37" sqref="D37:D40"/>
    </sheetView>
  </sheetViews>
  <sheetFormatPr defaultColWidth="9.00390625" defaultRowHeight="12.75"/>
  <cols>
    <col min="1" max="1" width="20.875" style="10" customWidth="1"/>
    <col min="2" max="3" width="11.125" style="44" customWidth="1"/>
    <col min="4" max="6" width="13.75390625" style="10" customWidth="1"/>
    <col min="7" max="16384" width="9.125" style="10" customWidth="1"/>
  </cols>
  <sheetData>
    <row r="1" ht="18.75" customHeight="1" thickBot="1">
      <c r="A1" s="9" t="s">
        <v>57</v>
      </c>
    </row>
    <row r="2" spans="1:6" s="51" customFormat="1" ht="24.75" customHeight="1" thickBot="1">
      <c r="A2" s="46"/>
      <c r="B2" s="47" t="s">
        <v>29</v>
      </c>
      <c r="C2" s="48" t="s">
        <v>30</v>
      </c>
      <c r="D2" s="49" t="s">
        <v>31</v>
      </c>
      <c r="E2" s="50" t="s">
        <v>32</v>
      </c>
      <c r="F2" s="50" t="s">
        <v>64</v>
      </c>
    </row>
    <row r="3" spans="1:6" s="57" customFormat="1" ht="13.5" customHeight="1">
      <c r="A3" s="52" t="s">
        <v>33</v>
      </c>
      <c r="B3" s="53">
        <v>3940</v>
      </c>
      <c r="C3" s="54">
        <v>3199</v>
      </c>
      <c r="D3" s="55">
        <f>+B3/12</f>
        <v>328.3333333333333</v>
      </c>
      <c r="E3" s="56">
        <f>+C3/12</f>
        <v>266.5833333333333</v>
      </c>
      <c r="F3" s="56">
        <f>+D3+E3</f>
        <v>594.9166666666666</v>
      </c>
    </row>
    <row r="4" spans="1:6" s="57" customFormat="1" ht="13.5" customHeight="1">
      <c r="A4" s="58" t="s">
        <v>34</v>
      </c>
      <c r="B4" s="59">
        <v>2846</v>
      </c>
      <c r="C4" s="60"/>
      <c r="D4" s="61">
        <f>+B4/12</f>
        <v>237.16666666666666</v>
      </c>
      <c r="E4" s="62"/>
      <c r="F4" s="62">
        <f>+D4+E4</f>
        <v>237.16666666666666</v>
      </c>
    </row>
    <row r="5" spans="1:6" s="57" customFormat="1" ht="13.5" customHeight="1" thickBot="1">
      <c r="A5" s="63" t="s">
        <v>35</v>
      </c>
      <c r="B5" s="64">
        <v>1466</v>
      </c>
      <c r="C5" s="65"/>
      <c r="D5" s="66">
        <f>+B5/12</f>
        <v>122.16666666666667</v>
      </c>
      <c r="E5" s="67"/>
      <c r="F5" s="67">
        <f>+D5+E5</f>
        <v>122.16666666666667</v>
      </c>
    </row>
    <row r="6" spans="1:6" s="57" customFormat="1" ht="15" customHeight="1" thickBot="1">
      <c r="A6" s="68" t="s">
        <v>36</v>
      </c>
      <c r="B6" s="69">
        <f>SUM(B3:B5)</f>
        <v>8252</v>
      </c>
      <c r="C6" s="70">
        <f>SUM(C3:C5)</f>
        <v>3199</v>
      </c>
      <c r="D6" s="71">
        <f>+B6/12</f>
        <v>687.6666666666666</v>
      </c>
      <c r="E6" s="72">
        <f>+C6/12</f>
        <v>266.5833333333333</v>
      </c>
      <c r="F6" s="72">
        <f>SUM(F3:F5)</f>
        <v>954.2499999999999</v>
      </c>
    </row>
    <row r="7" spans="2:3" s="57" customFormat="1" ht="8.25" customHeight="1" thickBot="1">
      <c r="B7" s="73"/>
      <c r="C7" s="73"/>
    </row>
    <row r="8" spans="1:6" s="51" customFormat="1" ht="19.5" customHeight="1" thickBot="1">
      <c r="A8" s="79"/>
      <c r="B8" s="80" t="s">
        <v>29</v>
      </c>
      <c r="C8" s="81" t="s">
        <v>30</v>
      </c>
      <c r="D8" s="112" t="s">
        <v>31</v>
      </c>
      <c r="E8" s="83" t="s">
        <v>32</v>
      </c>
      <c r="F8" s="83" t="s">
        <v>64</v>
      </c>
    </row>
    <row r="9" spans="1:6" s="57" customFormat="1" ht="20.25" customHeight="1" thickBot="1">
      <c r="A9" s="74" t="s">
        <v>37</v>
      </c>
      <c r="B9" s="75">
        <v>5234</v>
      </c>
      <c r="C9" s="76">
        <v>4784</v>
      </c>
      <c r="D9" s="77">
        <f>+B9/12</f>
        <v>436.1666666666667</v>
      </c>
      <c r="E9" s="76">
        <f>+C9/12</f>
        <v>398.6666666666667</v>
      </c>
      <c r="F9" s="76">
        <f>+D9+E9</f>
        <v>834.8333333333334</v>
      </c>
    </row>
    <row r="10" spans="2:3" s="2" customFormat="1" ht="7.5" customHeight="1" thickBot="1">
      <c r="B10" s="78"/>
      <c r="C10" s="78"/>
    </row>
    <row r="11" spans="1:6" s="2" customFormat="1" ht="19.5" customHeight="1" thickBot="1">
      <c r="A11" s="79"/>
      <c r="B11" s="80" t="s">
        <v>29</v>
      </c>
      <c r="C11" s="81" t="s">
        <v>30</v>
      </c>
      <c r="D11" s="82" t="s">
        <v>31</v>
      </c>
      <c r="E11" s="83" t="s">
        <v>32</v>
      </c>
      <c r="F11" s="83" t="s">
        <v>64</v>
      </c>
    </row>
    <row r="12" spans="1:6" s="57" customFormat="1" ht="15" customHeight="1">
      <c r="A12" s="84" t="s">
        <v>38</v>
      </c>
      <c r="B12" s="85">
        <f>1112-232</f>
        <v>880</v>
      </c>
      <c r="C12" s="86">
        <v>232</v>
      </c>
      <c r="D12" s="87">
        <f aca="true" t="shared" si="0" ref="D12:E16">+B12/12</f>
        <v>73.33333333333333</v>
      </c>
      <c r="E12" s="88">
        <f t="shared" si="0"/>
        <v>19.333333333333332</v>
      </c>
      <c r="F12" s="88">
        <f>+D12+E12</f>
        <v>92.66666666666666</v>
      </c>
    </row>
    <row r="13" spans="1:6" s="57" customFormat="1" ht="15" customHeight="1">
      <c r="A13" s="58" t="s">
        <v>39</v>
      </c>
      <c r="B13" s="59">
        <v>2166</v>
      </c>
      <c r="C13" s="60">
        <v>757</v>
      </c>
      <c r="D13" s="89">
        <f t="shared" si="0"/>
        <v>180.5</v>
      </c>
      <c r="E13" s="62">
        <f t="shared" si="0"/>
        <v>63.083333333333336</v>
      </c>
      <c r="F13" s="62">
        <f>+D13+E13</f>
        <v>243.58333333333334</v>
      </c>
    </row>
    <row r="14" spans="1:6" s="57" customFormat="1" ht="15" customHeight="1">
      <c r="A14" s="58" t="s">
        <v>40</v>
      </c>
      <c r="B14" s="59">
        <f>1137-357</f>
        <v>780</v>
      </c>
      <c r="C14" s="60">
        <v>357</v>
      </c>
      <c r="D14" s="89">
        <f t="shared" si="0"/>
        <v>65</v>
      </c>
      <c r="E14" s="62">
        <f t="shared" si="0"/>
        <v>29.75</v>
      </c>
      <c r="F14" s="62">
        <f>+D14+E14</f>
        <v>94.75</v>
      </c>
    </row>
    <row r="15" spans="1:6" s="57" customFormat="1" ht="15" customHeight="1" thickBot="1">
      <c r="A15" s="93" t="s">
        <v>41</v>
      </c>
      <c r="B15" s="94">
        <v>5495</v>
      </c>
      <c r="C15" s="95">
        <v>2512</v>
      </c>
      <c r="D15" s="96">
        <f t="shared" si="0"/>
        <v>457.9166666666667</v>
      </c>
      <c r="E15" s="98">
        <f t="shared" si="0"/>
        <v>209.33333333333334</v>
      </c>
      <c r="F15" s="98">
        <f>+D15+E15</f>
        <v>667.25</v>
      </c>
    </row>
    <row r="16" spans="1:6" s="57" customFormat="1" ht="16.5" customHeight="1" thickBot="1">
      <c r="A16" s="68" t="s">
        <v>42</v>
      </c>
      <c r="B16" s="69">
        <f>SUM(B12:B15)</f>
        <v>9321</v>
      </c>
      <c r="C16" s="70">
        <f>SUM(C12:C15)</f>
        <v>3858</v>
      </c>
      <c r="D16" s="90">
        <f t="shared" si="0"/>
        <v>776.75</v>
      </c>
      <c r="E16" s="72">
        <f t="shared" si="0"/>
        <v>321.5</v>
      </c>
      <c r="F16" s="72">
        <f>+D16+E16</f>
        <v>1098.25</v>
      </c>
    </row>
    <row r="17" spans="2:3" s="2" customFormat="1" ht="6.75" customHeight="1" thickBot="1">
      <c r="B17" s="78"/>
      <c r="C17" s="78"/>
    </row>
    <row r="18" spans="1:6" s="2" customFormat="1" ht="23.25" customHeight="1" thickBot="1">
      <c r="A18" s="79"/>
      <c r="B18" s="80" t="s">
        <v>29</v>
      </c>
      <c r="C18" s="81" t="s">
        <v>30</v>
      </c>
      <c r="D18" s="82" t="s">
        <v>31</v>
      </c>
      <c r="E18" s="83" t="s">
        <v>32</v>
      </c>
      <c r="F18" s="83" t="s">
        <v>64</v>
      </c>
    </row>
    <row r="19" spans="1:6" s="57" customFormat="1" ht="15" customHeight="1">
      <c r="A19" s="84" t="s">
        <v>43</v>
      </c>
      <c r="B19" s="85">
        <f>3271-988</f>
        <v>2283</v>
      </c>
      <c r="C19" s="86">
        <v>988</v>
      </c>
      <c r="D19" s="87">
        <f aca="true" t="shared" si="1" ref="D19:E23">+B19/12</f>
        <v>190.25</v>
      </c>
      <c r="E19" s="88">
        <f t="shared" si="1"/>
        <v>82.33333333333333</v>
      </c>
      <c r="F19" s="88">
        <f>+D19+E19</f>
        <v>272.5833333333333</v>
      </c>
    </row>
    <row r="20" spans="1:6" s="57" customFormat="1" ht="15" customHeight="1">
      <c r="A20" s="58" t="s">
        <v>44</v>
      </c>
      <c r="B20" s="59">
        <v>4414</v>
      </c>
      <c r="C20" s="60">
        <v>3839</v>
      </c>
      <c r="D20" s="89">
        <f t="shared" si="1"/>
        <v>367.8333333333333</v>
      </c>
      <c r="E20" s="62">
        <f t="shared" si="1"/>
        <v>319.9166666666667</v>
      </c>
      <c r="F20" s="62">
        <f>+D20+E20</f>
        <v>687.75</v>
      </c>
    </row>
    <row r="21" spans="1:6" s="57" customFormat="1" ht="15" customHeight="1">
      <c r="A21" s="58" t="s">
        <v>45</v>
      </c>
      <c r="B21" s="59">
        <f>659-87</f>
        <v>572</v>
      </c>
      <c r="C21" s="60">
        <v>87</v>
      </c>
      <c r="D21" s="89">
        <f t="shared" si="1"/>
        <v>47.666666666666664</v>
      </c>
      <c r="E21" s="62">
        <f t="shared" si="1"/>
        <v>7.25</v>
      </c>
      <c r="F21" s="62">
        <f>+D21+E21</f>
        <v>54.916666666666664</v>
      </c>
    </row>
    <row r="22" spans="1:6" s="57" customFormat="1" ht="15" customHeight="1" thickBot="1">
      <c r="A22" s="58" t="s">
        <v>46</v>
      </c>
      <c r="B22" s="59">
        <f>4061-C22</f>
        <v>3520</v>
      </c>
      <c r="C22" s="60">
        <v>541</v>
      </c>
      <c r="D22" s="89">
        <f t="shared" si="1"/>
        <v>293.3333333333333</v>
      </c>
      <c r="E22" s="62">
        <f t="shared" si="1"/>
        <v>45.083333333333336</v>
      </c>
      <c r="F22" s="62">
        <f>+D22+E22</f>
        <v>338.41666666666663</v>
      </c>
    </row>
    <row r="23" spans="1:6" s="57" customFormat="1" ht="16.5" customHeight="1" thickBot="1">
      <c r="A23" s="68" t="s">
        <v>47</v>
      </c>
      <c r="B23" s="69">
        <f>SUM(B19:B22)</f>
        <v>10789</v>
      </c>
      <c r="C23" s="70">
        <f>SUM(C19:C22)</f>
        <v>5455</v>
      </c>
      <c r="D23" s="90">
        <f t="shared" si="1"/>
        <v>899.0833333333334</v>
      </c>
      <c r="E23" s="72">
        <f t="shared" si="1"/>
        <v>454.5833333333333</v>
      </c>
      <c r="F23" s="72">
        <f>+D23+E23</f>
        <v>1353.6666666666667</v>
      </c>
    </row>
    <row r="24" spans="2:3" s="57" customFormat="1" ht="6.75" customHeight="1" thickBot="1">
      <c r="B24" s="73"/>
      <c r="C24" s="73"/>
    </row>
    <row r="25" spans="1:6" s="2" customFormat="1" ht="21" customHeight="1" thickBot="1">
      <c r="A25" s="79"/>
      <c r="B25" s="80" t="s">
        <v>29</v>
      </c>
      <c r="C25" s="81" t="s">
        <v>30</v>
      </c>
      <c r="D25" s="82" t="s">
        <v>31</v>
      </c>
      <c r="E25" s="83" t="s">
        <v>32</v>
      </c>
      <c r="F25" s="83" t="s">
        <v>64</v>
      </c>
    </row>
    <row r="26" spans="1:6" s="57" customFormat="1" ht="15" customHeight="1">
      <c r="A26" s="84" t="s">
        <v>48</v>
      </c>
      <c r="B26" s="85">
        <f>3237-1545</f>
        <v>1692</v>
      </c>
      <c r="C26" s="86">
        <v>1545</v>
      </c>
      <c r="D26" s="87">
        <f aca="true" t="shared" si="2" ref="D26:E31">+B26/12</f>
        <v>141</v>
      </c>
      <c r="E26" s="88">
        <f t="shared" si="2"/>
        <v>128.75</v>
      </c>
      <c r="F26" s="88">
        <f aca="true" t="shared" si="3" ref="F26:F31">+D26+E26</f>
        <v>269.75</v>
      </c>
    </row>
    <row r="27" spans="1:6" s="57" customFormat="1" ht="15" customHeight="1">
      <c r="A27" s="58" t="s">
        <v>49</v>
      </c>
      <c r="B27" s="59">
        <v>2186</v>
      </c>
      <c r="C27" s="60">
        <v>607</v>
      </c>
      <c r="D27" s="89">
        <f t="shared" si="2"/>
        <v>182.16666666666666</v>
      </c>
      <c r="E27" s="62">
        <f t="shared" si="2"/>
        <v>50.583333333333336</v>
      </c>
      <c r="F27" s="62">
        <f t="shared" si="3"/>
        <v>232.75</v>
      </c>
    </row>
    <row r="28" spans="1:6" s="57" customFormat="1" ht="15" customHeight="1">
      <c r="A28" s="58" t="s">
        <v>50</v>
      </c>
      <c r="B28" s="59">
        <f>4381-1768</f>
        <v>2613</v>
      </c>
      <c r="C28" s="60">
        <v>1768</v>
      </c>
      <c r="D28" s="89">
        <f t="shared" si="2"/>
        <v>217.75</v>
      </c>
      <c r="E28" s="62">
        <f t="shared" si="2"/>
        <v>147.33333333333334</v>
      </c>
      <c r="F28" s="62">
        <f t="shared" si="3"/>
        <v>365.08333333333337</v>
      </c>
    </row>
    <row r="29" spans="1:6" s="57" customFormat="1" ht="15" customHeight="1">
      <c r="A29" s="93" t="s">
        <v>51</v>
      </c>
      <c r="B29" s="94">
        <v>1715</v>
      </c>
      <c r="C29" s="95">
        <v>570</v>
      </c>
      <c r="D29" s="96">
        <f t="shared" si="2"/>
        <v>142.91666666666666</v>
      </c>
      <c r="E29" s="98">
        <f t="shared" si="2"/>
        <v>47.5</v>
      </c>
      <c r="F29" s="98">
        <f t="shared" si="3"/>
        <v>190.41666666666666</v>
      </c>
    </row>
    <row r="30" spans="1:6" s="57" customFormat="1" ht="15" customHeight="1" thickBot="1">
      <c r="A30" s="93" t="s">
        <v>52</v>
      </c>
      <c r="B30" s="94">
        <v>4897</v>
      </c>
      <c r="C30" s="95">
        <v>2312</v>
      </c>
      <c r="D30" s="96">
        <f t="shared" si="2"/>
        <v>408.0833333333333</v>
      </c>
      <c r="E30" s="98">
        <f t="shared" si="2"/>
        <v>192.66666666666666</v>
      </c>
      <c r="F30" s="98">
        <f t="shared" si="3"/>
        <v>600.75</v>
      </c>
    </row>
    <row r="31" spans="1:6" s="57" customFormat="1" ht="16.5" customHeight="1" thickBot="1">
      <c r="A31" s="68" t="s">
        <v>53</v>
      </c>
      <c r="B31" s="69">
        <f>SUM(B26:B30)</f>
        <v>13103</v>
      </c>
      <c r="C31" s="70">
        <f>SUM(C26:C30)</f>
        <v>6802</v>
      </c>
      <c r="D31" s="90">
        <f t="shared" si="2"/>
        <v>1091.9166666666667</v>
      </c>
      <c r="E31" s="72">
        <f t="shared" si="2"/>
        <v>566.8333333333334</v>
      </c>
      <c r="F31" s="72">
        <f t="shared" si="3"/>
        <v>1658.75</v>
      </c>
    </row>
    <row r="32" ht="6" customHeight="1" thickBot="1"/>
    <row r="33" spans="1:6" s="57" customFormat="1" ht="14.25" customHeight="1" thickBot="1">
      <c r="A33" s="68" t="s">
        <v>54</v>
      </c>
      <c r="B33" s="69">
        <f>+B31+B23+B16+B9+B6</f>
        <v>46699</v>
      </c>
      <c r="C33" s="69">
        <f>+C31+C23+C16+C9+C6</f>
        <v>24098</v>
      </c>
      <c r="D33" s="90">
        <f>+B33/12</f>
        <v>3891.5833333333335</v>
      </c>
      <c r="E33" s="72">
        <f>+C33/12</f>
        <v>2008.1666666666667</v>
      </c>
      <c r="F33" s="72">
        <f>+D33+E33</f>
        <v>5899.75</v>
      </c>
    </row>
    <row r="34" ht="5.25" customHeight="1" thickBot="1"/>
    <row r="35" spans="1:6" ht="12" customHeight="1">
      <c r="A35" s="184" t="s">
        <v>55</v>
      </c>
      <c r="B35" s="91">
        <f>+B33/4</f>
        <v>11674.75</v>
      </c>
      <c r="C35" s="92">
        <f>+C33/4</f>
        <v>6024.5</v>
      </c>
      <c r="D35"/>
      <c r="E35"/>
      <c r="F35"/>
    </row>
    <row r="36" spans="1:3" ht="12.75" customHeight="1" thickBot="1">
      <c r="A36" s="185"/>
      <c r="B36" s="182">
        <f>+B35+C35</f>
        <v>17699.25</v>
      </c>
      <c r="C36" s="183"/>
    </row>
    <row r="37" ht="15.75" customHeight="1">
      <c r="D37" s="39"/>
    </row>
  </sheetData>
  <mergeCells count="2">
    <mergeCell ref="B36:C36"/>
    <mergeCell ref="A35:A36"/>
  </mergeCells>
  <printOptions horizontalCentered="1"/>
  <pageMargins left="0.7874015748031497" right="0.7874015748031497" top="0.39" bottom="0.43" header="0.29" footer="0.3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2008-05-22T08:28:54Z</cp:lastPrinted>
  <dcterms:created xsi:type="dcterms:W3CDTF">2008-04-12T08:31:41Z</dcterms:created>
  <dcterms:modified xsi:type="dcterms:W3CDTF">2008-05-22T13:31:08Z</dcterms:modified>
  <cp:category/>
  <cp:version/>
  <cp:contentType/>
  <cp:contentStatus/>
</cp:coreProperties>
</file>